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CDLAC 4% R3 2025\The Junction - CalHFA\01. Att 40\"/>
    </mc:Choice>
  </mc:AlternateContent>
  <xr:revisionPtr revIDLastSave="0" documentId="13_ncr:1_{63BE4768-F459-49B5-93BB-CC1442A20837}" xr6:coauthVersionLast="47" xr6:coauthVersionMax="47" xr10:uidLastSave="{00000000-0000-0000-0000-000000000000}"/>
  <bookViews>
    <workbookView xWindow="28680" yWindow="-120" windowWidth="29040" windowHeight="1584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4" l="1"/>
  <c r="E10" i="4" l="1"/>
  <c r="E4" i="4"/>
  <c r="E30" i="4" l="1"/>
  <c r="E89" i="4"/>
  <c r="E90" i="4"/>
  <c r="E91" i="4"/>
  <c r="E92" i="4"/>
  <c r="E88" i="4"/>
  <c r="AG448" i="3"/>
  <c r="AB50" i="15"/>
  <c r="E84" i="4"/>
  <c r="E83" i="4"/>
  <c r="E80" i="4"/>
  <c r="E79" i="4"/>
  <c r="E75" i="4"/>
  <c r="E65" i="4"/>
  <c r="E61" i="4"/>
  <c r="E58" i="4"/>
  <c r="E45" i="4" a="1"/>
  <c r="E45" i="4" s="1"/>
  <c r="E43" i="4"/>
  <c r="E40" i="4"/>
  <c r="E31" i="4" a="1"/>
  <c r="E31" i="4" s="1"/>
  <c r="C93" i="4"/>
  <c r="E93" i="4" s="1"/>
  <c r="G580" i="3" l="1"/>
  <c r="G579" i="3"/>
  <c r="G578" i="3"/>
  <c r="H582" i="3"/>
  <c r="G581" i="3"/>
  <c r="E95" i="4" l="1"/>
  <c r="C94" i="4"/>
  <c r="E94" i="4" s="1"/>
  <c r="C69" i="4"/>
  <c r="E69" i="4" s="1"/>
  <c r="M961" i="3"/>
  <c r="W874" i="3"/>
  <c r="AG443" i="3" l="1"/>
  <c r="AG442"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7" i="11"/>
  <c r="C88" i="11"/>
  <c r="C94" i="11"/>
  <c r="C95" i="11"/>
  <c r="C96" i="11"/>
  <c r="B87" i="11"/>
  <c r="B88"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B80" i="13"/>
  <c r="R80" i="4"/>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86" i="13"/>
  <c r="E50" i="13"/>
  <c r="E49" i="13"/>
  <c r="E47" i="13"/>
  <c r="E46" i="13"/>
  <c r="E45" i="13"/>
  <c r="E41" i="13"/>
  <c r="E37" i="13"/>
  <c r="E27" i="13"/>
  <c r="E25" i="13"/>
  <c r="E23" i="13"/>
  <c r="E22" i="13"/>
  <c r="E21" i="13"/>
  <c r="E20" i="13"/>
  <c r="E19" i="13"/>
  <c r="E18" i="13"/>
  <c r="E17" i="13"/>
  <c r="E15" i="13"/>
  <c r="E14" i="13"/>
  <c r="E13" i="13"/>
  <c r="E10" i="13"/>
  <c r="F10" i="13" s="1"/>
  <c r="B99" i="13"/>
  <c r="C99" i="13" s="1"/>
  <c r="C104" i="13" s="1"/>
  <c r="B95" i="13"/>
  <c r="B94" i="13"/>
  <c r="B93" i="13"/>
  <c r="B87" i="13"/>
  <c r="B86" i="13"/>
  <c r="B83" i="13"/>
  <c r="B79" i="13"/>
  <c r="B76" i="13"/>
  <c r="B75" i="13"/>
  <c r="C75" i="13" s="1"/>
  <c r="C77" i="13" s="1"/>
  <c r="B74" i="13"/>
  <c r="B73" i="13"/>
  <c r="B72" i="13"/>
  <c r="B65" i="13"/>
  <c r="C65" i="13" s="1"/>
  <c r="B61" i="13"/>
  <c r="C61" i="13" s="1"/>
  <c r="B60" i="13"/>
  <c r="B59" i="13"/>
  <c r="B58" i="13"/>
  <c r="C58" i="13" s="1"/>
  <c r="B57" i="13"/>
  <c r="B56" i="13"/>
  <c r="B53" i="13"/>
  <c r="B48" i="13"/>
  <c r="B43" i="13"/>
  <c r="C43" i="13" s="1"/>
  <c r="C42" i="4"/>
  <c r="B42" i="13" s="1"/>
  <c r="B41" i="13"/>
  <c r="B40" i="13"/>
  <c r="C40" i="13" s="1"/>
  <c r="C42" i="13" s="1"/>
  <c r="B37" i="13"/>
  <c r="B35" i="13"/>
  <c r="B34" i="13"/>
  <c r="B33" i="13"/>
  <c r="B32" i="13"/>
  <c r="B31" i="13"/>
  <c r="B30" i="13"/>
  <c r="B29" i="13"/>
  <c r="B27" i="13"/>
  <c r="B25"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R93" i="4"/>
  <c r="S93" i="4" s="1"/>
  <c r="E93" i="13" s="1"/>
  <c r="R92" i="4"/>
  <c r="R90" i="4"/>
  <c r="R89" i="4"/>
  <c r="R88" i="4"/>
  <c r="R87" i="4"/>
  <c r="R86" i="4"/>
  <c r="R83" i="4"/>
  <c r="R76" i="4"/>
  <c r="R75" i="4"/>
  <c r="R72" i="4"/>
  <c r="R73" i="4"/>
  <c r="R74" i="4"/>
  <c r="R69" i="4"/>
  <c r="R65" i="4"/>
  <c r="S65" i="4" s="1"/>
  <c r="S70" i="4" s="1"/>
  <c r="E70" i="13" s="1"/>
  <c r="R61" i="4"/>
  <c r="R60" i="4"/>
  <c r="R59" i="4"/>
  <c r="R58" i="4"/>
  <c r="R57" i="4"/>
  <c r="R56" i="4"/>
  <c r="R53" i="4"/>
  <c r="R52" i="4"/>
  <c r="R51" i="4"/>
  <c r="R50" i="4"/>
  <c r="R49" i="4"/>
  <c r="R48" i="4"/>
  <c r="S48" i="4" s="1"/>
  <c r="E48" i="13" s="1"/>
  <c r="R47" i="4"/>
  <c r="R46" i="4"/>
  <c r="R45" i="4"/>
  <c r="R43" i="4"/>
  <c r="S43" i="4" s="1"/>
  <c r="E43" i="13" s="1"/>
  <c r="F43" i="13" s="1"/>
  <c r="R41" i="4"/>
  <c r="R40" i="4"/>
  <c r="S40" i="4" s="1"/>
  <c r="S42" i="4" s="1"/>
  <c r="E42" i="13"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28" i="11"/>
  <c r="C28" i="11"/>
  <c r="B30" i="11"/>
  <c r="C30" i="11"/>
  <c r="B41" i="11"/>
  <c r="C41" i="11"/>
  <c r="C42" i="11"/>
  <c r="B42" i="11"/>
  <c r="B44" i="11"/>
  <c r="C44" i="11"/>
  <c r="B49" i="11"/>
  <c r="C49"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I8" i="8" s="1"/>
  <c r="A9" i="8"/>
  <c r="D9" i="8"/>
  <c r="I9" i="8" s="1"/>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62" i="4"/>
  <c r="B62" i="13" s="1"/>
  <c r="C77" i="4"/>
  <c r="B77"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8"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6" i="4"/>
  <c r="B87" i="4"/>
  <c r="B93" i="4"/>
  <c r="B94" i="4"/>
  <c r="B95" i="4"/>
  <c r="H96" i="4"/>
  <c r="I96" i="4"/>
  <c r="K96" i="4"/>
  <c r="L96" i="4"/>
  <c r="Q96" i="4"/>
  <c r="B101" i="4"/>
  <c r="B102" i="4"/>
  <c r="B103" i="4"/>
  <c r="E104" i="4"/>
  <c r="F104" i="4"/>
  <c r="H104" i="4"/>
  <c r="I104" i="4"/>
  <c r="K104" i="4"/>
  <c r="L104" i="4"/>
  <c r="Q104" i="4"/>
  <c r="E108" i="4"/>
  <c r="E85" i="4" s="1"/>
  <c r="F108" i="4"/>
  <c r="F96" i="4" s="1"/>
  <c r="G108" i="4"/>
  <c r="R99" i="4" s="1"/>
  <c r="S99" i="4"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79" i="4" l="1" a="1"/>
  <c r="S79" i="4" s="1"/>
  <c r="E79" i="13" s="1"/>
  <c r="J10" i="8"/>
  <c r="C62" i="13"/>
  <c r="J11" i="8"/>
  <c r="S89" i="4" a="1"/>
  <c r="S89" i="4" s="1"/>
  <c r="E89" i="13" s="1"/>
  <c r="S51" i="4" a="1"/>
  <c r="E40" i="13"/>
  <c r="F40" i="13" s="1"/>
  <c r="F42" i="13" s="1"/>
  <c r="C70" i="13"/>
  <c r="E99" i="13"/>
  <c r="F99" i="13" s="1"/>
  <c r="F104" i="13" s="1"/>
  <c r="S104" i="4"/>
  <c r="BA1058" i="3" s="1"/>
  <c r="J9" i="8"/>
  <c r="E80" i="13"/>
  <c r="C79" i="13" a="1"/>
  <c r="C79" i="13" s="1"/>
  <c r="C81" i="13" s="1"/>
  <c r="C29" i="13" a="1"/>
  <c r="C29" i="13" s="1"/>
  <c r="C38" i="13" s="1"/>
  <c r="S29" i="4" a="1"/>
  <c r="G104" i="4"/>
  <c r="E65" i="13"/>
  <c r="F65" i="13" s="1"/>
  <c r="F70" i="13" s="1"/>
  <c r="J8" i="8"/>
  <c r="J12" i="8"/>
  <c r="D35" i="11"/>
  <c r="AO18" i="20"/>
  <c r="D36" i="11"/>
  <c r="D94" i="11"/>
  <c r="D87" i="11"/>
  <c r="D103" i="11"/>
  <c r="D34" i="11"/>
  <c r="D6" i="11"/>
  <c r="D25" i="11"/>
  <c r="D54" i="11"/>
  <c r="D70" i="11"/>
  <c r="D101" i="11"/>
  <c r="D32" i="11"/>
  <c r="D33" i="11"/>
  <c r="D96" i="11"/>
  <c r="D88" i="11"/>
  <c r="D104" i="11"/>
  <c r="C82" i="11"/>
  <c r="B8" i="4"/>
  <c r="N189" i="23" s="1"/>
  <c r="G144" i="21"/>
  <c r="G143" i="21"/>
  <c r="D95" i="11"/>
  <c r="C105" i="11"/>
  <c r="C12" i="4"/>
  <c r="B12" i="13" s="1"/>
  <c r="D75" i="11"/>
  <c r="D62" i="11"/>
  <c r="D58" i="11"/>
  <c r="L12" i="4"/>
  <c r="D38" i="11"/>
  <c r="B42" i="4"/>
  <c r="B104" i="4"/>
  <c r="H12" i="4"/>
  <c r="D49" i="11"/>
  <c r="B78" i="11"/>
  <c r="D15" i="11"/>
  <c r="D8" i="11"/>
  <c r="D100" i="11"/>
  <c r="D41" i="11"/>
  <c r="D12" i="13"/>
  <c r="D74" i="11"/>
  <c r="C12" i="13"/>
  <c r="D77" i="11"/>
  <c r="D73" i="11"/>
  <c r="D16" i="11"/>
  <c r="B12" i="11"/>
  <c r="D5" i="11"/>
  <c r="D76" i="11"/>
  <c r="D66" i="11"/>
  <c r="D59" i="11"/>
  <c r="D42" i="11"/>
  <c r="D28" i="11"/>
  <c r="N63" i="4"/>
  <c r="N97" i="4" s="1"/>
  <c r="N105" i="4" s="1"/>
  <c r="E12" i="4"/>
  <c r="D12" i="4"/>
  <c r="C43" i="11"/>
  <c r="F12" i="4"/>
  <c r="D11" i="11"/>
  <c r="C63" i="11"/>
  <c r="B39" i="11"/>
  <c r="B71" i="11"/>
  <c r="B105" i="11"/>
  <c r="O12" i="4"/>
  <c r="D10" i="11"/>
  <c r="B43" i="11"/>
  <c r="Q12" i="4"/>
  <c r="K12" i="4"/>
  <c r="D61" i="11"/>
  <c r="D57" i="11"/>
  <c r="B9" i="11"/>
  <c r="J12" i="4"/>
  <c r="D30" i="11"/>
  <c r="R77" i="4"/>
  <c r="D80" i="11"/>
  <c r="D31" i="11"/>
  <c r="B62" i="4"/>
  <c r="O63" i="4"/>
  <c r="O97" i="4" s="1"/>
  <c r="O105" i="4" s="1"/>
  <c r="M63" i="4"/>
  <c r="M97" i="4" s="1"/>
  <c r="M105" i="4" s="1"/>
  <c r="N12" i="4"/>
  <c r="I12" i="4"/>
  <c r="B70" i="4"/>
  <c r="D102" i="11"/>
  <c r="E63" i="4"/>
  <c r="P63" i="4"/>
  <c r="P97" i="4" s="1"/>
  <c r="P105" i="4" s="1"/>
  <c r="F63" i="4"/>
  <c r="F97" i="4" s="1"/>
  <c r="F105" i="4" s="1"/>
  <c r="I63" i="13"/>
  <c r="I97" i="13" s="1"/>
  <c r="I105" i="13" s="1"/>
  <c r="I107" i="13" s="1"/>
  <c r="C71" i="11"/>
  <c r="R38" i="4"/>
  <c r="R70" i="4"/>
  <c r="B81" i="4"/>
  <c r="R11" i="4"/>
  <c r="G58" i="7"/>
  <c r="I63" i="4"/>
  <c r="I97" i="4" s="1"/>
  <c r="I105" i="4" s="1"/>
  <c r="L63" i="4"/>
  <c r="L97" i="4" s="1"/>
  <c r="L105" i="4" s="1"/>
  <c r="D44" i="11"/>
  <c r="C12" i="11"/>
  <c r="J63" i="4"/>
  <c r="J97" i="4" s="1"/>
  <c r="J105" i="4" s="1"/>
  <c r="Q63" i="4"/>
  <c r="Q97" i="4" s="1"/>
  <c r="Q105" i="4" s="1"/>
  <c r="B11" i="4"/>
  <c r="C39" i="11"/>
  <c r="J63" i="13"/>
  <c r="J97" i="13" s="1"/>
  <c r="J105" i="13" s="1"/>
  <c r="J107" i="13" s="1"/>
  <c r="D81" i="11"/>
  <c r="R104" i="4"/>
  <c r="B77" i="4"/>
  <c r="C78" i="11"/>
  <c r="D60" i="11"/>
  <c r="M12" i="4"/>
  <c r="D63" i="4"/>
  <c r="D97" i="4" s="1"/>
  <c r="D105" i="4" s="1"/>
  <c r="BE68" i="3" s="1"/>
  <c r="R26" i="4"/>
  <c r="R42" i="4"/>
  <c r="R54" i="4"/>
  <c r="R62" i="4"/>
  <c r="D63" i="13"/>
  <c r="D97" i="13" s="1"/>
  <c r="D105" i="13" s="1"/>
  <c r="D14" i="11"/>
  <c r="D7" i="11"/>
  <c r="R8" i="4"/>
  <c r="G63" i="13"/>
  <c r="G97" i="13" s="1"/>
  <c r="G105" i="13" s="1"/>
  <c r="G107" i="13" s="1"/>
  <c r="R81" i="4"/>
  <c r="M53" i="7"/>
  <c r="K58" i="7"/>
  <c r="AB48" i="15"/>
  <c r="B82" i="11"/>
  <c r="H63" i="4"/>
  <c r="H97" i="4" s="1"/>
  <c r="H105" i="4" s="1"/>
  <c r="G63" i="4"/>
  <c r="I58" i="7"/>
  <c r="C9" i="11"/>
  <c r="B63" i="11"/>
  <c r="T63" i="4"/>
  <c r="B38" i="4"/>
  <c r="D84" i="11"/>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79" i="13" l="1" a="1"/>
  <c r="F79" i="13" s="1"/>
  <c r="F81" i="13" s="1"/>
  <c r="S81" i="4"/>
  <c r="E81" i="13" s="1"/>
  <c r="E91" i="13"/>
  <c r="E92" i="13"/>
  <c r="E90" i="13"/>
  <c r="E104" i="13"/>
  <c r="S51" i="4"/>
  <c r="E53" i="13"/>
  <c r="E52" i="13"/>
  <c r="J40" i="8"/>
  <c r="Z809" i="3" s="1"/>
  <c r="E6" i="7" s="1"/>
  <c r="S29" i="4"/>
  <c r="E35" i="13"/>
  <c r="E34" i="13"/>
  <c r="E33" i="13"/>
  <c r="E32" i="13"/>
  <c r="E31" i="13"/>
  <c r="E30" i="13"/>
  <c r="D105" i="11"/>
  <c r="AJ621" i="20"/>
  <c r="G94" i="21"/>
  <c r="D43" i="11"/>
  <c r="D71" i="11"/>
  <c r="B12" i="4"/>
  <c r="D82" i="11"/>
  <c r="D39" i="11"/>
  <c r="D78" i="11"/>
  <c r="R12" i="4"/>
  <c r="D12" i="11"/>
  <c r="D63" i="11"/>
  <c r="B13" i="11"/>
  <c r="R63" i="4"/>
  <c r="T97" i="4"/>
  <c r="H63" i="13"/>
  <c r="AO39" i="20"/>
  <c r="AK62" i="20" s="1"/>
  <c r="T804" i="20" s="1"/>
  <c r="AF804" i="20" s="1"/>
  <c r="BE71" i="3" s="1"/>
  <c r="D9" i="11"/>
  <c r="C13" i="1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F89" i="13" l="1" a="1"/>
  <c r="F89" i="13" s="1"/>
  <c r="E51" i="13"/>
  <c r="F45" i="13" s="1" a="1"/>
  <c r="F45" i="13" s="1"/>
  <c r="F54" i="13" s="1"/>
  <c r="S54" i="4"/>
  <c r="E54" i="13" s="1"/>
  <c r="S38" i="4"/>
  <c r="E29" i="13"/>
  <c r="F29" i="13" s="1" a="1"/>
  <c r="F29" i="13" s="1"/>
  <c r="F38" i="13"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F63" i="13" l="1"/>
  <c r="E38" i="13"/>
  <c r="S63" i="4"/>
  <c r="T805" i="20"/>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E63" i="13" l="1"/>
  <c r="AD11" i="15"/>
  <c r="AD23" i="15" s="1"/>
  <c r="AD26" i="15" s="1"/>
  <c r="AD28" i="15" s="1"/>
  <c r="AI11" i="15"/>
  <c r="AI23" i="15" s="1"/>
  <c r="AI26" i="15" s="1"/>
  <c r="AI28" i="15" s="1"/>
  <c r="AJ1029" i="3"/>
  <c r="AJ994" i="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BA1038" i="3" l="1"/>
  <c r="BA1048" i="3" s="1" a="1"/>
  <c r="BA1048" i="3" s="1"/>
  <c r="B18" i="11"/>
  <c r="C18" i="11"/>
  <c r="D18" i="11" s="1"/>
  <c r="B19" i="11"/>
  <c r="C19" i="11"/>
  <c r="B20" i="11"/>
  <c r="C20" i="11"/>
  <c r="B21" i="11"/>
  <c r="C21" i="11"/>
  <c r="B22" i="11"/>
  <c r="C22" i="11"/>
  <c r="D22" i="11" s="1"/>
  <c r="B23" i="11"/>
  <c r="C23" i="11"/>
  <c r="D23" i="11" s="1"/>
  <c r="B24" i="11"/>
  <c r="C24" i="11"/>
  <c r="B17" i="13"/>
  <c r="B18" i="13"/>
  <c r="B19" i="13"/>
  <c r="B20" i="13"/>
  <c r="B21" i="13"/>
  <c r="B22" i="13"/>
  <c r="B23" i="13"/>
  <c r="B17" i="4"/>
  <c r="B18" i="4"/>
  <c r="B19" i="4"/>
  <c r="B20" i="4"/>
  <c r="B21" i="4"/>
  <c r="B22" i="4"/>
  <c r="B23" i="4"/>
  <c r="C26" i="4"/>
  <c r="B26" i="4" s="1"/>
  <c r="D20" i="11" l="1"/>
  <c r="D21" i="11"/>
  <c r="D24" i="11"/>
  <c r="B26" i="13"/>
  <c r="B27" i="11"/>
  <c r="D19" i="11"/>
  <c r="C27" i="11"/>
  <c r="B46" i="11"/>
  <c r="C46" i="11"/>
  <c r="B45" i="13"/>
  <c r="B45" i="4"/>
  <c r="D27" i="11" l="1"/>
  <c r="D46" i="11"/>
  <c r="B47" i="11"/>
  <c r="C47" i="11"/>
  <c r="B48" i="11"/>
  <c r="C48" i="11"/>
  <c r="B46" i="13"/>
  <c r="B47" i="13"/>
  <c r="B46" i="4"/>
  <c r="B47" i="4"/>
  <c r="D48" i="11" l="1"/>
  <c r="D47" i="11"/>
  <c r="B50" i="11"/>
  <c r="C50" i="11"/>
  <c r="B51" i="11"/>
  <c r="C51" i="11"/>
  <c r="B52" i="11"/>
  <c r="C52" i="11"/>
  <c r="D52" i="11" s="1"/>
  <c r="B53" i="11"/>
  <c r="C53" i="11"/>
  <c r="B49" i="13"/>
  <c r="B50" i="13"/>
  <c r="B51" i="13"/>
  <c r="B52" i="13"/>
  <c r="B49" i="4"/>
  <c r="B50" i="4"/>
  <c r="B51" i="4"/>
  <c r="B52" i="4"/>
  <c r="C54" i="4"/>
  <c r="D51" i="11" l="1"/>
  <c r="D50" i="11"/>
  <c r="D53" i="11"/>
  <c r="C45" i="13" a="1"/>
  <c r="C45" i="13" s="1"/>
  <c r="C54" i="13" s="1"/>
  <c r="C63" i="13" s="1"/>
  <c r="C55" i="11"/>
  <c r="C64" i="11" s="1"/>
  <c r="B55" i="11"/>
  <c r="B64" i="11" s="1"/>
  <c r="B54" i="13"/>
  <c r="C63" i="4"/>
  <c r="B54" i="4"/>
  <c r="B63" i="4" s="1"/>
  <c r="D55" i="11" l="1"/>
  <c r="D64" i="11"/>
  <c r="B63" i="13"/>
  <c r="B85" i="11"/>
  <c r="C85" i="11"/>
  <c r="B86" i="11"/>
  <c r="C86" i="11"/>
  <c r="B84" i="13"/>
  <c r="B85" i="13"/>
  <c r="B84" i="4"/>
  <c r="B85" i="4"/>
  <c r="N188" i="23" s="1"/>
  <c r="N195" i="23" s="1"/>
  <c r="C83" i="13" l="1" a="1"/>
  <c r="C83" i="13" s="1"/>
  <c r="D85" i="11"/>
  <c r="D86" i="11"/>
  <c r="B89" i="11"/>
  <c r="C89" i="11"/>
  <c r="B90" i="11"/>
  <c r="C90" i="11"/>
  <c r="B91" i="11"/>
  <c r="C91" i="11"/>
  <c r="B92" i="11"/>
  <c r="C92" i="11"/>
  <c r="B93" i="11"/>
  <c r="C93" i="11"/>
  <c r="B88" i="13"/>
  <c r="B89" i="13"/>
  <c r="B90" i="13"/>
  <c r="B91" i="13"/>
  <c r="B92" i="13"/>
  <c r="B88" i="4"/>
  <c r="B89" i="4"/>
  <c r="B90" i="4"/>
  <c r="B91" i="4"/>
  <c r="B92" i="4"/>
  <c r="C96" i="4"/>
  <c r="D90" i="11" l="1"/>
  <c r="D91" i="11"/>
  <c r="D92" i="11"/>
  <c r="C88" i="13" a="1"/>
  <c r="C88" i="13" s="1"/>
  <c r="C96" i="13" s="1"/>
  <c r="C97" i="13" s="1"/>
  <c r="C105" i="13" s="1"/>
  <c r="B97" i="11"/>
  <c r="B98" i="11" s="1"/>
  <c r="B106" i="11" s="1"/>
  <c r="D93" i="11"/>
  <c r="D89" i="11"/>
  <c r="C97" i="11"/>
  <c r="C97" i="4"/>
  <c r="B96" i="13"/>
  <c r="B96" i="4"/>
  <c r="C105" i="4" l="1"/>
  <c r="B97" i="13"/>
  <c r="B97" i="4"/>
  <c r="D97" i="11"/>
  <c r="C98" i="11"/>
  <c r="C106" i="11" l="1"/>
  <c r="D106" i="11" s="1"/>
  <c r="D98" i="11"/>
  <c r="B105" i="4"/>
  <c r="AG269" i="20"/>
  <c r="B105" i="13"/>
  <c r="BE101" i="3"/>
  <c r="AC455" i="3"/>
  <c r="AB266" i="20" l="1"/>
  <c r="AG268" i="20" s="1"/>
  <c r="AG270" i="20" s="1"/>
  <c r="AK273" i="20" s="1"/>
  <c r="T812" i="20" s="1"/>
  <c r="AF812" i="20" s="1"/>
  <c r="AB47" i="15"/>
  <c r="AB49" i="15" s="1"/>
  <c r="BE22" i="3"/>
  <c r="N185" i="23"/>
  <c r="AC454" i="3"/>
  <c r="N196" i="23" l="1"/>
  <c r="N186" i="23"/>
  <c r="F457" i="3"/>
  <c r="BE44" i="3"/>
  <c r="AB54" i="15"/>
  <c r="AB55" i="15" s="1"/>
  <c r="BE77" i="3"/>
  <c r="R85" i="4" l="1"/>
  <c r="E96" i="4"/>
  <c r="E97" i="4" s="1"/>
  <c r="E105" i="4" s="1"/>
  <c r="S84" i="4" l="1" a="1"/>
  <c r="E85" i="13" s="1"/>
  <c r="R96" i="4"/>
  <c r="R97" i="4" s="1"/>
  <c r="R105" i="4" s="1"/>
  <c r="G96" i="4"/>
  <c r="G97" i="4" s="1"/>
  <c r="G105" i="4" s="1"/>
  <c r="S84" i="4" l="1"/>
  <c r="E84" i="13" s="1"/>
  <c r="F84" i="13" s="1" a="1"/>
  <c r="F84" i="13" s="1"/>
  <c r="F96" i="13" s="1"/>
  <c r="F97" i="13" s="1"/>
  <c r="F105" i="13" s="1"/>
  <c r="F107" i="13" s="1"/>
  <c r="S96" i="4"/>
  <c r="S97" i="4" l="1"/>
  <c r="E96" i="13"/>
  <c r="T11" i="15"/>
  <c r="T23" i="15" s="1"/>
  <c r="T26" i="15" l="1"/>
  <c r="T28" i="15" s="1"/>
  <c r="E97" i="13"/>
  <c r="AZ1046" i="3"/>
  <c r="S105" i="4"/>
  <c r="E105" i="13" l="1"/>
  <c r="S107" i="4"/>
  <c r="AZ1051" i="3"/>
  <c r="BA1055" i="3" s="1"/>
  <c r="BA1059" i="3" s="1"/>
  <c r="BA1056" i="3"/>
  <c r="AC456" i="3" l="1"/>
  <c r="AF551" i="20"/>
  <c r="AF553" i="20" s="1"/>
  <c r="AK559" i="20" s="1"/>
  <c r="T818" i="20" s="1"/>
  <c r="AF818" i="20" s="1"/>
  <c r="E107" i="13"/>
  <c r="Y11" i="15" s="1"/>
  <c r="Y23" i="15" s="1"/>
  <c r="AA1056" i="3"/>
  <c r="AA1057" i="3" s="1"/>
  <c r="G1058" i="3" s="1"/>
  <c r="AF821" i="20" l="1"/>
  <c r="BE70" i="3" s="1"/>
  <c r="BE81" i="3"/>
  <c r="Y26" i="15"/>
  <c r="Y28" i="15" s="1"/>
  <c r="Y38" i="15" s="1"/>
  <c r="Y40" i="15" s="1"/>
  <c r="AD38" i="15"/>
  <c r="AD40" i="15" s="1"/>
  <c r="Y41" i="15" l="1"/>
  <c r="AB56" i="15" s="1"/>
  <c r="AB57" i="15" s="1"/>
  <c r="Y64" i="15"/>
  <c r="Y68" i="15" s="1"/>
  <c r="Y69" i="15" s="1"/>
  <c r="T29" i="15"/>
  <c r="M26" i="3" l="1"/>
  <c r="BE19" i="3" s="1"/>
  <c r="AB59" i="15"/>
  <c r="AB77" i="15" s="1"/>
  <c r="AB78" i="15" s="1"/>
  <c r="P204" i="3" l="1"/>
  <c r="AB79" i="15"/>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<sst xmlns="http://schemas.openxmlformats.org/spreadsheetml/2006/main" count="5012" uniqueCount="2764">
  <si>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</si>
  <si>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</si>
  <si>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</si>
  <si>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</si>
  <si>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</si>
  <si>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</si>
  <si>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</si>
  <si>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</si>
  <si>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</si>
  <si>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</si>
  <si>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</si>
  <si>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</si>
  <si>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</si>
  <si>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</si>
  <si>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</si>
  <si>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</si>
  <si>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</si>
  <si>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</si>
  <si>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</si>
  <si>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</si>
  <si>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</si>
  <si>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</si>
  <si>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</si>
  <si>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</si>
  <si>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</si>
  <si>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</si>
  <si>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</si>
  <si>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</si>
  <si>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</si>
  <si>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</si>
  <si>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</si>
  <si>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</si>
  <si>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</si>
  <si>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</si>
  <si>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</si>
  <si>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</si>
  <si>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</si>
  <si>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</si>
  <si>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</si>
  <si>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</si>
  <si>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</si>
  <si>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</si>
  <si>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</si>
  <si>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</si>
  <si>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</si>
  <si>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</si>
  <si>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</si>
  <si>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</si>
  <si>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</si>
  <si>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</si>
  <si>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</si>
  <si>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</si>
  <si>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</si>
  <si>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</si>
  <si>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</si>
  <si>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</si>
  <si>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</si>
  <si>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</si>
  <si>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</si>
  <si>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</si>
  <si>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</si>
  <si>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</si>
  <si>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</si>
  <si>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</si>
  <si>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</si>
  <si>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</si>
  <si>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</si>
  <si>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</si>
  <si>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</si>
  <si>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</si>
  <si>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</si>
  <si>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</si>
  <si>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</si>
  <si>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</si>
  <si>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</si>
  <si>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</si>
  <si>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</si>
  <si>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</si>
  <si>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</si>
  <si>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</si>
  <si>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</si>
  <si>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</si>
  <si>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</si>
  <si>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</si>
  <si>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</si>
  <si>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</si>
  <si>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</si>
  <si>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</si>
  <si>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</si>
  <si>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</si>
  <si>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</si>
  <si>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</si>
  <si>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</si>
  <si>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</si>
  <si>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</si>
  <si>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</si>
  <si>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</si>
  <si>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</si>
  <si>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</si>
  <si>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</si>
  <si>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</si>
  <si>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</si>
  <si>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</si>
  <si>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</si>
  <si>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</si>
  <si>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</si>
  <si>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</si>
  <si>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</si>
  <si>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</si>
  <si>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</si>
  <si>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</si>
  <si>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</si>
  <si>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</si>
  <si>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</si>
  <si>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</si>
  <si>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</si>
  <si>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</si>
  <si>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</si>
  <si>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</si>
  <si>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</si>
  <si>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</si>
  <si>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</si>
  <si>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</si>
  <si>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</si>
  <si>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</si>
  <si>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</si>
  <si>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</si>
  <si>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</si>
  <si>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</si>
  <si>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</si>
  <si>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</si>
  <si>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</si>
  <si>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</si>
  <si>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</si>
  <si>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</si>
  <si>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</si>
  <si>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</si>
  <si>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</si>
  <si>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</si>
  <si>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</si>
  <si>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</si>
  <si>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</si>
  <si>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</si>
  <si>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</si>
  <si>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</si>
  <si>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</si>
  <si>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</si>
  <si>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</si>
  <si>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</si>
  <si>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</si>
  <si>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</si>
  <si>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</si>
  <si>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</si>
  <si>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</si>
  <si>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</si>
  <si>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</si>
  <si>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</si>
  <si>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</si>
  <si>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</si>
  <si>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</si>
  <si>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</si>
  <si>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</si>
  <si>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</si>
  <si>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</si>
  <si>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</si>
  <si>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</si>
  <si>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</si>
  <si>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</si>
  <si>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</si>
  <si>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</si>
  <si>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</si>
  <si>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</si>
  <si>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</si>
  <si>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</si>
  <si>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</si>
  <si>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</si>
  <si>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</si>
  <si>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</si>
  <si>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</si>
  <si>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</si>
  <si>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</si>
  <si>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</si>
  <si>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</si>
  <si>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</si>
  <si>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</si>
  <si>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</si>
  <si>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</si>
  <si>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</si>
  <si>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</si>
  <si>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</si>
  <si>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</si>
  <si>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</si>
  <si>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</si>
  <si>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</si>
  <si>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</si>
  <si>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</si>
  <si>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</si>
  <si>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</si>
  <si>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</si>
  <si>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</si>
  <si>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</si>
  <si>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</si>
  <si>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</si>
  <si>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</si>
  <si>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</si>
  <si>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</si>
  <si>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</si>
  <si>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</si>
  <si>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</si>
  <si>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</si>
  <si>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</si>
  <si>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</si>
  <si>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</si>
  <si>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</si>
  <si>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</si>
  <si>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</si>
  <si>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</si>
  <si>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</si>
  <si>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</si>
  <si>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</si>
  <si>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</si>
  <si>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</si>
  <si>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</si>
  <si>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</si>
  <si>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</si>
  <si>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</si>
  <si>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</si>
  <si>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</si>
  <si>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</si>
  <si>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</si>
  <si>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</si>
  <si>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</si>
  <si>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</si>
  <si>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</si>
  <si>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</si>
  <si>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</si>
  <si>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</si>
  <si>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</si>
  <si>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</si>
  <si>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</si>
  <si>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</si>
  <si>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</si>
  <si>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</si>
  <si>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</si>
  <si>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</si>
  <si>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</si>
  <si>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</si>
  <si>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</si>
  <si>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</si>
  <si>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</si>
  <si>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</si>
  <si>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</si>
  <si>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</si>
  <si>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</si>
  <si>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</si>
  <si>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</si>
  <si>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</si>
  <si>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</si>
  <si>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</si>
  <si>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</si>
  <si>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</si>
  <si>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</si>
  <si>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</si>
  <si>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</si>
  <si>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</si>
  <si>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</si>
  <si>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</si>
  <si>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</si>
  <si>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</si>
  <si>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</si>
  <si>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</si>
  <si>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</si>
  <si>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</si>
  <si>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</si>
  <si>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</si>
  <si>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</si>
  <si>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</si>
  <si>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</si>
  <si>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</si>
  <si>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</si>
  <si>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</si>
  <si>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</si>
  <si>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</si>
  <si>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</si>
  <si>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</si>
  <si>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</si>
  <si>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</si>
  <si>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</si>
  <si>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</si>
  <si>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</si>
  <si>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</si>
  <si>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</si>
  <si>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</si>
  <si>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</si>
  <si>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</si>
  <si>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</si>
  <si>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</si>
  <si>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</si>
  <si>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</si>
  <si>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</si>
  <si>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</si>
  <si>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</si>
  <si>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</si>
  <si>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</si>
  <si>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</si>
  <si>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</si>
  <si>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</si>
  <si>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</si>
  <si>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</si>
  <si>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</si>
  <si>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</si>
  <si>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</si>
  <si>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</si>
  <si>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</si>
  <si>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</si>
  <si>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</si>
  <si>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</si>
  <si>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</si>
  <si>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</si>
  <si>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</si>
  <si>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</si>
  <si>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</si>
  <si>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</si>
  <si>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</si>
  <si>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</si>
  <si>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</si>
  <si>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</si>
  <si>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</si>
  <si>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</si>
  <si>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</si>
  <si>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</si>
  <si>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</si>
  <si>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</si>
  <si>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</si>
  <si>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</si>
  <si>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</si>
  <si>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</si>
  <si>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</si>
  <si>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</si>
  <si>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</si>
  <si>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</si>
  <si>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</si>
  <si>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</si>
  <si>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</si>
  <si>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</si>
  <si>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</si>
  <si>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</si>
  <si>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</si>
  <si>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</si>
  <si>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</si>
  <si>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</si>
  <si>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</si>
  <si>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</si>
  <si>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</si>
  <si>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</si>
  <si>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</si>
  <si>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</si>
  <si>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</si>
  <si>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</si>
  <si>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</si>
  <si>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</si>
  <si>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</si>
  <si>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</si>
  <si>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</si>
  <si>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</si>
  <si>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</si>
  <si>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</si>
  <si>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</si>
  <si>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</si>
  <si>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</si>
  <si>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</si>
  <si>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</si>
  <si>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</si>
  <si>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</si>
  <si>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</si>
  <si>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</si>
  <si>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</si>
  <si>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</si>
  <si>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</si>
  <si>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</si>
  <si>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</si>
  <si>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</si>
  <si>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</si>
  <si>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</si>
  <si>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</si>
  <si>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</si>
  <si>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</si>
  <si>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</si>
  <si>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</si>
  <si>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</si>
  <si>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</si>
  <si>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</si>
  <si>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</si>
  <si>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</si>
  <si>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</si>
  <si>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</si>
  <si>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</si>
  <si>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</si>
  <si>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</si>
  <si>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</si>
  <si>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</si>
  <si>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</si>
  <si>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</si>
  <si>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</si>
  <si>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</si>
  <si>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</si>
  <si>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</si>
  <si>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</si>
  <si>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</si>
  <si>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</si>
  <si>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</si>
  <si>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</si>
  <si>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</si>
  <si>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</si>
  <si>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</si>
  <si>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</si>
  <si>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</si>
  <si>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</si>
  <si>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</si>
  <si>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</si>
  <si>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</si>
  <si>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</si>
  <si>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</si>
  <si>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</si>
  <si>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</si>
  <si>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</si>
  <si>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</si>
  <si>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</si>
  <si>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</si>
  <si>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</si>
  <si>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</si>
  <si>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</si>
  <si>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</si>
  <si>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</si>
  <si>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</si>
  <si>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</si>
  <si>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</si>
  <si>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</si>
  <si>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</si>
  <si>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</si>
  <si>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</si>
  <si>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</si>
  <si>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</si>
  <si>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</si>
  <si>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</si>
  <si>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</si>
  <si>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</si>
  <si>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</si>
  <si>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</si>
  <si>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</si>
  <si>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</si>
  <si>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</si>
  <si>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</si>
  <si>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</si>
  <si>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</si>
  <si>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</si>
  <si>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</si>
  <si>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</si>
  <si>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</si>
  <si>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</si>
  <si>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</si>
  <si>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</si>
  <si>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</si>
  <si>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</si>
  <si>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</si>
  <si>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</si>
  <si>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</si>
  <si>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</si>
  <si>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</si>
  <si>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</si>
  <si>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</si>
  <si>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</si>
  <si>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</si>
  <si>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</si>
  <si>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</si>
  <si>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</si>
  <si>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</si>
  <si>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</si>
  <si>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</si>
  <si>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</si>
  <si>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</si>
  <si>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</si>
  <si>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</si>
  <si>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</si>
  <si>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</si>
  <si>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</si>
  <si>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</si>
  <si>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</si>
  <si>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</si>
  <si>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</si>
  <si>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</si>
  <si>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</si>
  <si>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</si>
  <si>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</si>
  <si>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</si>
  <si>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</si>
  <si>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</si>
  <si>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</si>
  <si>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</si>
  <si>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</si>
  <si>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</si>
  <si>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</si>
  <si>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</si>
  <si>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</si>
  <si>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</si>
  <si>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</si>
  <si>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</si>
  <si>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</si>
  <si>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</si>
  <si>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</si>
  <si>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</si>
  <si>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</si>
  <si>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</si>
  <si>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</si>
  <si>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</si>
  <si>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</si>
  <si>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</si>
  <si>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</si>
  <si>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</si>
  <si>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</si>
  <si>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</si>
  <si>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</si>
  <si>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</si>
  <si>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</si>
  <si>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</si>
  <si>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</si>
  <si>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</si>
  <si>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</si>
  <si>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</si>
  <si>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</si>
  <si>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</si>
  <si>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</si>
  <si>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</si>
  <si>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</si>
  <si>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</si>
  <si>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</si>
  <si>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</si>
  <si>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</si>
  <si>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</si>
  <si>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</si>
  <si>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</si>
  <si>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</si>
  <si>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</si>
  <si>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</si>
  <si>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</si>
  <si>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</si>
  <si>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</si>
  <si>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</si>
  <si>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</si>
  <si>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</si>
  <si>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</si>
  <si>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</si>
  <si>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</si>
  <si>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</si>
  <si>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</si>
  <si>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</si>
  <si>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</si>
  <si>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</si>
  <si>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</si>
  <si>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</si>
  <si>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</si>
  <si>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</si>
  <si>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</si>
  <si>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</si>
  <si>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</si>
  <si>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</si>
  <si>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</si>
  <si>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</si>
  <si>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</si>
  <si>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</si>
  <si>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</si>
  <si>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</si>
  <si>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</si>
  <si>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</si>
  <si>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</si>
  <si>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</si>
  <si>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</si>
  <si>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</si>
  <si>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</si>
  <si>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</si>
  <si>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</si>
  <si>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</si>
  <si>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</si>
  <si>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</si>
  <si>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</si>
  <si>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</si>
  <si>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</si>
  <si>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</si>
  <si>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</si>
  <si>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</si>
  <si>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</si>
  <si>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</si>
  <si>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</si>
  <si>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</si>
  <si>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</si>
  <si>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</si>
  <si>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</si>
  <si>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</si>
  <si>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</si>
  <si>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</si>
  <si>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</si>
  <si>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</si>
  <si>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</si>
  <si>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</si>
  <si>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</si>
  <si>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</si>
  <si>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</si>
  <si>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</si>
  <si>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</si>
  <si>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</si>
  <si>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</si>
  <si>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</si>
  <si>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</si>
  <si>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</si>
  <si>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</si>
  <si>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</si>
  <si>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</si>
  <si>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</si>
  <si>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</si>
  <si>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</si>
  <si>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</si>
  <si>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</si>
  <si>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</si>
  <si>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</si>
  <si>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</si>
  <si>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</si>
  <si>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</si>
  <si>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</si>
  <si>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</si>
  <si>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</si>
  <si>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</si>
  <si>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</si>
  <si>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</si>
  <si>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</si>
  <si>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</si>
  <si>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</si>
  <si>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</si>
  <si>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</si>
  <si>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</si>
  <si>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</si>
  <si>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</si>
  <si>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</si>
  <si>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</si>
  <si>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</si>
  <si>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</si>
  <si>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</si>
  <si>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</si>
  <si>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</si>
  <si>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</si>
  <si>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</si>
  <si>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</si>
  <si>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</si>
  <si>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</si>
  <si>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</si>
  <si>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</si>
  <si>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</si>
  <si>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</si>
  <si>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</si>
  <si>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</si>
  <si>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</si>
  <si>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</si>
  <si>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</si>
  <si>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</si>
  <si>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</si>
  <si>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</si>
  <si>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</si>
  <si>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</si>
  <si>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</si>
  <si>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</si>
  <si>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</si>
  <si>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</si>
  <si>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</si>
  <si>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</si>
  <si>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</si>
  <si>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</si>
  <si>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</si>
  <si>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</si>
  <si>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</si>
  <si>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</si>
  <si>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</si>
  <si>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</si>
  <si>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</si>
  <si>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</si>
  <si>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</si>
  <si>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</si>
  <si>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</si>
  <si>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</si>
  <si>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</si>
  <si>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</si>
  <si>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</si>
  <si>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</si>
  <si>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</si>
  <si>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</si>
  <si>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</si>
  <si>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</si>
  <si>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</si>
  <si>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</si>
  <si>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</si>
  <si>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</si>
  <si>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</si>
  <si>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</si>
  <si>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</si>
  <si>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</si>
  <si>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</si>
  <si>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</si>
  <si>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</si>
  <si>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</si>
  <si>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</si>
  <si>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</si>
  <si>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</si>
  <si>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</si>
  <si>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</si>
  <si>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</si>
  <si>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</si>
  <si>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</si>
  <si>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</si>
  <si>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</si>
  <si>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</si>
  <si>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</si>
  <si>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</si>
  <si>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</si>
  <si>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</si>
  <si>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</si>
  <si>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</si>
  <si>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</si>
  <si>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</si>
  <si>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</si>
  <si>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</si>
  <si>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</si>
  <si>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</si>
  <si>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</si>
  <si>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</si>
  <si>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</si>
  <si>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</si>
  <si>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</si>
  <si>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</si>
  <si>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</si>
  <si>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</si>
  <si>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</si>
  <si>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</si>
  <si>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</si>
  <si>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</si>
  <si>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</si>
  <si>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</si>
  <si>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</si>
  <si>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</si>
  <si>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</si>
  <si>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</si>
  <si>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</si>
  <si>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</si>
  <si>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</si>
  <si>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</si>
  <si>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</si>
  <si>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</si>
  <si>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</si>
  <si>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</si>
  <si>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</si>
  <si>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</si>
  <si>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</si>
  <si>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</si>
  <si>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</si>
  <si>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</si>
  <si>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</si>
  <si>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</si>
  <si>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</si>
  <si>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</si>
  <si>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</si>
  <si>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</si>
  <si>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</si>
  <si>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</si>
  <si>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</si>
  <si>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</si>
  <si>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</si>
  <si>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</si>
  <si>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</si>
  <si>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</si>
  <si>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</si>
  <si>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</si>
  <si>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</si>
  <si>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</si>
  <si>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</si>
  <si>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</si>
  <si>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</si>
  <si>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</si>
  <si>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</si>
  <si>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</si>
  <si>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</si>
  <si>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</si>
  <si>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</si>
  <si>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</si>
  <si>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</si>
  <si>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</si>
  <si>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</si>
  <si>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</si>
  <si>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</si>
  <si>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</si>
  <si>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</si>
  <si>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</si>
  <si>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</si>
  <si>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</si>
  <si>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</si>
  <si>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</si>
  <si>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</si>
  <si>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</si>
  <si>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</si>
  <si>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</si>
  <si>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</si>
  <si>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</si>
  <si>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</si>
  <si>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</si>
  <si>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</si>
  <si>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</si>
  <si>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</si>
  <si>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</si>
  <si>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</si>
  <si>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</si>
  <si>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</si>
  <si>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</si>
  <si>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</si>
  <si>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</si>
  <si>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</si>
  <si>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</si>
  <si>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</si>
  <si>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</si>
  <si>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</si>
  <si>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</si>
  <si>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</si>
  <si>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</si>
  <si>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</si>
  <si>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</si>
  <si>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</si>
  <si>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</si>
  <si>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</si>
  <si>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</si>
  <si>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</si>
  <si>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</si>
  <si>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</si>
  <si>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</si>
  <si>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</si>
  <si>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</si>
  <si>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</si>
  <si>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</si>
  <si>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</si>
  <si>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</si>
  <si>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</si>
  <si>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</si>
  <si>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</si>
  <si>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</si>
  <si>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</si>
  <si>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</si>
  <si>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</si>
  <si>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</si>
  <si>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</si>
  <si>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</si>
  <si>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</si>
  <si>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</si>
  <si>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</si>
  <si>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</si>
  <si>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</si>
  <si>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</si>
  <si>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</si>
  <si>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</si>
  <si>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</si>
  <si>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</si>
  <si>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</si>
  <si>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</si>
  <si>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</si>
  <si>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</si>
  <si>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</si>
  <si>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</si>
  <si>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</si>
  <si>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</si>
  <si>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</si>
  <si>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</si>
  <si>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</si>
  <si>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</si>
  <si>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</si>
  <si>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</si>
  <si>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</si>
  <si>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</si>
  <si>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</si>
  <si>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</si>
  <si>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</si>
  <si>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</si>
  <si>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</si>
  <si>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</si>
  <si>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</si>
  <si>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</si>
  <si>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</si>
  <si>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</si>
  <si>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</si>
  <si>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</si>
  <si>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</si>
  <si>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</si>
  <si>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</si>
  <si>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</si>
  <si>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</si>
  <si>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</si>
  <si>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</si>
  <si>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</si>
  <si>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</si>
  <si>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</si>
  <si>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</si>
  <si>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</si>
  <si>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</si>
  <si>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</si>
  <si>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</si>
  <si>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</si>
  <si>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</si>
  <si>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</si>
  <si>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</si>
  <si>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</si>
  <si>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</si>
  <si>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</si>
  <si>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</si>
  <si>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</si>
  <si>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</si>
  <si>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</si>
  <si>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</si>
  <si>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</si>
  <si>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</si>
  <si>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</si>
  <si>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</si>
  <si>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</si>
  <si>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</si>
  <si>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</si>
  <si>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</si>
  <si>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</si>
  <si>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</si>
  <si>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</si>
  <si>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</si>
  <si>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</si>
  <si>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</si>
  <si>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</si>
  <si>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</si>
  <si>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</si>
  <si>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</si>
  <si>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</si>
  <si>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</si>
  <si>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</si>
  <si>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</si>
  <si>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</si>
  <si>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</si>
  <si>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</si>
  <si>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</si>
  <si>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</si>
  <si>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</si>
  <si>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</si>
  <si>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</si>
  <si>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</si>
  <si>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</si>
  <si>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</si>
  <si>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</si>
  <si>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</si>
  <si>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</si>
  <si>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</si>
  <si>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</si>
  <si>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</si>
  <si>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</si>
  <si>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</si>
  <si>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</si>
  <si>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</si>
  <si>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</si>
  <si>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</si>
  <si>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</si>
  <si>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</si>
  <si>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</si>
  <si>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</si>
  <si>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</si>
  <si>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</si>
  <si>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</si>
  <si>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</si>
  <si>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</si>
  <si>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</si>
  <si>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</si>
  <si>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</si>
  <si>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</si>
  <si>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</si>
  <si>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</si>
  <si>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</si>
  <si>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</si>
  <si>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</si>
  <si>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</si>
  <si>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</si>
  <si>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</si>
  <si>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</si>
  <si>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</si>
  <si>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</si>
  <si>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</si>
  <si>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</si>
  <si>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</si>
  <si>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</si>
  <si>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</si>
  <si>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</si>
  <si>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</si>
  <si>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</si>
  <si>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</si>
  <si>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</si>
  <si>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</si>
  <si>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</si>
  <si>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</si>
  <si>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</si>
  <si>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</si>
  <si>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</si>
  <si>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</si>
  <si>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</si>
  <si>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</si>
  <si>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</si>
  <si>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</si>
  <si>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</si>
  <si>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</si>
  <si>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</si>
  <si>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</si>
  <si>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</si>
  <si>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</si>
  <si>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</si>
  <si>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</si>
  <si>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</si>
  <si>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</si>
  <si>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</si>
  <si>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</si>
  <si>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</si>
  <si>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</si>
  <si>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</si>
  <si>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</si>
  <si>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</si>
  <si>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</si>
  <si>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</si>
  <si>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</si>
  <si>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</si>
  <si>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</si>
  <si>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</si>
  <si>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</si>
  <si>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</si>
  <si>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</si>
  <si>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</si>
  <si>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</si>
  <si>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</si>
  <si>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</si>
  <si>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</si>
  <si>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</si>
  <si>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</si>
  <si>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</si>
  <si>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</si>
  <si>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</si>
  <si>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</si>
  <si>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</si>
  <si>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</si>
  <si>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</si>
  <si>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</si>
  <si>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</si>
  <si>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</si>
  <si>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</si>
  <si>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</si>
  <si>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</si>
  <si>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</si>
  <si>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</si>
  <si>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</si>
  <si>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</si>
  <si>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</si>
  <si>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</si>
  <si>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</si>
  <si>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</si>
  <si>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</si>
  <si>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</si>
  <si>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</si>
  <si>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</si>
  <si>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</si>
  <si>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</si>
  <si>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</si>
  <si>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</si>
  <si>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</si>
  <si>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</si>
  <si>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</si>
  <si>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</si>
  <si>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</si>
  <si>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</si>
  <si>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</si>
  <si>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</si>
  <si>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</si>
  <si>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</si>
  <si>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</si>
  <si>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</si>
  <si>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</si>
  <si>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</si>
  <si>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</si>
  <si>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</si>
  <si>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</si>
  <si>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</si>
  <si>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</si>
  <si>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</si>
  <si>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</si>
  <si>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</si>
  <si>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</si>
  <si>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</si>
  <si>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</si>
  <si>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</si>
  <si>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</si>
  <si>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</si>
  <si>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</si>
  <si>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</si>
  <si>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</si>
  <si>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</si>
  <si>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</si>
  <si>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</si>
  <si>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</si>
  <si>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</si>
  <si>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</si>
  <si>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</si>
  <si>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</si>
  <si>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</si>
  <si>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</si>
  <si>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</si>
  <si>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</si>
  <si>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</si>
  <si>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</si>
  <si>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</si>
  <si>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</si>
  <si>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</si>
  <si>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</si>
  <si>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</si>
  <si>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</si>
  <si>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</si>
  <si>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</si>
  <si>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</si>
  <si>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</si>
  <si>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</si>
  <si>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</si>
  <si>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</si>
  <si>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</si>
  <si>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</si>
  <si>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</si>
  <si>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</si>
  <si>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</si>
  <si>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</si>
  <si>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</si>
  <si>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</si>
  <si>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</si>
  <si>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</si>
  <si>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</si>
  <si>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</si>
  <si>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</si>
  <si>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</si>
  <si>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</si>
  <si>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</si>
  <si>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</si>
  <si>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</si>
  <si>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</si>
  <si>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</si>
  <si>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</si>
  <si>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</si>
  <si>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</si>
  <si>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</si>
  <si>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</si>
  <si>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</si>
  <si>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</si>
  <si>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</si>
  <si>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</si>
  <si>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</si>
  <si>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</si>
  <si>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</si>
  <si>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</si>
  <si>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</si>
  <si>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</si>
  <si>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</si>
  <si>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</si>
  <si>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</si>
  <si>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</si>
  <si>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</si>
  <si>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</si>
  <si>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</si>
  <si>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</si>
  <si>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</si>
  <si>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</si>
  <si>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</si>
  <si>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</si>
  <si>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</si>
  <si>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</si>
  <si>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</si>
  <si>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</si>
  <si>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</si>
  <si>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</si>
  <si>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</si>
  <si>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</si>
  <si>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</si>
  <si>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</si>
  <si>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</si>
  <si>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</si>
  <si>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</si>
  <si>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</si>
  <si>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</si>
  <si>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</si>
  <si>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</si>
  <si>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</si>
  <si>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</si>
  <si>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</si>
  <si>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</si>
  <si>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</si>
  <si>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</si>
  <si>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</si>
  <si>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</si>
  <si>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</si>
  <si>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</si>
  <si>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</si>
  <si>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</si>
  <si>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</si>
  <si>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</si>
  <si>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</si>
  <si>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</si>
  <si>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</si>
  <si>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</si>
  <si>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</si>
  <si>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</si>
  <si>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</si>
  <si>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</si>
  <si>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</si>
  <si>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</si>
  <si>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</si>
  <si>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</si>
  <si>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</si>
  <si>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</si>
  <si>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</si>
  <si>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</si>
  <si>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</si>
  <si>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</si>
  <si>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</si>
  <si>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</si>
  <si>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</si>
  <si>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</si>
  <si>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</si>
  <si>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</si>
  <si>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</si>
  <si>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</si>
  <si>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</si>
  <si>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</si>
  <si>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</si>
  <si>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</si>
  <si>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</si>
  <si>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</si>
  <si>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</si>
  <si>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</si>
  <si>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</si>
  <si>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</si>
  <si>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</si>
  <si>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</si>
  <si>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</si>
  <si>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</si>
  <si>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</si>
  <si>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</si>
  <si>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</si>
  <si>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</si>
  <si>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</si>
  <si>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</si>
  <si>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</si>
  <si>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</si>
  <si>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</si>
  <si>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</si>
  <si>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</si>
  <si>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</si>
  <si>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</si>
  <si>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</si>
  <si>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</si>
  <si>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</si>
  <si>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</si>
  <si>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</si>
  <si>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</si>
  <si>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</si>
  <si>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</si>
  <si>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</si>
  <si>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</si>
  <si>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</si>
  <si>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</si>
  <si>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</si>
  <si>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</si>
  <si>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</si>
  <si>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</si>
  <si>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</si>
  <si>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</si>
  <si>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</si>
  <si>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</si>
  <si>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</si>
  <si>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</si>
  <si>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</si>
  <si>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</si>
  <si>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</si>
  <si>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</si>
  <si>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</si>
  <si>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</si>
  <si>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</si>
  <si>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</si>
  <si>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</si>
  <si>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</si>
  <si>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</si>
  <si>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</si>
  <si>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</si>
  <si>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</si>
  <si>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</si>
  <si>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</si>
  <si>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</si>
  <si>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</si>
  <si>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</si>
  <si>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</si>
  <si>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</si>
  <si>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</si>
  <si>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</si>
  <si>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</si>
  <si>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</si>
  <si>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</si>
  <si>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</si>
  <si>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</si>
  <si>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</si>
  <si>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</si>
  <si>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</si>
  <si>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</si>
  <si>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</si>
  <si>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</si>
  <si>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</si>
  <si>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</si>
  <si>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</si>
  <si>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</si>
  <si>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</si>
  <si>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</si>
  <si>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</si>
  <si>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</si>
  <si>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</si>
  <si>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</si>
  <si>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</si>
  <si>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</si>
  <si>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</si>
  <si>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</si>
  <si>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</si>
  <si>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</si>
  <si>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</si>
  <si>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</si>
  <si>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</si>
  <si>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</si>
  <si>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</si>
  <si>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</si>
  <si>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</si>
  <si>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</si>
  <si>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</si>
  <si>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</si>
  <si>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</si>
  <si>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</si>
  <si>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</si>
  <si>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</si>
  <si>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</si>
  <si>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</si>
  <si>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</si>
  <si>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</si>
  <si>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</si>
  <si>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</si>
  <si>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</si>
  <si>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</si>
  <si>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</si>
  <si>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</si>
  <si>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</si>
  <si>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</si>
  <si>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</si>
  <si>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</si>
  <si>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</si>
  <si>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</si>
  <si>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</si>
  <si>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</si>
  <si>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</si>
  <si>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</si>
  <si>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</si>
  <si>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</si>
  <si>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</si>
  <si>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</si>
  <si>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</si>
  <si>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</si>
  <si>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</si>
  <si>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</si>
  <si>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</si>
  <si>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</si>
  <si>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</si>
  <si>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</si>
  <si>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</si>
  <si>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</si>
  <si>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</si>
  <si>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</si>
  <si>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</si>
  <si>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</si>
  <si>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</si>
  <si>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</si>
  <si>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</si>
  <si>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</si>
  <si>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</si>
  <si>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</si>
  <si>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</si>
  <si>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</si>
  <si>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</si>
  <si>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</si>
  <si>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</si>
  <si>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</si>
  <si>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</si>
  <si>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</si>
  <si>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</si>
  <si>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</si>
  <si>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</si>
  <si>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</si>
  <si>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</si>
  <si>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</si>
  <si>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</si>
  <si>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</si>
  <si>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</si>
  <si>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</si>
  <si>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</si>
  <si>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</si>
  <si>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</si>
  <si>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</si>
  <si>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</si>
  <si>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</si>
  <si>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</si>
  <si>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</si>
  <si>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</si>
  <si>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</si>
  <si>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</si>
  <si>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</si>
  <si>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</si>
  <si>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</si>
  <si>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</si>
  <si>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</si>
  <si>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</si>
  <si>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</si>
  <si>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</si>
  <si>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</si>
  <si>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</si>
  <si>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</si>
  <si>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</si>
  <si>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</si>
  <si>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</si>
  <si>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</si>
  <si>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</si>
  <si>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</si>
  <si>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</si>
  <si>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</si>
  <si>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</si>
  <si>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</si>
  <si>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</si>
  <si>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</si>
  <si>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</si>
  <si>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</si>
  <si>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</si>
  <si>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</si>
  <si>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</si>
  <si>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</si>
  <si>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</si>
  <si>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</si>
  <si>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</si>
  <si>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</si>
  <si>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</si>
  <si>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</si>
  <si>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</si>
  <si>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</si>
  <si>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</si>
  <si>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</si>
  <si>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</si>
  <si>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</si>
  <si>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</si>
  <si>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</si>
  <si>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</si>
  <si>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</si>
  <si>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</si>
  <si>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</si>
  <si>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</si>
  <si>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</si>
  <si>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</si>
  <si>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</si>
  <si>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</si>
  <si>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</si>
  <si>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</si>
  <si>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</si>
  <si>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</si>
  <si>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</si>
  <si>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</si>
  <si>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</si>
  <si>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</si>
  <si>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</si>
  <si>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</si>
  <si>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</si>
  <si>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</si>
  <si>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</si>
  <si>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</si>
  <si>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</si>
  <si>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</si>
  <si>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</si>
  <si>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</si>
  <si>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</si>
  <si>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</si>
  <si>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</si>
  <si>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</si>
  <si>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</si>
  <si>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</si>
  <si>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</si>
  <si>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</si>
  <si>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</si>
  <si>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</si>
  <si>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</si>
  <si>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</si>
  <si>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</si>
  <si>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</si>
  <si>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</si>
  <si>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</si>
  <si>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</si>
  <si>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</si>
  <si>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</si>
  <si>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</si>
  <si>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</si>
  <si>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</si>
  <si>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</si>
  <si>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</si>
  <si>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</si>
  <si>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</si>
  <si>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</si>
  <si>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</si>
  <si>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</si>
  <si>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</si>
  <si>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</si>
  <si>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</si>
  <si>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</si>
  <si>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</si>
  <si>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</si>
  <si>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</si>
  <si>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</si>
  <si>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</si>
  <si>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</si>
  <si>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</si>
  <si>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</si>
  <si>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</si>
  <si>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</si>
  <si>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</si>
  <si>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</si>
  <si>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</si>
  <si>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</si>
  <si>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</si>
  <si>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</si>
  <si>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</si>
  <si>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</si>
  <si>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</si>
  <si>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</si>
  <si>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</si>
  <si>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</si>
  <si>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</si>
  <si>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</si>
  <si>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</si>
  <si>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</si>
  <si>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</si>
  <si>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</si>
  <si>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</si>
  <si>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</si>
  <si>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</si>
  <si>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</si>
  <si>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</si>
  <si>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</si>
  <si>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</si>
  <si>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</si>
  <si>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</si>
  <si>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</si>
  <si>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</si>
  <si>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</si>
  <si>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</si>
  <si>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</si>
  <si>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</si>
  <si>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</si>
  <si>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</si>
  <si>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</si>
  <si>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</si>
  <si>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</si>
  <si>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</si>
  <si>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</si>
  <si>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</si>
  <si>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</si>
  <si>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</si>
  <si>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</si>
  <si>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</si>
  <si>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</si>
  <si>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</si>
  <si>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</si>
  <si>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</si>
  <si>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</si>
  <si>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</si>
  <si>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</si>
  <si>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</si>
  <si>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</si>
  <si>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</si>
  <si>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</si>
  <si>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</si>
  <si>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</si>
  <si>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</si>
  <si>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</si>
  <si>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</si>
  <si>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</si>
  <si>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</si>
  <si>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</si>
  <si>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</si>
  <si>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</si>
  <si>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</si>
  <si>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</si>
  <si>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</si>
  <si>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</si>
  <si>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</si>
  <si>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</si>
  <si>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</si>
  <si>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</si>
  <si>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</si>
  <si>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</si>
  <si>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</si>
  <si>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</si>
  <si>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</si>
  <si>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</si>
  <si>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</si>
  <si>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</si>
  <si>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</si>
  <si>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</si>
  <si>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</si>
  <si>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</si>
  <si>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</si>
  <si>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</si>
  <si>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</si>
  <si>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</si>
  <si>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</si>
  <si>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</si>
  <si>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</si>
  <si>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</si>
  <si>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</si>
  <si>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</si>
  <si>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</si>
  <si>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</si>
  <si>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</si>
  <si>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</si>
  <si>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</si>
  <si>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</si>
  <si>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</si>
  <si>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</si>
  <si>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</si>
  <si>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</si>
  <si>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</si>
  <si>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</si>
  <si>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</si>
  <si>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</si>
  <si>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</si>
  <si>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</si>
  <si>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</si>
  <si>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</si>
  <si>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</si>
  <si>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</si>
  <si>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</si>
  <si>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</si>
  <si>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</si>
  <si>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</si>
  <si>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</si>
  <si>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</si>
  <si>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</si>
  <si>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</si>
  <si>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</si>
  <si>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</si>
  <si>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</si>
  <si>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</si>
  <si>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</si>
  <si>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</si>
  <si>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</si>
  <si>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</si>
  <si>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</si>
  <si>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</si>
  <si>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</si>
  <si>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</si>
  <si>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</si>
  <si>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</si>
  <si>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</si>
  <si>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</si>
  <si>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</si>
  <si>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</si>
  <si>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</si>
  <si>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</si>
  <si>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</si>
  <si>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</si>
  <si>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</si>
  <si>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</si>
  <si>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</si>
  <si>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</si>
  <si>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</si>
  <si>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</si>
  <si>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</si>
  <si>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</si>
  <si>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</si>
  <si>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</si>
  <si>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</si>
  <si>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</si>
  <si>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</si>
  <si>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</si>
  <si>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</si>
  <si>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</si>
  <si>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</si>
  <si>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</si>
  <si>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</si>
  <si>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</si>
  <si>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</si>
  <si>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</si>
  <si>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</si>
  <si>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</si>
  <si>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</si>
  <si>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</si>
  <si>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</si>
  <si>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</si>
  <si>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</si>
  <si>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</si>
  <si>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</si>
  <si>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</si>
  <si>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</si>
  <si>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</si>
  <si>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</si>
  <si>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</si>
  <si>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</si>
  <si>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</si>
  <si>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</si>
  <si>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</si>
  <si>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</si>
  <si>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</si>
  <si>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</si>
  <si>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</si>
  <si>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</si>
  <si>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</si>
  <si>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</si>
  <si>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</si>
  <si>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</si>
  <si>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</si>
  <si>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</si>
  <si>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</si>
  <si>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</si>
  <si>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</si>
  <si>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</si>
  <si>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</si>
  <si>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</si>
  <si>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</si>
  <si>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</si>
  <si>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</si>
  <si>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</si>
  <si>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</si>
  <si>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</si>
  <si>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</si>
  <si>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</si>
  <si>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</si>
  <si>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</si>
  <si>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</si>
  <si>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</si>
  <si>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</si>
  <si>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</si>
  <si>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</si>
  <si>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</si>
  <si>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</si>
  <si>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</si>
  <si>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</si>
  <si>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</si>
  <si>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</si>
  <si>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</si>
  <si>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</si>
  <si>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</si>
  <si>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</si>
  <si>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</si>
  <si>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</si>
  <si>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</si>
  <si>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</si>
  <si>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</si>
  <si>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</si>
  <si>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</si>
  <si>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</si>
  <si>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</si>
  <si>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</si>
  <si>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</si>
  <si>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</si>
  <si>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</si>
  <si>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</si>
  <si>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</si>
  <si>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</si>
  <si>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</si>
  <si>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</si>
  <si>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</si>
  <si>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</si>
  <si>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</si>
  <si>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</si>
  <si>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</si>
  <si>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</si>
  <si>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</si>
  <si>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</si>
  <si>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</si>
  <si>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</si>
  <si>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</si>
  <si>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</si>
  <si>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</si>
  <si>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</si>
  <si>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</si>
  <si>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</si>
  <si>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</si>
  <si>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</si>
  <si>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</si>
  <si>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</si>
  <si>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</si>
  <si>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</si>
  <si>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</si>
  <si>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</si>
  <si>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</si>
  <si>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</si>
  <si>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</si>
  <si>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</si>
  <si>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</si>
  <si>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</si>
  <si>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</si>
  <si>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</si>
  <si>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</si>
  <si>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</si>
  <si>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</si>
  <si>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</si>
  <si>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</si>
  <si>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</si>
  <si>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</si>
  <si>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</si>
  <si>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</si>
  <si>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</si>
  <si>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</si>
  <si>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</si>
  <si>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</si>
  <si>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</si>
  <si>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</si>
  <si>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</si>
  <si>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</si>
  <si>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</si>
  <si>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</si>
  <si>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</si>
  <si>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</si>
  <si>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</si>
  <si>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</si>
  <si>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</si>
  <si>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</si>
  <si>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</si>
  <si>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</si>
  <si>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</si>
  <si>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</si>
  <si>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</si>
  <si>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</si>
  <si>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</si>
  <si>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</si>
  <si>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</si>
  <si>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</si>
  <si>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</si>
  <si>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</si>
  <si>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</si>
  <si>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</si>
  <si>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</si>
  <si>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</si>
  <si>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</si>
  <si>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</si>
  <si>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</si>
  <si>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</si>
  <si>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</si>
  <si>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</si>
  <si>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</si>
  <si>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</si>
  <si>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</si>
  <si>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</si>
  <si>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</si>
  <si>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</si>
  <si>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</si>
  <si>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</si>
  <si>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</si>
  <si>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</si>
  <si>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</si>
  <si>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</si>
  <si>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</si>
  <si>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</si>
  <si>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</si>
  <si>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</si>
  <si>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</si>
  <si>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</si>
  <si>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</si>
  <si>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</si>
  <si>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</si>
  <si>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</si>
  <si>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</si>
  <si>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</si>
  <si>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</si>
  <si>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</si>
  <si>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</si>
  <si>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</si>
  <si>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</si>
  <si>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</si>
  <si>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</si>
  <si>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</si>
  <si>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</si>
  <si>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</si>
  <si>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</si>
  <si>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</si>
  <si>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</si>
  <si>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</si>
  <si>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</si>
  <si>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</si>
  <si>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</si>
  <si>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</si>
  <si>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</si>
  <si>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</si>
  <si>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</si>
  <si>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</si>
  <si>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</si>
  <si>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</si>
  <si>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</si>
  <si>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</si>
  <si>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</si>
  <si>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</si>
  <si>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</si>
  <si>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</si>
  <si>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</si>
  <si>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</si>
  <si>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</si>
  <si>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</si>
  <si>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</si>
  <si>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</si>
  <si>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</si>
  <si>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</si>
  <si>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</si>
  <si>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</si>
  <si>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</si>
  <si>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</si>
  <si>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</si>
  <si>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</si>
  <si>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</si>
  <si>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</si>
  <si>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</si>
  <si>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</si>
  <si>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</si>
  <si>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</si>
  <si>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</si>
  <si>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</si>
  <si>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</si>
  <si>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</si>
  <si>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</si>
  <si>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</si>
  <si>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</si>
  <si>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</si>
  <si>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</si>
  <si>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</si>
  <si>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</si>
  <si>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</si>
  <si>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</si>
  <si>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</si>
  <si>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</si>
  <si>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</si>
  <si>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</si>
  <si>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</si>
  <si>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</si>
  <si>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</si>
  <si>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</si>
  <si>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</si>
  <si>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</si>
  <si>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</si>
  <si>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</si>
  <si>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</si>
  <si>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</si>
  <si>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</si>
  <si>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</si>
  <si>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</si>
  <si>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</si>
  <si>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</si>
  <si>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</si>
  <si>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</si>
  <si>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</si>
  <si>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</si>
  <si>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</si>
  <si>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</si>
  <si>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</si>
  <si>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</si>
  <si>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</si>
  <si>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</si>
  <si>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</si>
  <si>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</si>
  <si>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</si>
  <si>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</si>
  <si>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</si>
  <si>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</si>
  <si>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</si>
  <si>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</si>
  <si>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</si>
  <si>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</si>
  <si>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</si>
  <si>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</si>
  <si>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</si>
  <si>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</si>
  <si>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</si>
  <si>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</si>
  <si>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</si>
  <si>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</si>
  <si>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</si>
  <si>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</si>
  <si>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</si>
  <si>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</si>
  <si>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</si>
  <si>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</si>
  <si>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</si>
  <si>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</si>
  <si>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</si>
  <si>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</si>
  <si>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</si>
  <si>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</si>
  <si>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</si>
  <si>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</si>
  <si>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</si>
  <si>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</si>
  <si>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</si>
  <si>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</si>
  <si>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</si>
  <si>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</si>
  <si>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</si>
  <si>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</si>
  <si>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</si>
  <si>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</si>
  <si>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</si>
  <si>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</si>
  <si>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</si>
  <si>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</si>
  <si>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</si>
  <si>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</si>
  <si>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</si>
  <si>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</si>
  <si>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</si>
  <si>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</si>
  <si>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</si>
  <si>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</si>
  <si>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</si>
  <si>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</si>
  <si>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</si>
  <si>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</si>
  <si>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</si>
  <si>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</si>
  <si>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</si>
  <si>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</si>
  <si>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</si>
  <si>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</si>
  <si>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</si>
  <si>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</si>
  <si>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</si>
  <si>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</si>
  <si>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</si>
  <si>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</si>
  <si>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</si>
  <si>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</si>
  <si>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</si>
  <si>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</si>
  <si>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</si>
  <si>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</si>
  <si>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</si>
  <si>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</si>
  <si>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</si>
  <si>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</si>
  <si>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</si>
  <si>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</si>
  <si>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</si>
  <si>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</si>
  <si>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</si>
  <si>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</si>
  <si>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</si>
  <si>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</si>
  <si>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</si>
  <si>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</si>
  <si>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</si>
  <si>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</si>
  <si>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</si>
  <si>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</si>
  <si>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</si>
  <si>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</si>
  <si>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</si>
  <si>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</si>
  <si>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</si>
  <si>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</si>
  <si>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</si>
  <si>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</si>
  <si>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</si>
  <si>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</si>
  <si>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</si>
  <si>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</si>
  <si>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</si>
  <si>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</si>
  <si>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</si>
  <si>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</si>
  <si>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</si>
  <si>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</si>
  <si>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</si>
  <si>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</si>
  <si>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</si>
  <si>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</si>
  <si>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</si>
  <si>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</si>
  <si>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</si>
  <si>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</si>
  <si>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</si>
  <si>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</si>
  <si>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</si>
  <si>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</si>
  <si>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</si>
  <si>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</si>
  <si>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</si>
  <si>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</si>
  <si>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</si>
  <si>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</si>
  <si>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</si>
  <si>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</si>
  <si>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</si>
  <si>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</si>
  <si>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</si>
  <si>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</si>
  <si>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</si>
  <si>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</si>
  <si>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</si>
  <si>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</si>
  <si>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</si>
  <si>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</si>
  <si>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</si>
  <si>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</si>
  <si>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</si>
  <si>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</si>
  <si>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</si>
  <si>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</si>
  <si>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</si>
  <si>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</si>
  <si>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</si>
  <si>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</si>
  <si>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</si>
  <si>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</si>
  <si>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</si>
  <si>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</si>
  <si>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</si>
  <si>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</si>
  <si>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</si>
  <si>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</si>
  <si>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</si>
  <si>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</si>
  <si>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</si>
  <si>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</si>
  <si>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</si>
  <si>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</si>
  <si>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</si>
  <si>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</si>
  <si>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</si>
  <si>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</si>
  <si>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</si>
  <si>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</si>
  <si>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</si>
  <si>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</si>
  <si>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</si>
  <si>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</si>
  <si>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</si>
  <si>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</si>
  <si>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</si>
  <si>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</si>
  <si>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</si>
  <si>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</si>
  <si>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</si>
  <si>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</si>
  <si>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</si>
  <si>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</si>
  <si>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</si>
  <si>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</si>
  <si>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</si>
  <si>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</si>
  <si>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</si>
  <si>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</si>
  <si>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</si>
  <si>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</si>
  <si>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</si>
  <si>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</si>
  <si>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</si>
  <si>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</si>
  <si>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</si>
  <si>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</si>
  <si>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</si>
  <si>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</si>
  <si>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</si>
  <si>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</si>
  <si>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</si>
  <si>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</si>
  <si>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</si>
  <si>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</si>
  <si>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</si>
  <si>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</si>
  <si>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</si>
  <si>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</si>
  <si>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</si>
  <si>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</si>
  <si>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</si>
  <si>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</si>
  <si>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</si>
  <si>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</si>
  <si>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</si>
  <si>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</si>
  <si>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</si>
  <si>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</si>
  <si>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</si>
  <si>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</si>
  <si>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</si>
  <si>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</si>
  <si>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</si>
  <si>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</si>
  <si>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</si>
  <si>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</si>
  <si>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</si>
  <si>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</si>
  <si>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</si>
  <si>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</si>
  <si>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</si>
  <si>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</si>
  <si>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</si>
  <si>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</si>
  <si>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</si>
  <si>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</si>
  <si>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</si>
  <si>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</si>
  <si>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</si>
  <si>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</si>
  <si>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</si>
  <si>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</si>
  <si>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</si>
  <si>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</si>
  <si>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</si>
  <si>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</si>
  <si>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</si>
  <si>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</si>
  <si>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</si>
  <si>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</si>
  <si>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</si>
  <si>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</si>
  <si>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</si>
  <si>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</si>
  <si>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</si>
  <si>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</si>
  <si>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</si>
  <si>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</si>
  <si>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</si>
  <si>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</si>
  <si>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</si>
  <si>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</si>
  <si>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</si>
  <si>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</si>
  <si>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</si>
  <si>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</si>
  <si>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</si>
  <si>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</si>
  <si>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</si>
  <si>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</si>
  <si>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</si>
  <si>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</si>
  <si>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</si>
  <si>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</si>
  <si>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</si>
  <si>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</si>
  <si>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</si>
  <si>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</si>
  <si>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</si>
  <si>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</si>
  <si>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</si>
  <si>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</si>
  <si>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</si>
  <si>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</si>
  <si>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</si>
  <si>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</si>
  <si>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</si>
  <si>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</si>
  <si>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</si>
  <si>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</si>
  <si>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</si>
  <si>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</si>
  <si>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</si>
  <si>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</si>
  <si>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</si>
  <si>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</si>
  <si>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</si>
  <si>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</si>
  <si>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</si>
  <si>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</si>
  <si>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</si>
  <si>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</si>
  <si>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</si>
  <si>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</si>
  <si>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</si>
  <si>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</si>
  <si>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</si>
  <si>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</si>
  <si>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</si>
  <si>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</si>
  <si>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</si>
  <si>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</si>
  <si>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</si>
  <si>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</si>
  <si>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</si>
  <si>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</si>
  <si>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</si>
  <si>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</si>
  <si>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</si>
  <si>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</si>
  <si>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</si>
  <si>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</si>
  <si>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</si>
  <si>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</si>
  <si>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</si>
  <si>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</si>
  <si>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</si>
  <si>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</si>
  <si>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</si>
  <si>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</si>
  <si>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</si>
  <si>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</si>
  <si>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</si>
  <si>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</si>
  <si>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</si>
  <si>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</si>
  <si>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</si>
  <si>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</si>
  <si>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</si>
  <si>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</si>
  <si>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</si>
  <si>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</si>
  <si>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</si>
  <si>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</si>
  <si>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</si>
  <si>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</si>
  <si>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</si>
  <si>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</si>
  <si>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</si>
  <si>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</si>
  <si>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</si>
  <si>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</si>
  <si>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</si>
  <si>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</si>
  <si>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</si>
  <si>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</si>
  <si>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</si>
  <si>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</si>
  <si>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</si>
  <si>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</si>
  <si>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</si>
  <si>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</si>
  <si>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</si>
  <si>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</si>
  <si>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</si>
  <si>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</si>
  <si>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</si>
  <si>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</si>
  <si>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</si>
  <si>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</si>
  <si>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</si>
  <si>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</si>
  <si>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</si>
  <si>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</si>
  <si>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</si>
  <si>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</si>
  <si>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</si>
  <si>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</si>
  <si>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</si>
  <si>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</si>
  <si>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</si>
  <si>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</si>
  <si>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</si>
  <si>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</si>
  <si>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</si>
  <si>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</si>
  <si>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</si>
  <si>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</si>
  <si>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</si>
  <si>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</si>
  <si>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</si>
  <si>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</si>
  <si>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</si>
  <si>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</si>
  <si>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</si>
  <si>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</si>
  <si>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</si>
  <si>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</si>
  <si>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</si>
  <si>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</si>
  <si>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</si>
  <si>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</si>
  <si>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</si>
  <si>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</si>
  <si>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</si>
  <si>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</si>
  <si>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</si>
  <si>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</si>
  <si>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</si>
  <si>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</si>
  <si>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</si>
  <si>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</si>
  <si>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</si>
  <si>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</si>
  <si>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</si>
  <si>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</si>
  <si>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</si>
  <si>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</si>
  <si>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</si>
  <si>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</si>
  <si>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</si>
  <si>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</si>
  <si>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</si>
  <si>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</si>
  <si>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</si>
  <si>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</si>
  <si>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</si>
  <si>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</si>
  <si>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</si>
  <si>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</si>
  <si>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</si>
  <si>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</si>
  <si>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</si>
  <si>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</si>
  <si>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</si>
  <si>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</si>
  <si>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</si>
  <si>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</si>
  <si>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</si>
  <si>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</si>
  <si>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</si>
  <si>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</si>
  <si>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</si>
  <si>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</si>
  <si>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</si>
  <si>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</si>
  <si>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</si>
  <si>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</si>
  <si>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</si>
  <si>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</si>
  <si>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</si>
  <si>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</si>
  <si>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</si>
  <si>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</si>
  <si>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</si>
  <si>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</si>
  <si>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</si>
  <si>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</si>
  <si>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</si>
  <si>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</si>
  <si>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</si>
  <si>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</si>
  <si>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</si>
  <si>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</si>
  <si>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</si>
  <si>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</si>
  <si>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</si>
  <si>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</si>
  <si>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</si>
  <si>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</si>
  <si>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</si>
  <si>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</si>
  <si>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</si>
  <si>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</si>
  <si>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</si>
  <si>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</si>
  <si>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</si>
  <si>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</si>
  <si>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</si>
  <si>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</si>
  <si>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</si>
  <si>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</si>
  <si>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</si>
  <si>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</si>
  <si>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</si>
  <si>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</si>
  <si>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</si>
  <si>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</si>
  <si>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</si>
  <si>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</si>
  <si>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</si>
  <si>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</si>
  <si>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</si>
  <si>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</si>
  <si>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</si>
  <si>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</si>
  <si>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</si>
  <si>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</si>
  <si>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</si>
  <si>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</si>
  <si>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</si>
  <si>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</si>
  <si>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</si>
  <si>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</si>
  <si>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</si>
  <si>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</si>
  <si>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</si>
  <si>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</si>
  <si>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</si>
  <si>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</si>
  <si>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</si>
  <si>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</si>
  <si>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</si>
  <si>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</si>
  <si>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</si>
  <si>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</si>
  <si>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</si>
  <si>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</si>
  <si>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</si>
  <si>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</si>
  <si>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</si>
  <si>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</si>
  <si>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</si>
  <si>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</si>
  <si>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</si>
  <si>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</si>
  <si>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</si>
  <si>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</si>
  <si>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</si>
  <si>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</si>
  <si>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</si>
  <si>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</si>
  <si>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</si>
  <si>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</si>
  <si>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</si>
  <si>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</si>
  <si>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</si>
  <si>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</si>
  <si>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</si>
  <si>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</si>
  <si>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</si>
  <si>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</si>
  <si>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</si>
  <si>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</si>
  <si>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</si>
  <si>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</si>
  <si>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</si>
  <si>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</si>
  <si>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</si>
  <si>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</si>
  <si>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</si>
  <si>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</si>
  <si>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</si>
  <si>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</si>
  <si>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</si>
  <si>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</si>
  <si>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</si>
  <si>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</si>
  <si>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</si>
  <si>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</si>
  <si>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</si>
  <si>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</si>
  <si>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</si>
  <si>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</si>
  <si>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</si>
  <si>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</si>
  <si>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</si>
  <si>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</si>
  <si>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</si>
  <si>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</si>
  <si>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</si>
  <si>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</si>
  <si>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</si>
  <si>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</si>
  <si>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</si>
  <si>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</si>
  <si>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</si>
  <si>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</si>
  <si>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</si>
  <si>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</si>
  <si>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</si>
  <si>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</si>
  <si>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</si>
  <si>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</si>
  <si>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</si>
  <si>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</si>
  <si>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</si>
  <si>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</si>
  <si>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</si>
  <si>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</si>
  <si>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</si>
  <si>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</si>
  <si>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</si>
  <si>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</si>
  <si>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</si>
  <si>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</si>
  <si>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</si>
  <si>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</si>
  <si>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</si>
  <si>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</si>
  <si>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</si>
  <si>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</si>
  <si>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</si>
  <si>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</si>
  <si>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</si>
  <si>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</si>
  <si>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</si>
  <si>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</si>
  <si>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</si>
  <si>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</si>
  <si>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</si>
  <si>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</si>
  <si>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</si>
  <si>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</si>
  <si>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</si>
  <si>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</si>
  <si>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</si>
  <si>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</si>
  <si>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</si>
  <si>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</si>
  <si>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</si>
  <si>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</si>
  <si>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</si>
  <si>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</si>
  <si>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</si>
  <si>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</si>
  <si>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</si>
  <si>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</si>
  <si>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</si>
  <si>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</si>
  <si>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</si>
  <si>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</si>
  <si>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</si>
  <si>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</si>
  <si>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</si>
  <si>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CRP The Junction LP</t>
  </si>
  <si>
    <t>The Junction</t>
  </si>
  <si>
    <t>City of Tracy</t>
  </si>
  <si>
    <t>Ms. Ellen K. Gripp</t>
  </si>
  <si>
    <t>Community Development Agency Manager</t>
  </si>
  <si>
    <t>324 11th Street, Suite E 2</t>
  </si>
  <si>
    <t>Tracy</t>
  </si>
  <si>
    <t>(209) 831-4630</t>
  </si>
  <si>
    <t>(209) 830-6837</t>
  </si>
  <si>
    <t>elleng@ci.tracy.ca.us</t>
  </si>
  <si>
    <t>235-069-090-0000, 235-069-100-0000, 235-069-110-0000, 235-069-120-0000,235-069-130-0000,  235-069-150-0000 &amp; 235-069-160-0000</t>
  </si>
  <si>
    <t>122 E 42nd Street, Suite 1903</t>
  </si>
  <si>
    <t>New York</t>
  </si>
  <si>
    <t>NY</t>
  </si>
  <si>
    <t>Paul Salib</t>
  </si>
  <si>
    <t>212-776-1914</t>
  </si>
  <si>
    <t>psalib@crpaffordable.com</t>
  </si>
  <si>
    <t>The Junction AGP LLC</t>
  </si>
  <si>
    <t>Administrative GP</t>
  </si>
  <si>
    <t>Managing GP</t>
  </si>
  <si>
    <t>Community Revitalization and Development Corporation</t>
  </si>
  <si>
    <t>Redding</t>
  </si>
  <si>
    <t>CA</t>
  </si>
  <si>
    <t>David Rutledge</t>
  </si>
  <si>
    <t>530-241-6960</t>
  </si>
  <si>
    <t>david@crdc-housing.org</t>
  </si>
  <si>
    <t>CRP Affordable Housing and Community Development LLC</t>
  </si>
  <si>
    <t>Seth Sterneck</t>
  </si>
  <si>
    <t>646-518-7280</t>
  </si>
  <si>
    <t>ssterneck@crpaffordable.com</t>
  </si>
  <si>
    <t>Developer</t>
  </si>
  <si>
    <t>4429 Morena Blvd STE A</t>
  </si>
  <si>
    <t>San Diego, CA 92117</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</si>
  <si>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</si>
  <si>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</si>
  <si>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</si>
  <si>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</si>
  <si>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</si>
  <si>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</si>
  <si>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</si>
  <si>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</si>
  <si>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</si>
  <si>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Thomas A. Hodgin</t>
  </si>
  <si>
    <t>(619) 378-7878</t>
  </si>
  <si>
    <t>thodgin@ironcorecc.com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</si>
  <si>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</si>
  <si>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</si>
  <si>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</si>
  <si>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</si>
  <si>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</si>
  <si>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</si>
  <si>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</si>
  <si>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</si>
  <si>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</si>
  <si>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</si>
  <si>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</si>
  <si>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kshaw@ptrenergy.com</t>
  </si>
  <si>
    <t>Novogradac &amp;Company LLP</t>
  </si>
  <si>
    <t>Rachel Denton</t>
  </si>
  <si>
    <t>913-312-4612</t>
  </si>
  <si>
    <t>rachel.denton@novoco.com</t>
  </si>
  <si>
    <t>6700 Antioch Rd #450</t>
  </si>
  <si>
    <t>Merriam, KS 66204</t>
  </si>
  <si>
    <t>Rachel.denton@novoco.com</t>
  </si>
  <si>
    <t>Cambridge Real Estate Services, Inc.</t>
  </si>
  <si>
    <t>PO Box 2968</t>
  </si>
  <si>
    <t>Portland, OR 97208</t>
  </si>
  <si>
    <t>Jeffrey Passadore</t>
  </si>
  <si>
    <t xml:space="preserve">503-450-0233 </t>
  </si>
  <si>
    <t>jpassadore@cambridgeres.com</t>
  </si>
  <si>
    <t>California Housing Finance Authority</t>
  </si>
  <si>
    <t>500 Capitola Mall, Suite 400</t>
  </si>
  <si>
    <t>Sacremento, CA 95814</t>
  </si>
  <si>
    <t>Kevin Brown</t>
  </si>
  <si>
    <t>916-616-8899</t>
  </si>
  <si>
    <t>kbrown@calhfa.ca.gov</t>
  </si>
  <si>
    <t>34159 Yucaipa Blvd., Suite B</t>
  </si>
  <si>
    <t>Yucaipa, CA. 92399</t>
  </si>
  <si>
    <t>Jake Buchenauer</t>
  </si>
  <si>
    <t>925-989-2145</t>
  </si>
  <si>
    <t>jake.b@dimension-arch.com</t>
  </si>
  <si>
    <t>Vacant Land</t>
  </si>
  <si>
    <t>The Junction LP</t>
  </si>
  <si>
    <t>William Rutledge</t>
  </si>
  <si>
    <t>Authorized Signatory</t>
  </si>
  <si>
    <t>Other (Specify below)</t>
  </si>
  <si>
    <t xml:space="preserve">Vacant </t>
  </si>
  <si>
    <t>Central Business District (CBD); Density - 29DU/Ac</t>
  </si>
  <si>
    <t>Central Business District (CBD); Density - 52DU/Ac</t>
  </si>
  <si>
    <t>USDA 514 FLH Loan</t>
  </si>
  <si>
    <t>Housing Authority County of San Joaquin</t>
  </si>
  <si>
    <t>LIHTC Equity</t>
  </si>
  <si>
    <t>Community Revitalization and Redevelopment Corporation</t>
  </si>
  <si>
    <t>Provided</t>
  </si>
  <si>
    <t>Not Applicable</t>
  </si>
  <si>
    <t>1918 West Street</t>
  </si>
  <si>
    <t>Dimension Architecture &amp; Design, Inc.</t>
  </si>
  <si>
    <t>USDA Section 521</t>
  </si>
  <si>
    <t xml:space="preserve">4-Stories Type VA  Residential Units </t>
  </si>
  <si>
    <t>Of 46 total units, 45 are farmworker units and 7 units will have mobility accessibility features as per TCAC requirements. </t>
  </si>
  <si>
    <t xml:space="preserve">4429 Morena Blvd, Suite A, San Diego CA 92117
</t>
  </si>
  <si>
    <t>CitiBank Construction Loan (Tax- Exempt)</t>
  </si>
  <si>
    <t>Federal LIHTC Equity</t>
  </si>
  <si>
    <t>State LIHTC Equity</t>
  </si>
  <si>
    <t>Deferred Costs</t>
  </si>
  <si>
    <t>300 South Grand Avenue</t>
  </si>
  <si>
    <t>Los Angeles, CA 90071</t>
  </si>
  <si>
    <t>Hao Li</t>
  </si>
  <si>
    <t>Tax Exempt Bonds/Private</t>
  </si>
  <si>
    <t>4429 Morena Blvd Suite A</t>
  </si>
  <si>
    <t>Variable</t>
  </si>
  <si>
    <t>CitiBank Permenant Loan</t>
  </si>
  <si>
    <t>USDA 514 FLH Permenant Loan</t>
  </si>
  <si>
    <t>P.O. Box 771340, Rural Housing Service Multifamily Housing</t>
  </si>
  <si>
    <t>St. Louis, MO 63177</t>
  </si>
  <si>
    <t>Jason Church</t>
  </si>
  <si>
    <t>(517) 324-5217</t>
  </si>
  <si>
    <t>Cost Deferral, Private</t>
  </si>
  <si>
    <t>Private</t>
  </si>
  <si>
    <t>895 Dove Street, Suite 450</t>
  </si>
  <si>
    <t>R4 Capital</t>
  </si>
  <si>
    <t>Newport Beach, CA 92660</t>
  </si>
  <si>
    <t xml:space="preserve">Corey Bannister </t>
  </si>
  <si>
    <t xml:space="preserve">949-438-1056    
 </t>
  </si>
  <si>
    <t>CBannister@r4cap.com</t>
  </si>
  <si>
    <t xml:space="preserve">949-438-1056    </t>
  </si>
  <si>
    <t xml:space="preserve">CitiBank Construction Loan (Taxable) </t>
  </si>
  <si>
    <t>App. Fees, Late, etc</t>
  </si>
  <si>
    <t>Office Sal and Expenses</t>
  </si>
  <si>
    <t>Benefits</t>
  </si>
  <si>
    <t>Supplies</t>
  </si>
  <si>
    <t>Payroll Taxes (Project's Share)</t>
  </si>
  <si>
    <t>Property and liability insurance</t>
  </si>
  <si>
    <t>Worker's compensation</t>
  </si>
  <si>
    <t>Health insurance, other employee benefit, insurance, License, etc.</t>
  </si>
  <si>
    <t>SB 35</t>
  </si>
  <si>
    <t>Employment Reporting</t>
  </si>
  <si>
    <t>Legal for Perm Loan</t>
  </si>
  <si>
    <t xml:space="preserve">Misc. Third Party Costs </t>
  </si>
  <si>
    <t>Prevailing Wage Monitoring,CDLAC Fee &amp; Predevelopment Interest</t>
  </si>
  <si>
    <t>1 bedroom</t>
  </si>
  <si>
    <t>2 bedroom</t>
  </si>
  <si>
    <t>3 bedroom</t>
  </si>
  <si>
    <t>SB 35 Ministrial Approval</t>
  </si>
  <si>
    <t>USHA 514 FLH Perm Loan</t>
  </si>
  <si>
    <t>Below residual receipts line for cash flow</t>
  </si>
  <si>
    <t>601 North Central Ave,</t>
  </si>
  <si>
    <t>No parking standards if developer meets criteria stipulated by AB-2345</t>
  </si>
  <si>
    <t>Shall not exceed 60 feet AND 4 stories.</t>
  </si>
  <si>
    <t>Lender, Bond Issuer, and Partner Legal</t>
  </si>
  <si>
    <t>Initial Operating Capital &amp; Environmental Mitigation Compliance</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</si>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</sst>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77">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1">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1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182" fontId="25" fillId="43" borderId="11" xfId="8721" applyNumberFormat="1" applyFont="1" applyFill="1" applyBorder="1" applyAlignment="1" applyProtection="1">
      <alignment horizontal="center" vertical="center" wrapText="1"/>
      <protection locked="0"/>
    </xf>
    <xf numFmtId="0" fontId="0" fillId="0" borderId="6" xfId="0" applyBorder="1" applyAlignment="1">
      <alignment horizontal="left"/>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68" fontId="17" fillId="0" borderId="11" xfId="543" applyNumberFormat="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26" fillId="5" borderId="6" xfId="271" applyFill="1" applyBorder="1" applyProtection="1">
      <protection locked="0"/>
    </xf>
    <xf numFmtId="0" fontId="24" fillId="0" borderId="11" xfId="0" applyFont="1" applyBorder="1" applyAlignment="1">
      <alignment horizontal="center"/>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5" borderId="4" xfId="0" applyFont="1" applyFill="1" applyBorder="1" applyAlignment="1" applyProtection="1">
      <alignment wrapText="1"/>
      <protection locked="0"/>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17" fillId="0" borderId="11" xfId="0" applyFont="1" applyBorder="1" applyAlignment="1">
      <alignment horizontal="center"/>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9" fontId="17" fillId="5" borderId="3" xfId="0" applyNumberFormat="1" applyFont="1" applyFill="1" applyBorder="1" applyAlignment="1" applyProtection="1">
      <alignment horizontal="right"/>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0" fontId="24" fillId="0" borderId="12" xfId="0" applyFont="1" applyBorder="1" applyAlignment="1">
      <alignment horizontal="center" wrapText="1"/>
    </xf>
    <xf numFmtId="0" fontId="24" fillId="0" borderId="10" xfId="0" applyFont="1" applyBorder="1" applyAlignment="1">
      <alignment horizont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0" fillId="0" borderId="9" xfId="0" applyBorder="1" applyAlignment="1">
      <alignment horizontal="left"/>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7" fillId="5" borderId="11" xfId="0" applyFont="1" applyFill="1" applyBorder="1" applyAlignment="1" applyProtection="1">
      <alignment horizontal="left" wrapText="1"/>
      <protection locked="0"/>
    </xf>
    <xf numFmtId="0" fontId="26" fillId="5" borderId="6" xfId="0" applyFont="1" applyFill="1" applyBorder="1" applyAlignment="1" applyProtection="1">
      <alignment horizontal="center"/>
      <protection locked="0"/>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0" borderId="11"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0" borderId="6" xfId="0" applyFont="1" applyBorder="1" applyAlignment="1">
      <alignment horizontal="center"/>
    </xf>
    <xf numFmtId="0" fontId="0" fillId="0" borderId="3" xfId="0" applyBorder="1"/>
    <xf numFmtId="0" fontId="0" fillId="0" borderId="4" xfId="0" applyBorder="1"/>
    <xf numFmtId="0" fontId="0" fillId="0" borderId="5" xfId="0" applyBorder="1"/>
    <xf numFmtId="168" fontId="0" fillId="5" borderId="11" xfId="0" applyNumberFormat="1" applyFill="1" applyBorder="1" applyProtection="1">
      <protection locked="0"/>
    </xf>
    <xf numFmtId="0" fontId="17" fillId="0" borderId="0" xfId="543" applyAlignment="1">
      <alignment horizontal="center"/>
    </xf>
    <xf numFmtId="168" fontId="0" fillId="0" borderId="11" xfId="0" applyNumberFormat="1" applyBorder="1"/>
    <xf numFmtId="1" fontId="26"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6" fillId="0" borderId="3" xfId="0" applyFont="1" applyBorder="1" applyAlignment="1">
      <alignment horizontal="left"/>
    </xf>
    <xf numFmtId="0" fontId="17" fillId="0" borderId="3" xfId="0" applyFont="1" applyBorder="1"/>
    <xf numFmtId="0" fontId="17" fillId="0" borderId="4" xfId="0" applyFont="1" applyBorder="1"/>
    <xf numFmtId="0" fontId="17" fillId="0" borderId="5" xfId="0" applyFont="1" applyBorder="1"/>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4" fillId="0" borderId="0" xfId="0" applyFont="1" applyAlignment="1">
      <alignment horizontal="center" vertical="center"/>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71" fontId="17" fillId="0" borderId="0" xfId="543" applyNumberFormat="1" applyAlignment="1">
      <alignment horizontal="center"/>
    </xf>
    <xf numFmtId="0" fontId="26" fillId="0" borderId="1" xfId="0" applyFont="1" applyBorder="1" applyAlignment="1">
      <alignment horizontal="center" vertical="top" wrapText="1"/>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0"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4" fillId="0" borderId="9" xfId="0" applyFont="1" applyBorder="1" applyAlignment="1">
      <alignment horizontal="center"/>
    </xf>
    <xf numFmtId="0" fontId="26" fillId="5" borderId="9" xfId="0" applyFont="1" applyFill="1" applyBorder="1" applyAlignment="1" applyProtection="1">
      <alignment horizontal="center"/>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66" fontId="17" fillId="5" borderId="4" xfId="0" applyNumberFormat="1" applyFont="1" applyFill="1" applyBorder="1" applyAlignment="1" applyProtection="1">
      <alignment horizontal="left"/>
      <protection locked="0"/>
    </xf>
    <xf numFmtId="14" fontId="17"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71" fontId="17" fillId="0" borderId="0" xfId="543" applyNumberFormat="1" applyAlignment="1">
      <alignment horizontal="right"/>
    </xf>
    <xf numFmtId="9" fontId="17"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24" fillId="0" borderId="7" xfId="0" applyFont="1" applyBorder="1" applyAlignment="1">
      <alignment horizontal="center" wrapText="1"/>
    </xf>
    <xf numFmtId="168" fontId="156" fillId="0" borderId="0" xfId="0" applyNumberFormat="1" applyFont="1" applyAlignment="1">
      <alignment horizontal="center" vertical="center" wrapText="1"/>
    </xf>
    <xf numFmtId="0" fontId="26" fillId="0" borderId="11" xfId="0" applyFont="1" applyBorder="1" applyAlignment="1">
      <alignment horizontal="center"/>
    </xf>
    <xf numFmtId="0" fontId="0" fillId="5" borderId="3" xfId="0" quotePrefix="1" applyFill="1" applyBorder="1" applyAlignment="1" applyProtection="1">
      <alignment horizontal="right"/>
      <protection locked="0"/>
    </xf>
    <xf numFmtId="0" fontId="17" fillId="43" borderId="11" xfId="0"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0" fontId="26" fillId="0" borderId="11" xfId="0" applyFont="1" applyBorder="1" applyAlignment="1">
      <alignment horizontal="center" vertical="top" wrapText="1"/>
    </xf>
    <xf numFmtId="166" fontId="17" fillId="5" borderId="4" xfId="0" applyNumberFormat="1" applyFont="1" applyFill="1" applyBorder="1" applyAlignment="1" applyProtection="1">
      <alignment horizontal="left" wrapText="1"/>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166" fontId="26" fillId="5" borderId="6" xfId="0" applyNumberFormat="1" applyFont="1" applyFill="1" applyBorder="1" applyAlignment="1" applyProtection="1">
      <alignment horizontal="lef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80" fontId="0" fillId="0" borderId="6" xfId="0" applyNumberForma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6" fillId="0" borderId="11" xfId="0" applyNumberFormat="1" applyFont="1" applyBorder="1" applyAlignment="1">
      <alignment horizontal="center"/>
    </xf>
    <xf numFmtId="49" fontId="0" fillId="5" borderId="6" xfId="0" applyNumberForma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68" fontId="17" fillId="0" borderId="3" xfId="0" applyNumberFormat="1" applyFont="1" applyBorder="1" applyAlignment="1">
      <alignment horizontal="left" vertical="top"/>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17" fillId="5" borderId="6" xfId="0" applyFon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7" fillId="5" borderId="4" xfId="0" applyFont="1" applyFill="1" applyBorder="1" applyAlignment="1" applyProtection="1">
      <alignment horizontal="left" wrapText="1"/>
      <protection locked="0"/>
    </xf>
    <xf numFmtId="166" fontId="26" fillId="5" borderId="4" xfId="271"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17" fillId="5" borderId="6" xfId="271"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166" fontId="17" fillId="5" borderId="6" xfId="0" applyNumberFormat="1" applyFont="1" applyFill="1" applyBorder="1" applyAlignment="1" applyProtection="1">
      <alignment horizontal="left" wrapText="1"/>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17" fillId="5" borderId="0" xfId="244"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6" fillId="5" borderId="11" xfId="0" applyFont="1" applyFill="1" applyBorder="1" applyAlignment="1" applyProtection="1">
      <alignment horizontal="center"/>
      <protection locked="0"/>
    </xf>
    <xf numFmtId="0" fontId="17" fillId="5" borderId="4" xfId="0" applyFont="1" applyFill="1" applyBorder="1" applyAlignment="1" applyProtection="1">
      <alignment horizontal="center" wrapText="1"/>
      <protection locked="0"/>
    </xf>
    <xf numFmtId="168" fontId="26" fillId="5" borderId="6" xfId="0" applyNumberFormat="1" applyFon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2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3" fontId="26" fillId="5" borderId="11" xfId="0" applyNumberFormat="1" applyFont="1" applyFill="1" applyBorder="1" applyAlignment="1" applyProtection="1">
      <alignment horizontal="center"/>
      <protection locked="0"/>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0" fontId="26" fillId="0" borderId="11" xfId="0" applyNumberFormat="1"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0" fillId="0" borderId="12" xfId="0" applyBorder="1" applyAlignment="1">
      <alignment horizontal="center"/>
    </xf>
    <xf numFmtId="3" fontId="26" fillId="0" borderId="11" xfId="0" applyNumberFormat="1"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77">
    <cellStyle name="20% - Accent1" xfId="1" builtinId="30" customBuiltin="1"/>
    <cellStyle name="20% - Accent1 10" xfId="4504" xr:uid="{00000000-0005-0000-0000-000001000000}"/>
    <cellStyle name="20% - Accent1 10 2" xfId="12954" xr:uid="{EA9DF29F-233C-44B3-9F7B-83C22252131F}"/>
    <cellStyle name="20% - Accent1 11" xfId="8736" xr:uid="{D6E17AFC-1225-4C46-BB12-CA6E01390C01}"/>
    <cellStyle name="20% - Accent1 2" xfId="2" xr:uid="{00000000-0005-0000-0000-000002000000}"/>
    <cellStyle name="20% - Accent1 2 10" xfId="8737" xr:uid="{B10BA982-213E-4B64-AD90-27458FD8441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980E5455-51F8-4EBD-B1C5-D2EBEC5836F7}"/>
    <cellStyle name="20% - Accent1 2 2 2 2 2 3" xfId="11298" xr:uid="{07EB4D09-9CFA-41B1-9418-D9FF53BA566B}"/>
    <cellStyle name="20% - Accent1 2 2 2 2 3" xfId="4921" xr:uid="{00000000-0005-0000-0000-000008000000}"/>
    <cellStyle name="20% - Accent1 2 2 2 2 3 2" xfId="13371" xr:uid="{DDF017B3-CBE5-4808-A2B6-5EE6C65767D7}"/>
    <cellStyle name="20% - Accent1 2 2 2 2 4" xfId="9153" xr:uid="{58F2CE03-356B-446D-910E-94B317398AB6}"/>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24936127-AC13-4A73-A98F-2A401EF6B718}"/>
    <cellStyle name="20% - Accent1 2 2 2 3 2 3" xfId="11711" xr:uid="{4DF53D03-389F-45F7-B5CD-D18693CAB51A}"/>
    <cellStyle name="20% - Accent1 2 2 2 3 3" xfId="5334" xr:uid="{00000000-0005-0000-0000-00000C000000}"/>
    <cellStyle name="20% - Accent1 2 2 2 3 3 2" xfId="13784" xr:uid="{D93DAD6E-E626-407A-8DD6-043924BA7C8B}"/>
    <cellStyle name="20% - Accent1 2 2 2 3 4" xfId="9566" xr:uid="{82257516-E79D-427E-B5A7-4ECA047240D9}"/>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F8FCD3C3-7F7A-4435-8548-9CA3BC1F4CD0}"/>
    <cellStyle name="20% - Accent1 2 2 2 4 2 3" xfId="12124" xr:uid="{2898512F-B3E6-47A4-A8E0-1C28A515B055}"/>
    <cellStyle name="20% - Accent1 2 2 2 4 3" xfId="5747" xr:uid="{00000000-0005-0000-0000-000010000000}"/>
    <cellStyle name="20% - Accent1 2 2 2 4 3 2" xfId="14197" xr:uid="{9D48D1DA-5D96-47AA-84E1-32A849C431F2}"/>
    <cellStyle name="20% - Accent1 2 2 2 4 4" xfId="9979" xr:uid="{606F5829-4CC8-45CC-BCD4-169D456ED6F7}"/>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BFE1DD6C-1BB9-4638-BFB3-196F7C980AB8}"/>
    <cellStyle name="20% - Accent1 2 2 2 5 2 3" xfId="12537" xr:uid="{448F83CC-0DD0-4195-88B5-B53A8BE5824A}"/>
    <cellStyle name="20% - Accent1 2 2 2 5 3" xfId="6160" xr:uid="{00000000-0005-0000-0000-000014000000}"/>
    <cellStyle name="20% - Accent1 2 2 2 5 3 2" xfId="14610" xr:uid="{95D945C0-78B4-486E-BD81-59D80E2C002E}"/>
    <cellStyle name="20% - Accent1 2 2 2 5 4" xfId="10392" xr:uid="{9C91AB88-DA7B-4854-B54A-F6B587DFB417}"/>
    <cellStyle name="20% - Accent1 2 2 2 6" xfId="2267" xr:uid="{00000000-0005-0000-0000-000015000000}"/>
    <cellStyle name="20% - Accent1 2 2 2 6 2" xfId="6573" xr:uid="{00000000-0005-0000-0000-000016000000}"/>
    <cellStyle name="20% - Accent1 2 2 2 6 2 2" xfId="15023" xr:uid="{81BD51D6-C989-4E55-BE0D-B6FE8A9F82F7}"/>
    <cellStyle name="20% - Accent1 2 2 2 6 3" xfId="10805" xr:uid="{D5318E0D-1AC3-4F27-8136-685258E029F8}"/>
    <cellStyle name="20% - Accent1 2 2 2 7" xfId="4507" xr:uid="{00000000-0005-0000-0000-000017000000}"/>
    <cellStyle name="20% - Accent1 2 2 2 7 2" xfId="12957" xr:uid="{11AB9227-B876-4909-A01E-CF3B696F01C1}"/>
    <cellStyle name="20% - Accent1 2 2 2 8" xfId="8739" xr:uid="{9ECB6FE8-AC2C-48E0-A5F3-17F2BF7705BA}"/>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19DCCEC4-8BEE-408C-85AF-B3615B0232D3}"/>
    <cellStyle name="20% - Accent1 2 2 3 2 3" xfId="11297" xr:uid="{C01DCA39-614E-418E-9321-CB78B566743E}"/>
    <cellStyle name="20% - Accent1 2 2 3 3" xfId="4920" xr:uid="{00000000-0005-0000-0000-00001B000000}"/>
    <cellStyle name="20% - Accent1 2 2 3 3 2" xfId="13370" xr:uid="{E1BF702C-48D0-4D7E-94EB-CC7E1E455FF5}"/>
    <cellStyle name="20% - Accent1 2 2 3 4" xfId="9152" xr:uid="{F09F4CA6-A6E4-423D-A3D8-3E6E4BD3ECD6}"/>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856EC47F-814D-443B-9456-409C01D74706}"/>
    <cellStyle name="20% - Accent1 2 2 4 2 3" xfId="11710" xr:uid="{A9F81C64-DAAB-4DEF-9750-E4F0443EBA9B}"/>
    <cellStyle name="20% - Accent1 2 2 4 3" xfId="5333" xr:uid="{00000000-0005-0000-0000-00001F000000}"/>
    <cellStyle name="20% - Accent1 2 2 4 3 2" xfId="13783" xr:uid="{CD960F6E-3D79-4A12-940D-9C719E52344D}"/>
    <cellStyle name="20% - Accent1 2 2 4 4" xfId="9565" xr:uid="{D5E953E6-8DE4-467A-92C3-88C75B5AD3BE}"/>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2B4133C6-11D8-425A-B040-F9B4BBD5DECB}"/>
    <cellStyle name="20% - Accent1 2 2 5 2 3" xfId="12123" xr:uid="{036E70C7-9924-4D3E-99A5-7780011ECC0B}"/>
    <cellStyle name="20% - Accent1 2 2 5 3" xfId="5746" xr:uid="{00000000-0005-0000-0000-000023000000}"/>
    <cellStyle name="20% - Accent1 2 2 5 3 2" xfId="14196" xr:uid="{A93433A8-FD23-4F06-B3EC-5A6F83541951}"/>
    <cellStyle name="20% - Accent1 2 2 5 4" xfId="9978" xr:uid="{F122C897-FF9D-4E77-B6EC-FD9124FB95A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36D8E8DA-B4D7-40D6-B41A-9E52DA649761}"/>
    <cellStyle name="20% - Accent1 2 2 6 2 3" xfId="12536" xr:uid="{3E1E1B5D-A315-4AD2-93C6-48A347EEE999}"/>
    <cellStyle name="20% - Accent1 2 2 6 3" xfId="6159" xr:uid="{00000000-0005-0000-0000-000027000000}"/>
    <cellStyle name="20% - Accent1 2 2 6 3 2" xfId="14609" xr:uid="{B85FF156-FD85-4D1B-BCDB-9E0F42E994AB}"/>
    <cellStyle name="20% - Accent1 2 2 6 4" xfId="10391" xr:uid="{29EDEC1D-A82E-4DF1-8BE4-C8168D59D5F4}"/>
    <cellStyle name="20% - Accent1 2 2 7" xfId="2266" xr:uid="{00000000-0005-0000-0000-000028000000}"/>
    <cellStyle name="20% - Accent1 2 2 7 2" xfId="6572" xr:uid="{00000000-0005-0000-0000-000029000000}"/>
    <cellStyle name="20% - Accent1 2 2 7 2 2" xfId="15022" xr:uid="{1FA03836-4141-4813-B5CD-D92F3F75D373}"/>
    <cellStyle name="20% - Accent1 2 2 7 3" xfId="10804" xr:uid="{E58FB341-DF4E-486B-B3A9-3610FAB877B2}"/>
    <cellStyle name="20% - Accent1 2 2 8" xfId="4506" xr:uid="{00000000-0005-0000-0000-00002A000000}"/>
    <cellStyle name="20% - Accent1 2 2 8 2" xfId="12956" xr:uid="{901BAF6A-6A13-428F-A46D-DB93FF56533D}"/>
    <cellStyle name="20% - Accent1 2 2 9" xfId="8738" xr:uid="{14772B50-CD22-45C7-A0C2-42BAAC1E0DF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11059043-B064-4BB1-8F18-8C5CC2DFD0B0}"/>
    <cellStyle name="20% - Accent1 2 3 2 2 3" xfId="11299" xr:uid="{31EE3B34-6CD2-4737-8026-D66D9B76EA04}"/>
    <cellStyle name="20% - Accent1 2 3 2 3" xfId="4922" xr:uid="{00000000-0005-0000-0000-00002F000000}"/>
    <cellStyle name="20% - Accent1 2 3 2 3 2" xfId="13372" xr:uid="{E136A0B2-BF99-43C4-8B79-4494B034BCCB}"/>
    <cellStyle name="20% - Accent1 2 3 2 4" xfId="9154" xr:uid="{BE4BE2CF-E055-4E67-8603-9B0B4CD46905}"/>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23FE1608-0376-469C-AE21-84600EFEA936}"/>
    <cellStyle name="20% - Accent1 2 3 3 2 3" xfId="11712" xr:uid="{2A81DAA0-8D84-488D-B9C7-5319B059D6D3}"/>
    <cellStyle name="20% - Accent1 2 3 3 3" xfId="5335" xr:uid="{00000000-0005-0000-0000-000033000000}"/>
    <cellStyle name="20% - Accent1 2 3 3 3 2" xfId="13785" xr:uid="{BB257BAD-1086-4C5C-9CE2-D3CABFDC13D9}"/>
    <cellStyle name="20% - Accent1 2 3 3 4" xfId="9567" xr:uid="{E299B380-4535-4F58-9F0D-189059F3A69C}"/>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37F36D06-B90F-4A74-AC34-B8CEC7C3EED5}"/>
    <cellStyle name="20% - Accent1 2 3 4 2 3" xfId="12125" xr:uid="{D7E6AC73-ED68-4E9F-A801-156C2589A36D}"/>
    <cellStyle name="20% - Accent1 2 3 4 3" xfId="5748" xr:uid="{00000000-0005-0000-0000-000037000000}"/>
    <cellStyle name="20% - Accent1 2 3 4 3 2" xfId="14198" xr:uid="{56A771FB-1FA0-4A9C-A88F-5BE8C266061D}"/>
    <cellStyle name="20% - Accent1 2 3 4 4" xfId="9980" xr:uid="{A8F21E63-0233-4DF3-B05A-85458D796C9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95F88262-F3BD-4FC0-98B0-C07F8219C427}"/>
    <cellStyle name="20% - Accent1 2 3 5 2 3" xfId="12538" xr:uid="{78A79501-5495-41A9-A973-F86D132332DF}"/>
    <cellStyle name="20% - Accent1 2 3 5 3" xfId="6161" xr:uid="{00000000-0005-0000-0000-00003B000000}"/>
    <cellStyle name="20% - Accent1 2 3 5 3 2" xfId="14611" xr:uid="{42777A5E-0B1D-4EF6-8CFC-9620556B5363}"/>
    <cellStyle name="20% - Accent1 2 3 5 4" xfId="10393" xr:uid="{086CAB48-EFEC-47DA-B0C5-27D94009A8C9}"/>
    <cellStyle name="20% - Accent1 2 3 6" xfId="2268" xr:uid="{00000000-0005-0000-0000-00003C000000}"/>
    <cellStyle name="20% - Accent1 2 3 6 2" xfId="6574" xr:uid="{00000000-0005-0000-0000-00003D000000}"/>
    <cellStyle name="20% - Accent1 2 3 6 2 2" xfId="15024" xr:uid="{9E3E45C3-0220-4ACD-BA11-A58448468A83}"/>
    <cellStyle name="20% - Accent1 2 3 6 3" xfId="10806" xr:uid="{8B013777-2C36-449E-9553-5092E68C4528}"/>
    <cellStyle name="20% - Accent1 2 3 7" xfId="4508" xr:uid="{00000000-0005-0000-0000-00003E000000}"/>
    <cellStyle name="20% - Accent1 2 3 7 2" xfId="12958" xr:uid="{4CE2430B-E460-4C33-AF8F-9E5281E892D4}"/>
    <cellStyle name="20% - Accent1 2 3 8" xfId="8740" xr:uid="{83241464-36DE-4C81-A982-0BB4979D420B}"/>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C3517299-D479-4A17-960F-3D12E294A0FF}"/>
    <cellStyle name="20% - Accent1 2 4 2 3" xfId="11296" xr:uid="{39ABB10D-DC95-413B-B3A1-7027A8A4D8DA}"/>
    <cellStyle name="20% - Accent1 2 4 3" xfId="4919" xr:uid="{00000000-0005-0000-0000-000042000000}"/>
    <cellStyle name="20% - Accent1 2 4 3 2" xfId="13369" xr:uid="{C80B835F-C90E-4224-808D-5999B25A5414}"/>
    <cellStyle name="20% - Accent1 2 4 4" xfId="9151" xr:uid="{C0C5DBAE-FB15-4821-82D2-822D85991A5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CF09360D-80F1-4A20-9500-06E397155D50}"/>
    <cellStyle name="20% - Accent1 2 5 2 3" xfId="11709" xr:uid="{7FF51ADE-1154-49CF-BA3C-A863A1731565}"/>
    <cellStyle name="20% - Accent1 2 5 3" xfId="5332" xr:uid="{00000000-0005-0000-0000-000046000000}"/>
    <cellStyle name="20% - Accent1 2 5 3 2" xfId="13782" xr:uid="{C6667CCB-AEB5-4109-BBD3-E257801E3AF5}"/>
    <cellStyle name="20% - Accent1 2 5 4" xfId="9564" xr:uid="{E5255D28-4E21-4A4B-B19F-39D41266CEA5}"/>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C601639E-8E62-4216-9D35-CBF49C4380E6}"/>
    <cellStyle name="20% - Accent1 2 6 2 3" xfId="12122" xr:uid="{AB0C9661-B7FD-4244-B858-35E8B28C46BE}"/>
    <cellStyle name="20% - Accent1 2 6 3" xfId="5745" xr:uid="{00000000-0005-0000-0000-00004A000000}"/>
    <cellStyle name="20% - Accent1 2 6 3 2" xfId="14195" xr:uid="{D6CA91B0-C797-47F7-B789-121327C1D0F3}"/>
    <cellStyle name="20% - Accent1 2 6 4" xfId="9977" xr:uid="{9B3AFA1E-BD4A-4AED-AD37-C48FB42A41A1}"/>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12701971-D265-416C-8112-817EB78B8CC7}"/>
    <cellStyle name="20% - Accent1 2 7 2 3" xfId="12535" xr:uid="{418774A2-CB4C-48A4-B390-47A3F924C176}"/>
    <cellStyle name="20% - Accent1 2 7 3" xfId="6158" xr:uid="{00000000-0005-0000-0000-00004E000000}"/>
    <cellStyle name="20% - Accent1 2 7 3 2" xfId="14608" xr:uid="{D034B4C7-5DCC-4125-ADC2-28DB4C594996}"/>
    <cellStyle name="20% - Accent1 2 7 4" xfId="10390" xr:uid="{B51610D6-87B2-4DCB-9900-8E7A9595E67B}"/>
    <cellStyle name="20% - Accent1 2 8" xfId="2265" xr:uid="{00000000-0005-0000-0000-00004F000000}"/>
    <cellStyle name="20% - Accent1 2 8 2" xfId="6571" xr:uid="{00000000-0005-0000-0000-000050000000}"/>
    <cellStyle name="20% - Accent1 2 8 2 2" xfId="15021" xr:uid="{072AA4CE-EB3C-4BED-BFAC-35C9997D60D9}"/>
    <cellStyle name="20% - Accent1 2 8 3" xfId="10803" xr:uid="{EF9C90C1-E351-40D4-B74D-A370746FC498}"/>
    <cellStyle name="20% - Accent1 2 9" xfId="4505" xr:uid="{00000000-0005-0000-0000-000051000000}"/>
    <cellStyle name="20% - Accent1 2 9 2" xfId="12955" xr:uid="{6031A910-C7AE-41B2-960A-5572E28777D5}"/>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C80DAD6C-58E7-47EB-B4AE-4CBB580857D8}"/>
    <cellStyle name="20% - Accent1 3 2 2 2 3" xfId="11301" xr:uid="{EBD58C82-2A34-4A3C-98A5-38FC3DE5EE42}"/>
    <cellStyle name="20% - Accent1 3 2 2 3" xfId="4924" xr:uid="{00000000-0005-0000-0000-000057000000}"/>
    <cellStyle name="20% - Accent1 3 2 2 3 2" xfId="13374" xr:uid="{DA0A259F-2E26-44CA-B27B-E20BB3AB2157}"/>
    <cellStyle name="20% - Accent1 3 2 2 4" xfId="9156" xr:uid="{8CE4403F-408D-4581-8017-BDC21B825673}"/>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11B6A07F-BBC8-485D-AA85-336BAC49E67F}"/>
    <cellStyle name="20% - Accent1 3 2 3 2 3" xfId="11714" xr:uid="{439EF8A1-0675-4941-8F95-E94549102A1F}"/>
    <cellStyle name="20% - Accent1 3 2 3 3" xfId="5337" xr:uid="{00000000-0005-0000-0000-00005B000000}"/>
    <cellStyle name="20% - Accent1 3 2 3 3 2" xfId="13787" xr:uid="{98DAE9BD-3EC3-49CC-80AF-3A6D2B7FAEE5}"/>
    <cellStyle name="20% - Accent1 3 2 3 4" xfId="9569" xr:uid="{21B9B425-63D9-43D7-AA08-4D115DCAEDE5}"/>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3B13B235-CBC7-4B2C-8478-E50F733FBE4C}"/>
    <cellStyle name="20% - Accent1 3 2 4 2 3" xfId="12127" xr:uid="{01E22ABD-EF0F-48D6-A240-E52D299A67F1}"/>
    <cellStyle name="20% - Accent1 3 2 4 3" xfId="5750" xr:uid="{00000000-0005-0000-0000-00005F000000}"/>
    <cellStyle name="20% - Accent1 3 2 4 3 2" xfId="14200" xr:uid="{8C78EC22-E83A-47B3-A86C-732A6DF24953}"/>
    <cellStyle name="20% - Accent1 3 2 4 4" xfId="9982" xr:uid="{14097758-6F84-4A12-9D82-5A20D4FCDDF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E4866DDE-ED92-4B16-B8C6-54C276304C90}"/>
    <cellStyle name="20% - Accent1 3 2 5 2 3" xfId="12540" xr:uid="{0CEEB09F-15AE-404D-8E6A-D38767FE6C8B}"/>
    <cellStyle name="20% - Accent1 3 2 5 3" xfId="6163" xr:uid="{00000000-0005-0000-0000-000063000000}"/>
    <cellStyle name="20% - Accent1 3 2 5 3 2" xfId="14613" xr:uid="{629ED5D7-3C91-450F-A0E8-EDABC9BE9589}"/>
    <cellStyle name="20% - Accent1 3 2 5 4" xfId="10395" xr:uid="{E8902E90-566E-4B48-A6B5-EC724DC2681F}"/>
    <cellStyle name="20% - Accent1 3 2 6" xfId="2270" xr:uid="{00000000-0005-0000-0000-000064000000}"/>
    <cellStyle name="20% - Accent1 3 2 6 2" xfId="6576" xr:uid="{00000000-0005-0000-0000-000065000000}"/>
    <cellStyle name="20% - Accent1 3 2 6 2 2" xfId="15026" xr:uid="{D7DDA6C8-98F8-4BA9-BEEA-3359BC76E40D}"/>
    <cellStyle name="20% - Accent1 3 2 6 3" xfId="10808" xr:uid="{149E5954-FCDA-4CF1-AE50-269BB7E9274B}"/>
    <cellStyle name="20% - Accent1 3 2 7" xfId="4510" xr:uid="{00000000-0005-0000-0000-000066000000}"/>
    <cellStyle name="20% - Accent1 3 2 7 2" xfId="12960" xr:uid="{B908AFEE-7E13-40C8-BC39-B6A14ACE2E45}"/>
    <cellStyle name="20% - Accent1 3 2 8" xfId="8742" xr:uid="{F0F1B9F4-3C92-4AE2-813E-E08610CB808B}"/>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E6BEBFF8-E1F4-4A61-B74A-1B593163523D}"/>
    <cellStyle name="20% - Accent1 3 3 2 3" xfId="11300" xr:uid="{315822F6-CADF-48D2-93BD-E0222BB0A3BA}"/>
    <cellStyle name="20% - Accent1 3 3 3" xfId="4923" xr:uid="{00000000-0005-0000-0000-00006A000000}"/>
    <cellStyle name="20% - Accent1 3 3 3 2" xfId="13373" xr:uid="{2E76E793-01EB-4E48-BE31-8F7ABF9DCE22}"/>
    <cellStyle name="20% - Accent1 3 3 4" xfId="9155" xr:uid="{1974500D-FCB9-4C5C-A14B-5942700F9762}"/>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951A3E06-6278-4F9C-BAE8-B3FBDEBEAC77}"/>
    <cellStyle name="20% - Accent1 3 4 2 3" xfId="11713" xr:uid="{8EF0F197-FF59-4389-AE73-87A929CCBB68}"/>
    <cellStyle name="20% - Accent1 3 4 3" xfId="5336" xr:uid="{00000000-0005-0000-0000-00006E000000}"/>
    <cellStyle name="20% - Accent1 3 4 3 2" xfId="13786" xr:uid="{6B9AB7C2-76D8-42C0-B8F1-30309C6DD638}"/>
    <cellStyle name="20% - Accent1 3 4 4" xfId="9568" xr:uid="{21FFB6AA-8D62-4A4B-86BC-B87D076089E0}"/>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2C8DE7EE-C0B7-4466-8D45-0AC805D6FC24}"/>
    <cellStyle name="20% - Accent1 3 5 2 3" xfId="12126" xr:uid="{BE77F1AC-C234-4690-886D-56A916AEB95B}"/>
    <cellStyle name="20% - Accent1 3 5 3" xfId="5749" xr:uid="{00000000-0005-0000-0000-000072000000}"/>
    <cellStyle name="20% - Accent1 3 5 3 2" xfId="14199" xr:uid="{6C40A9E3-533A-4DEB-B5A9-EE3E55AB37AA}"/>
    <cellStyle name="20% - Accent1 3 5 4" xfId="9981" xr:uid="{C624DCD1-EE2A-424C-B25F-25A95FB64BA5}"/>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F941A550-C98E-47A1-8BF8-49548A06D961}"/>
    <cellStyle name="20% - Accent1 3 6 2 3" xfId="12539" xr:uid="{340A53D5-53CE-4B4A-8F42-CB6CDB670594}"/>
    <cellStyle name="20% - Accent1 3 6 3" xfId="6162" xr:uid="{00000000-0005-0000-0000-000076000000}"/>
    <cellStyle name="20% - Accent1 3 6 3 2" xfId="14612" xr:uid="{80AECFA9-A2C5-46DE-82F5-CBB42683175F}"/>
    <cellStyle name="20% - Accent1 3 6 4" xfId="10394" xr:uid="{5B9DFFEF-9EDE-4799-91D1-42EED79573CD}"/>
    <cellStyle name="20% - Accent1 3 7" xfId="2269" xr:uid="{00000000-0005-0000-0000-000077000000}"/>
    <cellStyle name="20% - Accent1 3 7 2" xfId="6575" xr:uid="{00000000-0005-0000-0000-000078000000}"/>
    <cellStyle name="20% - Accent1 3 7 2 2" xfId="15025" xr:uid="{9610C6F9-6BB4-440E-9560-14E52E2F60C1}"/>
    <cellStyle name="20% - Accent1 3 7 3" xfId="10807" xr:uid="{03423227-8B6B-4FF8-BBEA-B13A91DAB0FE}"/>
    <cellStyle name="20% - Accent1 3 8" xfId="4509" xr:uid="{00000000-0005-0000-0000-000079000000}"/>
    <cellStyle name="20% - Accent1 3 8 2" xfId="12959" xr:uid="{F0468B9E-8D48-47DF-9A94-26A0DFAB3DC4}"/>
    <cellStyle name="20% - Accent1 3 9" xfId="8741" xr:uid="{FB01358C-EFFA-4737-909C-DC523700A005}"/>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78849695-6DE5-4470-8A62-DA975FA95B1B}"/>
    <cellStyle name="20% - Accent1 4 2 2 3" xfId="11302" xr:uid="{A5EB2C0A-4072-4505-AF9C-57B0E83CB427}"/>
    <cellStyle name="20% - Accent1 4 2 3" xfId="4925" xr:uid="{00000000-0005-0000-0000-00007E000000}"/>
    <cellStyle name="20% - Accent1 4 2 3 2" xfId="13375" xr:uid="{B4F45329-467B-49D6-95DD-EA33B2D8F642}"/>
    <cellStyle name="20% - Accent1 4 2 4" xfId="9157" xr:uid="{A2C45CFC-8EAF-4949-A04F-1E2C11859B3C}"/>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7C97CD82-DFB9-4B4F-9288-97E884FED546}"/>
    <cellStyle name="20% - Accent1 4 3 2 3" xfId="11715" xr:uid="{C1325906-6B20-4845-BAA0-C5CC696E480C}"/>
    <cellStyle name="20% - Accent1 4 3 3" xfId="5338" xr:uid="{00000000-0005-0000-0000-000082000000}"/>
    <cellStyle name="20% - Accent1 4 3 3 2" xfId="13788" xr:uid="{CF7E756C-9D7A-442B-AE59-404D80A67BE3}"/>
    <cellStyle name="20% - Accent1 4 3 4" xfId="9570" xr:uid="{F936D496-1909-4DAC-9263-CDAAFE871782}"/>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2A3F74C3-95E4-4AE1-AAED-0F33B2F647C8}"/>
    <cellStyle name="20% - Accent1 4 4 2 3" xfId="12128" xr:uid="{3D447D6F-5EA9-49CA-8CD2-E5A0F22D588C}"/>
    <cellStyle name="20% - Accent1 4 4 3" xfId="5751" xr:uid="{00000000-0005-0000-0000-000086000000}"/>
    <cellStyle name="20% - Accent1 4 4 3 2" xfId="14201" xr:uid="{94C6963D-3D07-4195-97A6-E28C41FFEE6F}"/>
    <cellStyle name="20% - Accent1 4 4 4" xfId="9983" xr:uid="{46A318AF-27A2-4881-AA0B-7ACF109C08CD}"/>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B88E0837-BFB9-40CC-923C-675BF90D8360}"/>
    <cellStyle name="20% - Accent1 4 5 2 3" xfId="12541" xr:uid="{FCC98A4A-7475-4091-8307-AF5AF07E66E0}"/>
    <cellStyle name="20% - Accent1 4 5 3" xfId="6164" xr:uid="{00000000-0005-0000-0000-00008A000000}"/>
    <cellStyle name="20% - Accent1 4 5 3 2" xfId="14614" xr:uid="{5779203E-F046-46C6-AF33-32D676F61ACB}"/>
    <cellStyle name="20% - Accent1 4 5 4" xfId="10396" xr:uid="{9D5B9038-B313-477D-B22D-23969DD98EFD}"/>
    <cellStyle name="20% - Accent1 4 6" xfId="2271" xr:uid="{00000000-0005-0000-0000-00008B000000}"/>
    <cellStyle name="20% - Accent1 4 6 2" xfId="6577" xr:uid="{00000000-0005-0000-0000-00008C000000}"/>
    <cellStyle name="20% - Accent1 4 6 2 2" xfId="15027" xr:uid="{68562C85-C020-47A9-91FF-CB37E9D7CCD4}"/>
    <cellStyle name="20% - Accent1 4 6 3" xfId="10809" xr:uid="{32D45806-C22D-4717-A29E-F448C6008D94}"/>
    <cellStyle name="20% - Accent1 4 7" xfId="4511" xr:uid="{00000000-0005-0000-0000-00008D000000}"/>
    <cellStyle name="20% - Accent1 4 7 2" xfId="12961" xr:uid="{5B9217EA-8ACF-41E3-A18A-2DB7CC3BAE92}"/>
    <cellStyle name="20% - Accent1 4 8" xfId="8743" xr:uid="{3A63A0F1-6B9B-4988-B368-464CF829F060}"/>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2301E556-DA69-4201-86FB-FA0F6E82090B}"/>
    <cellStyle name="20% - Accent1 5 2 3" xfId="11295" xr:uid="{1211FF76-317C-4ED4-8E74-CFAF8B932664}"/>
    <cellStyle name="20% - Accent1 5 3" xfId="4918" xr:uid="{00000000-0005-0000-0000-000091000000}"/>
    <cellStyle name="20% - Accent1 5 3 2" xfId="13368" xr:uid="{3EB26622-D82B-40C3-AFFC-B8A1B9E9C5AE}"/>
    <cellStyle name="20% - Accent1 5 4" xfId="9150" xr:uid="{3C306CC0-EAE5-40E1-8A5B-6E6713DFBAC2}"/>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80B225C8-70F3-4619-BA77-9454831868EE}"/>
    <cellStyle name="20% - Accent1 6 2 3" xfId="11708" xr:uid="{ED5E9027-BCE9-49E6-88CD-A7AD0557B77D}"/>
    <cellStyle name="20% - Accent1 6 3" xfId="5331" xr:uid="{00000000-0005-0000-0000-000095000000}"/>
    <cellStyle name="20% - Accent1 6 3 2" xfId="13781" xr:uid="{4421173F-FF5A-44D9-855F-7AAA14345388}"/>
    <cellStyle name="20% - Accent1 6 4" xfId="9563" xr:uid="{2D1DCD4A-F93E-4B3B-AEC7-5597383EEE5D}"/>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B6D1B857-0BC0-4AE7-97ED-1EC1B01DE2DC}"/>
    <cellStyle name="20% - Accent1 7 2 3" xfId="12121" xr:uid="{5561B8FA-2ACD-459D-A4FD-3BED7FA07F35}"/>
    <cellStyle name="20% - Accent1 7 3" xfId="5744" xr:uid="{00000000-0005-0000-0000-000099000000}"/>
    <cellStyle name="20% - Accent1 7 3 2" xfId="14194" xr:uid="{5D1C0E63-6314-4947-95FE-EB61FA6346F9}"/>
    <cellStyle name="20% - Accent1 7 4" xfId="9976" xr:uid="{17F7187D-F143-4870-9A63-1B6CACBA4943}"/>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07EECA6A-6548-4A65-9093-C0C453F8C5FF}"/>
    <cellStyle name="20% - Accent1 8 2 3" xfId="12534" xr:uid="{DD0C63DB-6182-4AD5-968B-F04D311771FC}"/>
    <cellStyle name="20% - Accent1 8 3" xfId="6157" xr:uid="{00000000-0005-0000-0000-00009D000000}"/>
    <cellStyle name="20% - Accent1 8 3 2" xfId="14607" xr:uid="{3E24923D-7093-444F-99DC-C3B7CB4C9180}"/>
    <cellStyle name="20% - Accent1 8 4" xfId="10389" xr:uid="{BD0BFC4F-0465-4711-BA1F-EA73701826B6}"/>
    <cellStyle name="20% - Accent1 9" xfId="2264" xr:uid="{00000000-0005-0000-0000-00009E000000}"/>
    <cellStyle name="20% - Accent1 9 2" xfId="6570" xr:uid="{00000000-0005-0000-0000-00009F000000}"/>
    <cellStyle name="20% - Accent1 9 2 2" xfId="15020" xr:uid="{F4F9713D-9D47-4884-8C31-11EBB43A2374}"/>
    <cellStyle name="20% - Accent1 9 3" xfId="10802" xr:uid="{44245947-1926-4FC2-B586-683DFAE75326}"/>
    <cellStyle name="20% - Accent2" xfId="9" builtinId="34" customBuiltin="1"/>
    <cellStyle name="20% - Accent2 10" xfId="4512" xr:uid="{00000000-0005-0000-0000-0000A1000000}"/>
    <cellStyle name="20% - Accent2 10 2" xfId="12962" xr:uid="{25C44F12-C53D-4AAF-850B-03EF6F9013E6}"/>
    <cellStyle name="20% - Accent2 11" xfId="8744" xr:uid="{1270E4D9-713B-4B9B-97B8-DB55CBF21D2B}"/>
    <cellStyle name="20% - Accent2 2" xfId="10" xr:uid="{00000000-0005-0000-0000-0000A2000000}"/>
    <cellStyle name="20% - Accent2 2 10" xfId="8745" xr:uid="{DA58DB0A-38C6-4C1C-B406-45B299BE6013}"/>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C695A07E-C346-44D2-9835-60D96CBEBC53}"/>
    <cellStyle name="20% - Accent2 2 2 2 2 2 3" xfId="11306" xr:uid="{B737B123-43A4-45B2-839A-D45A0B082549}"/>
    <cellStyle name="20% - Accent2 2 2 2 2 3" xfId="4929" xr:uid="{00000000-0005-0000-0000-0000A8000000}"/>
    <cellStyle name="20% - Accent2 2 2 2 2 3 2" xfId="13379" xr:uid="{87688F0D-7796-4441-B9D1-041CAC0E166A}"/>
    <cellStyle name="20% - Accent2 2 2 2 2 4" xfId="9161" xr:uid="{E759CF1A-BBB8-49D9-8848-340B3EDF43E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AD01D993-D0A7-4E2C-87F6-9CC3A419D3C5}"/>
    <cellStyle name="20% - Accent2 2 2 2 3 2 3" xfId="11719" xr:uid="{FB553041-DF85-4581-84BD-D6A439112FED}"/>
    <cellStyle name="20% - Accent2 2 2 2 3 3" xfId="5342" xr:uid="{00000000-0005-0000-0000-0000AC000000}"/>
    <cellStyle name="20% - Accent2 2 2 2 3 3 2" xfId="13792" xr:uid="{0CC4820F-0F90-4419-9AA5-C4CCBDB112C2}"/>
    <cellStyle name="20% - Accent2 2 2 2 3 4" xfId="9574" xr:uid="{127602EF-7C40-4B0D-A974-15B9116F7501}"/>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54EA0174-D3AB-40CA-B3E7-BF83FE11F663}"/>
    <cellStyle name="20% - Accent2 2 2 2 4 2 3" xfId="12132" xr:uid="{FE6D3D28-ADB5-48D4-941A-1CF9E3445F9C}"/>
    <cellStyle name="20% - Accent2 2 2 2 4 3" xfId="5755" xr:uid="{00000000-0005-0000-0000-0000B0000000}"/>
    <cellStyle name="20% - Accent2 2 2 2 4 3 2" xfId="14205" xr:uid="{A4023EA4-0EAC-4EEC-BDF4-80E269A688AB}"/>
    <cellStyle name="20% - Accent2 2 2 2 4 4" xfId="9987" xr:uid="{C741311B-9D0E-4167-931F-C0732D5DC742}"/>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EF350BAA-F3D2-4232-9010-F7BFC2375ACA}"/>
    <cellStyle name="20% - Accent2 2 2 2 5 2 3" xfId="12545" xr:uid="{1E920C1F-8FAF-4EF2-B3B6-125EA377D41B}"/>
    <cellStyle name="20% - Accent2 2 2 2 5 3" xfId="6168" xr:uid="{00000000-0005-0000-0000-0000B4000000}"/>
    <cellStyle name="20% - Accent2 2 2 2 5 3 2" xfId="14618" xr:uid="{FED90825-D55F-46A3-8E77-6A215A1838A9}"/>
    <cellStyle name="20% - Accent2 2 2 2 5 4" xfId="10400" xr:uid="{4AA25EA5-E81A-472F-934B-F35520AD07DB}"/>
    <cellStyle name="20% - Accent2 2 2 2 6" xfId="2275" xr:uid="{00000000-0005-0000-0000-0000B5000000}"/>
    <cellStyle name="20% - Accent2 2 2 2 6 2" xfId="6581" xr:uid="{00000000-0005-0000-0000-0000B6000000}"/>
    <cellStyle name="20% - Accent2 2 2 2 6 2 2" xfId="15031" xr:uid="{A9D21333-EC68-42DC-9F0D-E024D10D81EB}"/>
    <cellStyle name="20% - Accent2 2 2 2 6 3" xfId="10813" xr:uid="{69AFFF3E-FCC8-48C4-9216-744FF586D25C}"/>
    <cellStyle name="20% - Accent2 2 2 2 7" xfId="4515" xr:uid="{00000000-0005-0000-0000-0000B7000000}"/>
    <cellStyle name="20% - Accent2 2 2 2 7 2" xfId="12965" xr:uid="{AAD0CD9F-236F-4E41-8CAD-19F0F928157E}"/>
    <cellStyle name="20% - Accent2 2 2 2 8" xfId="8747" xr:uid="{DFD04ABA-0B89-4A27-8BD8-88E216FFF867}"/>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53C0C56E-BCDC-4DF1-9F13-36D28CB89E61}"/>
    <cellStyle name="20% - Accent2 2 2 3 2 3" xfId="11305" xr:uid="{5C4163AC-EC19-4441-AF42-C19F1C9557E5}"/>
    <cellStyle name="20% - Accent2 2 2 3 3" xfId="4928" xr:uid="{00000000-0005-0000-0000-0000BB000000}"/>
    <cellStyle name="20% - Accent2 2 2 3 3 2" xfId="13378" xr:uid="{7C01FDB4-6FEE-4991-A96C-293B1C8568E0}"/>
    <cellStyle name="20% - Accent2 2 2 3 4" xfId="9160" xr:uid="{60A890D5-7AF8-4B6E-AB5E-8F039936D61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7DEAA803-8D77-40F6-A1EB-E68C5E17DD10}"/>
    <cellStyle name="20% - Accent2 2 2 4 2 3" xfId="11718" xr:uid="{28443B27-F1E2-4C69-AAC6-C2AB4B69AD67}"/>
    <cellStyle name="20% - Accent2 2 2 4 3" xfId="5341" xr:uid="{00000000-0005-0000-0000-0000BF000000}"/>
    <cellStyle name="20% - Accent2 2 2 4 3 2" xfId="13791" xr:uid="{5E93B8C9-79B3-48CB-899B-C62E45051CBC}"/>
    <cellStyle name="20% - Accent2 2 2 4 4" xfId="9573" xr:uid="{D844BCDA-C614-4E79-A8A1-FF46690E364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027E9464-D295-4556-B6B9-643A442783C9}"/>
    <cellStyle name="20% - Accent2 2 2 5 2 3" xfId="12131" xr:uid="{DBF3662D-9B12-403F-A9F3-64E285C96177}"/>
    <cellStyle name="20% - Accent2 2 2 5 3" xfId="5754" xr:uid="{00000000-0005-0000-0000-0000C3000000}"/>
    <cellStyle name="20% - Accent2 2 2 5 3 2" xfId="14204" xr:uid="{4012BAD9-9093-4FB0-AE39-65EA7722D3DA}"/>
    <cellStyle name="20% - Accent2 2 2 5 4" xfId="9986" xr:uid="{C18F6583-6DF7-4074-8B64-578A1F5327F9}"/>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B682A2B6-212A-4717-B5AA-3C2A6434C7BC}"/>
    <cellStyle name="20% - Accent2 2 2 6 2 3" xfId="12544" xr:uid="{0B8BBA25-AC24-4DBD-BE95-8C99917BD9EA}"/>
    <cellStyle name="20% - Accent2 2 2 6 3" xfId="6167" xr:uid="{00000000-0005-0000-0000-0000C7000000}"/>
    <cellStyle name="20% - Accent2 2 2 6 3 2" xfId="14617" xr:uid="{82A5F3A2-32EF-4033-B088-FE1C9211B984}"/>
    <cellStyle name="20% - Accent2 2 2 6 4" xfId="10399" xr:uid="{967664E3-56A7-44DF-9F39-4BD952461B20}"/>
    <cellStyle name="20% - Accent2 2 2 7" xfId="2274" xr:uid="{00000000-0005-0000-0000-0000C8000000}"/>
    <cellStyle name="20% - Accent2 2 2 7 2" xfId="6580" xr:uid="{00000000-0005-0000-0000-0000C9000000}"/>
    <cellStyle name="20% - Accent2 2 2 7 2 2" xfId="15030" xr:uid="{475598C5-47A7-4B04-BBEE-4CB6DB36DAE9}"/>
    <cellStyle name="20% - Accent2 2 2 7 3" xfId="10812" xr:uid="{9C7BABEC-14F4-43CA-8A5B-1FFE734565C3}"/>
    <cellStyle name="20% - Accent2 2 2 8" xfId="4514" xr:uid="{00000000-0005-0000-0000-0000CA000000}"/>
    <cellStyle name="20% - Accent2 2 2 8 2" xfId="12964" xr:uid="{5AF4CA7A-50A3-482F-960D-EB1556186179}"/>
    <cellStyle name="20% - Accent2 2 2 9" xfId="8746" xr:uid="{D538890A-587B-4949-BBBE-EA49E2FC21A3}"/>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9AFB1DAE-ED43-40E6-87B2-F4EACA24E723}"/>
    <cellStyle name="20% - Accent2 2 3 2 2 3" xfId="11307" xr:uid="{080D78B1-6AE6-4FD5-903A-F64A3B1903C9}"/>
    <cellStyle name="20% - Accent2 2 3 2 3" xfId="4930" xr:uid="{00000000-0005-0000-0000-0000CF000000}"/>
    <cellStyle name="20% - Accent2 2 3 2 3 2" xfId="13380" xr:uid="{9273A188-C75A-482C-98E0-DA891E31497C}"/>
    <cellStyle name="20% - Accent2 2 3 2 4" xfId="9162" xr:uid="{2EFF2081-0916-4C22-9D45-F5278E58EA60}"/>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091A0EFE-117C-4E76-AEBF-FD5F1FC3808C}"/>
    <cellStyle name="20% - Accent2 2 3 3 2 3" xfId="11720" xr:uid="{FBE38C06-3195-437D-B9A6-F3B8E828B59D}"/>
    <cellStyle name="20% - Accent2 2 3 3 3" xfId="5343" xr:uid="{00000000-0005-0000-0000-0000D3000000}"/>
    <cellStyle name="20% - Accent2 2 3 3 3 2" xfId="13793" xr:uid="{72042B4E-AFD5-4525-8DF7-4199A6E8C829}"/>
    <cellStyle name="20% - Accent2 2 3 3 4" xfId="9575" xr:uid="{E1378B7E-BC27-40CD-B98D-B7D640589DA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99D1BE1B-DEA9-435D-95B6-BB5A2710D522}"/>
    <cellStyle name="20% - Accent2 2 3 4 2 3" xfId="12133" xr:uid="{60707849-21EC-4DD9-B1D7-F7D46D4635D2}"/>
    <cellStyle name="20% - Accent2 2 3 4 3" xfId="5756" xr:uid="{00000000-0005-0000-0000-0000D7000000}"/>
    <cellStyle name="20% - Accent2 2 3 4 3 2" xfId="14206" xr:uid="{CDBF8D88-0A96-41D3-994D-842955B66019}"/>
    <cellStyle name="20% - Accent2 2 3 4 4" xfId="9988" xr:uid="{B6517B39-6583-41E7-BA6D-345D482D73A1}"/>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D1679CDF-E319-4F84-BA9C-1F2CB6A4FA8F}"/>
    <cellStyle name="20% - Accent2 2 3 5 2 3" xfId="12546" xr:uid="{C805078C-5B7D-46FD-BFC8-176ACE8005FA}"/>
    <cellStyle name="20% - Accent2 2 3 5 3" xfId="6169" xr:uid="{00000000-0005-0000-0000-0000DB000000}"/>
    <cellStyle name="20% - Accent2 2 3 5 3 2" xfId="14619" xr:uid="{111ACD11-B2EF-4954-AF43-620CED3A802D}"/>
    <cellStyle name="20% - Accent2 2 3 5 4" xfId="10401" xr:uid="{BA9385A3-81DC-48C5-ABD3-6435B3664D19}"/>
    <cellStyle name="20% - Accent2 2 3 6" xfId="2276" xr:uid="{00000000-0005-0000-0000-0000DC000000}"/>
    <cellStyle name="20% - Accent2 2 3 6 2" xfId="6582" xr:uid="{00000000-0005-0000-0000-0000DD000000}"/>
    <cellStyle name="20% - Accent2 2 3 6 2 2" xfId="15032" xr:uid="{BE010E81-0A5B-4098-B33B-FE2C2F02F21A}"/>
    <cellStyle name="20% - Accent2 2 3 6 3" xfId="10814" xr:uid="{62D258AD-9C49-4EA5-A921-8868BE546B53}"/>
    <cellStyle name="20% - Accent2 2 3 7" xfId="4516" xr:uid="{00000000-0005-0000-0000-0000DE000000}"/>
    <cellStyle name="20% - Accent2 2 3 7 2" xfId="12966" xr:uid="{844AFA8B-AE6C-4FB5-9912-5F8CB4B214FE}"/>
    <cellStyle name="20% - Accent2 2 3 8" xfId="8748" xr:uid="{5FE3894C-9611-47DC-92A0-3CD790FF5E8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B25196BB-7912-46BD-B842-E79D3A7563DF}"/>
    <cellStyle name="20% - Accent2 2 4 2 3" xfId="11304" xr:uid="{4AC19507-E4C4-41C7-B31F-6F7071EBF678}"/>
    <cellStyle name="20% - Accent2 2 4 3" xfId="4927" xr:uid="{00000000-0005-0000-0000-0000E2000000}"/>
    <cellStyle name="20% - Accent2 2 4 3 2" xfId="13377" xr:uid="{E3F3FE23-8E8E-48C0-BE1C-340EED2912B9}"/>
    <cellStyle name="20% - Accent2 2 4 4" xfId="9159" xr:uid="{EFB258AF-F61D-4F57-A00D-3199C622CA3E}"/>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EC38FB55-41B5-4D3F-A94C-C90438166F76}"/>
    <cellStyle name="20% - Accent2 2 5 2 3" xfId="11717" xr:uid="{5EA84D19-9E54-4F08-B421-B56AE9BE67EF}"/>
    <cellStyle name="20% - Accent2 2 5 3" xfId="5340" xr:uid="{00000000-0005-0000-0000-0000E6000000}"/>
    <cellStyle name="20% - Accent2 2 5 3 2" xfId="13790" xr:uid="{60DE0764-88FB-46E4-89C2-EF6AD79A1558}"/>
    <cellStyle name="20% - Accent2 2 5 4" xfId="9572" xr:uid="{2CF2B0CA-3B22-4DAF-AA36-7711499450A7}"/>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7776A9EE-E58C-4B65-92BA-4834BC58E0C0}"/>
    <cellStyle name="20% - Accent2 2 6 2 3" xfId="12130" xr:uid="{A67BE3C9-1D56-4F9E-99FC-1F93239368A5}"/>
    <cellStyle name="20% - Accent2 2 6 3" xfId="5753" xr:uid="{00000000-0005-0000-0000-0000EA000000}"/>
    <cellStyle name="20% - Accent2 2 6 3 2" xfId="14203" xr:uid="{AC1C2E87-F21B-4860-9673-B5DFBAED5396}"/>
    <cellStyle name="20% - Accent2 2 6 4" xfId="9985" xr:uid="{C38BAFF7-23EB-49E3-8E8D-DA32601DD81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41AD80F9-2973-4651-84F0-A0D84622F08D}"/>
    <cellStyle name="20% - Accent2 2 7 2 3" xfId="12543" xr:uid="{A27F8C9B-522F-466F-8FF8-89EF2F99309B}"/>
    <cellStyle name="20% - Accent2 2 7 3" xfId="6166" xr:uid="{00000000-0005-0000-0000-0000EE000000}"/>
    <cellStyle name="20% - Accent2 2 7 3 2" xfId="14616" xr:uid="{C2EFB298-4D8E-4B02-B323-5355F0DEBAF8}"/>
    <cellStyle name="20% - Accent2 2 7 4" xfId="10398" xr:uid="{5A06E51A-A77E-44BF-9514-C8B811E70B89}"/>
    <cellStyle name="20% - Accent2 2 8" xfId="2273" xr:uid="{00000000-0005-0000-0000-0000EF000000}"/>
    <cellStyle name="20% - Accent2 2 8 2" xfId="6579" xr:uid="{00000000-0005-0000-0000-0000F0000000}"/>
    <cellStyle name="20% - Accent2 2 8 2 2" xfId="15029" xr:uid="{9C3464E1-C989-4C5E-800B-5EE4C729E7C4}"/>
    <cellStyle name="20% - Accent2 2 8 3" xfId="10811" xr:uid="{F11A0C9D-9E85-4C64-AA4B-4B7D201E0C2D}"/>
    <cellStyle name="20% - Accent2 2 9" xfId="4513" xr:uid="{00000000-0005-0000-0000-0000F1000000}"/>
    <cellStyle name="20% - Accent2 2 9 2" xfId="12963" xr:uid="{16E5029A-6114-4CA5-9069-5F8D2036F2A2}"/>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C86BA691-0BA7-4B78-BB25-89A7C35666CC}"/>
    <cellStyle name="20% - Accent2 3 2 2 2 3" xfId="11309" xr:uid="{AF6397BF-D584-437B-9E66-9F30E950A46C}"/>
    <cellStyle name="20% - Accent2 3 2 2 3" xfId="4932" xr:uid="{00000000-0005-0000-0000-0000F7000000}"/>
    <cellStyle name="20% - Accent2 3 2 2 3 2" xfId="13382" xr:uid="{CA3E127C-CF99-4DD1-8C42-2092C44E4AD0}"/>
    <cellStyle name="20% - Accent2 3 2 2 4" xfId="9164" xr:uid="{1C5BAE28-F1EA-42C7-A712-B1FC7D260FC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721D39DC-DFF6-4FF0-8103-A589F7C0FCBA}"/>
    <cellStyle name="20% - Accent2 3 2 3 2 3" xfId="11722" xr:uid="{17BBF684-FE94-4C5D-9BA4-12B84097C0CA}"/>
    <cellStyle name="20% - Accent2 3 2 3 3" xfId="5345" xr:uid="{00000000-0005-0000-0000-0000FB000000}"/>
    <cellStyle name="20% - Accent2 3 2 3 3 2" xfId="13795" xr:uid="{D0427F58-36DE-4879-B141-D69257FBD01A}"/>
    <cellStyle name="20% - Accent2 3 2 3 4" xfId="9577" xr:uid="{C87CEA7C-7D42-4786-8AA5-EFB0AA145B4A}"/>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D3B73CCA-452A-461E-8719-70B344D480CB}"/>
    <cellStyle name="20% - Accent2 3 2 4 2 3" xfId="12135" xr:uid="{A1CD5B68-CA88-4E5D-99BC-046418BF1C10}"/>
    <cellStyle name="20% - Accent2 3 2 4 3" xfId="5758" xr:uid="{00000000-0005-0000-0000-0000FF000000}"/>
    <cellStyle name="20% - Accent2 3 2 4 3 2" xfId="14208" xr:uid="{019D8AD8-74BD-4A2A-9458-C449769FC516}"/>
    <cellStyle name="20% - Accent2 3 2 4 4" xfId="9990" xr:uid="{D0C5E325-129E-4C35-89DF-EDF19390ACBD}"/>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16FAF668-B2B6-4695-87B4-06E335C580D0}"/>
    <cellStyle name="20% - Accent2 3 2 5 2 3" xfId="12548" xr:uid="{CDA7B210-4466-4167-AF1F-31C7A7B1BD1E}"/>
    <cellStyle name="20% - Accent2 3 2 5 3" xfId="6171" xr:uid="{00000000-0005-0000-0000-000003010000}"/>
    <cellStyle name="20% - Accent2 3 2 5 3 2" xfId="14621" xr:uid="{CF0E1E29-233A-46AB-918D-EAAE8815BF65}"/>
    <cellStyle name="20% - Accent2 3 2 5 4" xfId="10403" xr:uid="{7BAD6178-EE88-4FE3-B369-F424ED355A17}"/>
    <cellStyle name="20% - Accent2 3 2 6" xfId="2278" xr:uid="{00000000-0005-0000-0000-000004010000}"/>
    <cellStyle name="20% - Accent2 3 2 6 2" xfId="6584" xr:uid="{00000000-0005-0000-0000-000005010000}"/>
    <cellStyle name="20% - Accent2 3 2 6 2 2" xfId="15034" xr:uid="{558357F4-7F0E-43E9-AF56-5FAF629F9164}"/>
    <cellStyle name="20% - Accent2 3 2 6 3" xfId="10816" xr:uid="{0C525F0A-68CB-4155-B65C-2FBF1D63A333}"/>
    <cellStyle name="20% - Accent2 3 2 7" xfId="4518" xr:uid="{00000000-0005-0000-0000-000006010000}"/>
    <cellStyle name="20% - Accent2 3 2 7 2" xfId="12968" xr:uid="{A620F5B0-B7DA-43AB-85D1-1A1581150167}"/>
    <cellStyle name="20% - Accent2 3 2 8" xfId="8750" xr:uid="{82DAA895-5903-43BE-BD86-9AAD354CD4B6}"/>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34D228C7-41BF-4313-AF47-047FFF902BFA}"/>
    <cellStyle name="20% - Accent2 3 3 2 3" xfId="11308" xr:uid="{3AFE3D0E-270B-4E3E-ADFB-D750EF157DD4}"/>
    <cellStyle name="20% - Accent2 3 3 3" xfId="4931" xr:uid="{00000000-0005-0000-0000-00000A010000}"/>
    <cellStyle name="20% - Accent2 3 3 3 2" xfId="13381" xr:uid="{325A70B3-2F17-4A8F-94DE-B5DC39EAB48A}"/>
    <cellStyle name="20% - Accent2 3 3 4" xfId="9163" xr:uid="{22A84D88-B3AD-44CF-BCD3-500D70EABE35}"/>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627A4C92-8F22-4816-99B6-94CE7D4E2F87}"/>
    <cellStyle name="20% - Accent2 3 4 2 3" xfId="11721" xr:uid="{26854071-85B6-4310-BA64-7865866BB543}"/>
    <cellStyle name="20% - Accent2 3 4 3" xfId="5344" xr:uid="{00000000-0005-0000-0000-00000E010000}"/>
    <cellStyle name="20% - Accent2 3 4 3 2" xfId="13794" xr:uid="{29229CC8-09D3-435B-8C23-81A0EA42053E}"/>
    <cellStyle name="20% - Accent2 3 4 4" xfId="9576" xr:uid="{86B2B618-8FFD-4BB5-83B9-CF3D71E5C29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AE7EAC25-5158-4310-A5E3-B9B7611A8429}"/>
    <cellStyle name="20% - Accent2 3 5 2 3" xfId="12134" xr:uid="{2DAFEFFA-E93B-4C4E-B16C-F235BBDDFADF}"/>
    <cellStyle name="20% - Accent2 3 5 3" xfId="5757" xr:uid="{00000000-0005-0000-0000-000012010000}"/>
    <cellStyle name="20% - Accent2 3 5 3 2" xfId="14207" xr:uid="{A6219AD0-EFF6-403C-B1EB-7573B5904534}"/>
    <cellStyle name="20% - Accent2 3 5 4" xfId="9989" xr:uid="{2DB596D5-E477-4B4A-A5D5-2FD85705716A}"/>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4E694921-3593-4D7D-9D88-B45E7D49B49F}"/>
    <cellStyle name="20% - Accent2 3 6 2 3" xfId="12547" xr:uid="{8B73A2AE-30CD-4244-88D4-68158A46A4EF}"/>
    <cellStyle name="20% - Accent2 3 6 3" xfId="6170" xr:uid="{00000000-0005-0000-0000-000016010000}"/>
    <cellStyle name="20% - Accent2 3 6 3 2" xfId="14620" xr:uid="{0C4B5DFA-E8E7-45B1-A1A1-362FD07BE745}"/>
    <cellStyle name="20% - Accent2 3 6 4" xfId="10402" xr:uid="{04A80226-6298-48B0-9BF0-0EEB04314963}"/>
    <cellStyle name="20% - Accent2 3 7" xfId="2277" xr:uid="{00000000-0005-0000-0000-000017010000}"/>
    <cellStyle name="20% - Accent2 3 7 2" xfId="6583" xr:uid="{00000000-0005-0000-0000-000018010000}"/>
    <cellStyle name="20% - Accent2 3 7 2 2" xfId="15033" xr:uid="{2F4F3EB0-D3AE-4C6C-8C59-87A89721906A}"/>
    <cellStyle name="20% - Accent2 3 7 3" xfId="10815" xr:uid="{9CD9D3E8-0293-4FB4-9632-254C2FB49A0A}"/>
    <cellStyle name="20% - Accent2 3 8" xfId="4517" xr:uid="{00000000-0005-0000-0000-000019010000}"/>
    <cellStyle name="20% - Accent2 3 8 2" xfId="12967" xr:uid="{9A06991B-A184-48A0-806A-B4A91E9D430F}"/>
    <cellStyle name="20% - Accent2 3 9" xfId="8749" xr:uid="{C8F125E0-06ED-439F-895B-84906A505739}"/>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322F7D4F-2887-468A-83B1-B35B5FEA8DD1}"/>
    <cellStyle name="20% - Accent2 4 2 2 3" xfId="11310" xr:uid="{3A7E9D1F-BABF-48C8-85C4-3C7F883813F0}"/>
    <cellStyle name="20% - Accent2 4 2 3" xfId="4933" xr:uid="{00000000-0005-0000-0000-00001E010000}"/>
    <cellStyle name="20% - Accent2 4 2 3 2" xfId="13383" xr:uid="{68DE6387-543B-4DF9-9982-DEA5FFE57848}"/>
    <cellStyle name="20% - Accent2 4 2 4" xfId="9165" xr:uid="{DEBC9E7A-8B27-4BF4-B587-0D001B81BC6C}"/>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9C183513-AA7D-42F4-959D-2859205244FC}"/>
    <cellStyle name="20% - Accent2 4 3 2 3" xfId="11723" xr:uid="{51770991-37AD-44D9-84F9-BFC92185586B}"/>
    <cellStyle name="20% - Accent2 4 3 3" xfId="5346" xr:uid="{00000000-0005-0000-0000-000022010000}"/>
    <cellStyle name="20% - Accent2 4 3 3 2" xfId="13796" xr:uid="{551FE35F-B3A3-41FE-A207-DAFE9BDDA291}"/>
    <cellStyle name="20% - Accent2 4 3 4" xfId="9578" xr:uid="{230ACAAB-1315-40BB-A5EB-45D2E5A246F3}"/>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CBA41B54-B5CD-4460-BF82-1E242F674E91}"/>
    <cellStyle name="20% - Accent2 4 4 2 3" xfId="12136" xr:uid="{0BDA7F44-DF70-41E2-A7E2-994BCABAF706}"/>
    <cellStyle name="20% - Accent2 4 4 3" xfId="5759" xr:uid="{00000000-0005-0000-0000-000026010000}"/>
    <cellStyle name="20% - Accent2 4 4 3 2" xfId="14209" xr:uid="{423F861E-6BEF-4C89-8B61-76BAE541502C}"/>
    <cellStyle name="20% - Accent2 4 4 4" xfId="9991" xr:uid="{3EDEBE5C-1D60-4036-8400-EC6288AE660E}"/>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055F78E2-8186-4CD1-A96F-17BC62278741}"/>
    <cellStyle name="20% - Accent2 4 5 2 3" xfId="12549" xr:uid="{ED783018-8C0C-46CF-9E6C-C22BF2EC0E8F}"/>
    <cellStyle name="20% - Accent2 4 5 3" xfId="6172" xr:uid="{00000000-0005-0000-0000-00002A010000}"/>
    <cellStyle name="20% - Accent2 4 5 3 2" xfId="14622" xr:uid="{E9096B7C-077C-4441-8541-404D7F953B0D}"/>
    <cellStyle name="20% - Accent2 4 5 4" xfId="10404" xr:uid="{2EFE4284-4357-45CA-8635-FEF10B900EB9}"/>
    <cellStyle name="20% - Accent2 4 6" xfId="2279" xr:uid="{00000000-0005-0000-0000-00002B010000}"/>
    <cellStyle name="20% - Accent2 4 6 2" xfId="6585" xr:uid="{00000000-0005-0000-0000-00002C010000}"/>
    <cellStyle name="20% - Accent2 4 6 2 2" xfId="15035" xr:uid="{C6E110E6-8F76-4628-B364-409B36B60944}"/>
    <cellStyle name="20% - Accent2 4 6 3" xfId="10817" xr:uid="{58027CFD-B5E1-48AA-9713-787C0E96C926}"/>
    <cellStyle name="20% - Accent2 4 7" xfId="4519" xr:uid="{00000000-0005-0000-0000-00002D010000}"/>
    <cellStyle name="20% - Accent2 4 7 2" xfId="12969" xr:uid="{0C9CABE9-E7AC-49BC-AB24-3B550716C2C8}"/>
    <cellStyle name="20% - Accent2 4 8" xfId="8751" xr:uid="{9AF37438-CB78-4AEC-83A2-5A2245876F01}"/>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35576E38-A232-4EFC-8058-056873B01F76}"/>
    <cellStyle name="20% - Accent2 5 2 3" xfId="11303" xr:uid="{F5B33F68-4361-40AD-ADEE-12F396A53214}"/>
    <cellStyle name="20% - Accent2 5 3" xfId="4926" xr:uid="{00000000-0005-0000-0000-000031010000}"/>
    <cellStyle name="20% - Accent2 5 3 2" xfId="13376" xr:uid="{4D12CD24-B43C-4788-9A3A-3A1290D005BD}"/>
    <cellStyle name="20% - Accent2 5 4" xfId="9158" xr:uid="{B19C7B2E-7252-4B0E-BDCA-24BD4D4429FE}"/>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F153A1BD-0B8C-4B01-BF2B-3DFA352A884F}"/>
    <cellStyle name="20% - Accent2 6 2 3" xfId="11716" xr:uid="{C24E4C1F-3509-44A9-A00B-C89E0E1DD208}"/>
    <cellStyle name="20% - Accent2 6 3" xfId="5339" xr:uid="{00000000-0005-0000-0000-000035010000}"/>
    <cellStyle name="20% - Accent2 6 3 2" xfId="13789" xr:uid="{5CB8A15E-88F6-48C6-AD0C-B3EDEAD0EF96}"/>
    <cellStyle name="20% - Accent2 6 4" xfId="9571" xr:uid="{D74EC40A-49C0-4ABE-9E2B-25303F0E6208}"/>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8D04384E-AE2C-417D-A20B-41A1C9FEF9D9}"/>
    <cellStyle name="20% - Accent2 7 2 3" xfId="12129" xr:uid="{6841F6E8-E437-422A-A360-0A4371353149}"/>
    <cellStyle name="20% - Accent2 7 3" xfId="5752" xr:uid="{00000000-0005-0000-0000-000039010000}"/>
    <cellStyle name="20% - Accent2 7 3 2" xfId="14202" xr:uid="{4774282E-C820-400D-8841-FFC334F16305}"/>
    <cellStyle name="20% - Accent2 7 4" xfId="9984" xr:uid="{1F827FBD-5990-4EDA-A924-6C3233DEADB5}"/>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07576D2F-C113-49EB-84F0-ACCD143E403F}"/>
    <cellStyle name="20% - Accent2 8 2 3" xfId="12542" xr:uid="{E5895274-D2F4-434E-921B-CD7B670BA95F}"/>
    <cellStyle name="20% - Accent2 8 3" xfId="6165" xr:uid="{00000000-0005-0000-0000-00003D010000}"/>
    <cellStyle name="20% - Accent2 8 3 2" xfId="14615" xr:uid="{FD477F45-7EE7-4BB3-84FF-781738662F06}"/>
    <cellStyle name="20% - Accent2 8 4" xfId="10397" xr:uid="{1D93E67F-0FB4-45B2-A887-A43DB6B0A378}"/>
    <cellStyle name="20% - Accent2 9" xfId="2272" xr:uid="{00000000-0005-0000-0000-00003E010000}"/>
    <cellStyle name="20% - Accent2 9 2" xfId="6578" xr:uid="{00000000-0005-0000-0000-00003F010000}"/>
    <cellStyle name="20% - Accent2 9 2 2" xfId="15028" xr:uid="{D6216C48-1AC4-4D1A-9E74-52F712DFA397}"/>
    <cellStyle name="20% - Accent2 9 3" xfId="10810" xr:uid="{13F44AFB-2308-4B08-BBAA-DF5EFD628348}"/>
    <cellStyle name="20% - Accent3" xfId="17" builtinId="38" customBuiltin="1"/>
    <cellStyle name="20% - Accent3 10" xfId="4520" xr:uid="{00000000-0005-0000-0000-000041010000}"/>
    <cellStyle name="20% - Accent3 10 2" xfId="12970" xr:uid="{4A1FD8C5-741B-4D89-B24A-F8B2E3F8144A}"/>
    <cellStyle name="20% - Accent3 11" xfId="8752" xr:uid="{51C598B4-6252-434F-B8D8-7BFD9BE912E5}"/>
    <cellStyle name="20% - Accent3 2" xfId="18" xr:uid="{00000000-0005-0000-0000-000042010000}"/>
    <cellStyle name="20% - Accent3 2 10" xfId="8753" xr:uid="{DD6CB05F-BB3F-49F3-8DAA-B15CC4EC1D5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BBF800FF-D573-4D4C-A635-CBA7DBD7415B}"/>
    <cellStyle name="20% - Accent3 2 2 2 2 2 3" xfId="11314" xr:uid="{EBABFBB8-6D85-4657-AD65-CAB3943738DE}"/>
    <cellStyle name="20% - Accent3 2 2 2 2 3" xfId="4937" xr:uid="{00000000-0005-0000-0000-000048010000}"/>
    <cellStyle name="20% - Accent3 2 2 2 2 3 2" xfId="13387" xr:uid="{065202E3-2307-44C3-A243-165972198F1C}"/>
    <cellStyle name="20% - Accent3 2 2 2 2 4" xfId="9169" xr:uid="{5DD22BB1-10C1-4B95-813F-B54F402FD7ED}"/>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B22FABEC-DE3C-432C-86E3-227ED07C2CBE}"/>
    <cellStyle name="20% - Accent3 2 2 2 3 2 3" xfId="11727" xr:uid="{92B320F3-DD38-4D08-B390-A66A5341CD3D}"/>
    <cellStyle name="20% - Accent3 2 2 2 3 3" xfId="5350" xr:uid="{00000000-0005-0000-0000-00004C010000}"/>
    <cellStyle name="20% - Accent3 2 2 2 3 3 2" xfId="13800" xr:uid="{D6827435-B98D-4BB5-AAE7-0262A7D00798}"/>
    <cellStyle name="20% - Accent3 2 2 2 3 4" xfId="9582" xr:uid="{6DA9A8A2-F1EB-4028-AF5B-2583422902C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C2E0E59B-DFB9-45CD-A187-8CEEDE62CE73}"/>
    <cellStyle name="20% - Accent3 2 2 2 4 2 3" xfId="12140" xr:uid="{58706FCF-ED0D-445B-A37F-858976EA9F51}"/>
    <cellStyle name="20% - Accent3 2 2 2 4 3" xfId="5763" xr:uid="{00000000-0005-0000-0000-000050010000}"/>
    <cellStyle name="20% - Accent3 2 2 2 4 3 2" xfId="14213" xr:uid="{A259DAE0-68FB-4C38-9FE7-4BACC2D979CD}"/>
    <cellStyle name="20% - Accent3 2 2 2 4 4" xfId="9995" xr:uid="{1213E069-696A-466D-A2E8-71FD4749B48D}"/>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172CF7F6-1174-4FFA-88E0-3105841F9872}"/>
    <cellStyle name="20% - Accent3 2 2 2 5 2 3" xfId="12553" xr:uid="{BFE7E5F1-DD1C-4E4E-9C1F-5130C6CD580A}"/>
    <cellStyle name="20% - Accent3 2 2 2 5 3" xfId="6176" xr:uid="{00000000-0005-0000-0000-000054010000}"/>
    <cellStyle name="20% - Accent3 2 2 2 5 3 2" xfId="14626" xr:uid="{2C53322E-1366-4A25-98ED-5338C55D2ED7}"/>
    <cellStyle name="20% - Accent3 2 2 2 5 4" xfId="10408" xr:uid="{E75AC291-2E77-410A-833B-E4F1B9EFBC07}"/>
    <cellStyle name="20% - Accent3 2 2 2 6" xfId="2283" xr:uid="{00000000-0005-0000-0000-000055010000}"/>
    <cellStyle name="20% - Accent3 2 2 2 6 2" xfId="6589" xr:uid="{00000000-0005-0000-0000-000056010000}"/>
    <cellStyle name="20% - Accent3 2 2 2 6 2 2" xfId="15039" xr:uid="{7F2940F3-73CD-4E7C-A6B2-DF94758302BA}"/>
    <cellStyle name="20% - Accent3 2 2 2 6 3" xfId="10821" xr:uid="{8C20654C-C7D4-4BE0-9986-C21EFD2E516B}"/>
    <cellStyle name="20% - Accent3 2 2 2 7" xfId="4523" xr:uid="{00000000-0005-0000-0000-000057010000}"/>
    <cellStyle name="20% - Accent3 2 2 2 7 2" xfId="12973" xr:uid="{C7816C31-B7C8-4C73-8042-C32DD3D0C0F0}"/>
    <cellStyle name="20% - Accent3 2 2 2 8" xfId="8755" xr:uid="{396FFCBF-6BDA-4900-9731-77864B4CD640}"/>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E5BCD678-3D65-4288-A8C2-5B92CBA946EA}"/>
    <cellStyle name="20% - Accent3 2 2 3 2 3" xfId="11313" xr:uid="{89F17330-5A2C-4B74-8552-F302DF409DB0}"/>
    <cellStyle name="20% - Accent3 2 2 3 3" xfId="4936" xr:uid="{00000000-0005-0000-0000-00005B010000}"/>
    <cellStyle name="20% - Accent3 2 2 3 3 2" xfId="13386" xr:uid="{0EFA8A10-E192-4EAB-8342-330E6F81094C}"/>
    <cellStyle name="20% - Accent3 2 2 3 4" xfId="9168" xr:uid="{442A8E87-5691-4B5C-BAE8-0CEC6ABFC8CE}"/>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24E3D92A-AFC4-469B-BCBC-E2B201AC4092}"/>
    <cellStyle name="20% - Accent3 2 2 4 2 3" xfId="11726" xr:uid="{5949352D-F21C-4273-85CF-717C1F4606E8}"/>
    <cellStyle name="20% - Accent3 2 2 4 3" xfId="5349" xr:uid="{00000000-0005-0000-0000-00005F010000}"/>
    <cellStyle name="20% - Accent3 2 2 4 3 2" xfId="13799" xr:uid="{370AD0B4-0BF6-4443-856A-B801FBBFFA78}"/>
    <cellStyle name="20% - Accent3 2 2 4 4" xfId="9581" xr:uid="{CBB4472F-EBE4-4740-B821-4E3FE1EAE07C}"/>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554CC57B-70E3-4BB8-AE3C-9C743671CABC}"/>
    <cellStyle name="20% - Accent3 2 2 5 2 3" xfId="12139" xr:uid="{C155AEA3-D0FE-40AF-AE8A-6CD1483C9F6A}"/>
    <cellStyle name="20% - Accent3 2 2 5 3" xfId="5762" xr:uid="{00000000-0005-0000-0000-000063010000}"/>
    <cellStyle name="20% - Accent3 2 2 5 3 2" xfId="14212" xr:uid="{FA27A2E1-140C-4462-B430-D5E39E4AC83B}"/>
    <cellStyle name="20% - Accent3 2 2 5 4" xfId="9994" xr:uid="{FFD7B77F-4EBE-4C61-BE62-DBD51132364A}"/>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59D15E1A-5B6E-4FD6-A182-6DCF03FB0271}"/>
    <cellStyle name="20% - Accent3 2 2 6 2 3" xfId="12552" xr:uid="{091A8F96-F805-4F19-AC11-366D9FF53637}"/>
    <cellStyle name="20% - Accent3 2 2 6 3" xfId="6175" xr:uid="{00000000-0005-0000-0000-000067010000}"/>
    <cellStyle name="20% - Accent3 2 2 6 3 2" xfId="14625" xr:uid="{8C426739-A7FD-483A-9C01-1FB4C3AB7FA9}"/>
    <cellStyle name="20% - Accent3 2 2 6 4" xfId="10407" xr:uid="{09764F40-023D-4DEB-A11F-35B2BE207A5E}"/>
    <cellStyle name="20% - Accent3 2 2 7" xfId="2282" xr:uid="{00000000-0005-0000-0000-000068010000}"/>
    <cellStyle name="20% - Accent3 2 2 7 2" xfId="6588" xr:uid="{00000000-0005-0000-0000-000069010000}"/>
    <cellStyle name="20% - Accent3 2 2 7 2 2" xfId="15038" xr:uid="{AB7E4E40-DDEC-44AC-982E-EB1A80ABAE47}"/>
    <cellStyle name="20% - Accent3 2 2 7 3" xfId="10820" xr:uid="{D587636A-1F1B-413E-8617-30A017C4DF46}"/>
    <cellStyle name="20% - Accent3 2 2 8" xfId="4522" xr:uid="{00000000-0005-0000-0000-00006A010000}"/>
    <cellStyle name="20% - Accent3 2 2 8 2" xfId="12972" xr:uid="{CFC195F7-EE70-45BD-9D6C-654F8A78DE69}"/>
    <cellStyle name="20% - Accent3 2 2 9" xfId="8754" xr:uid="{CB04327C-FAF1-4A1F-B638-9F572EFAA487}"/>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6821BEE6-B516-4853-9D80-DF4665765C09}"/>
    <cellStyle name="20% - Accent3 2 3 2 2 3" xfId="11315" xr:uid="{3FAB2D5D-03E4-47C7-ABDD-BE4DA4E9919B}"/>
    <cellStyle name="20% - Accent3 2 3 2 3" xfId="4938" xr:uid="{00000000-0005-0000-0000-00006F010000}"/>
    <cellStyle name="20% - Accent3 2 3 2 3 2" xfId="13388" xr:uid="{6E5FACEA-C977-4B4D-B1E8-D1FAF94DCF1C}"/>
    <cellStyle name="20% - Accent3 2 3 2 4" xfId="9170" xr:uid="{FC1C13FE-8BCF-471E-8469-528BA3457C19}"/>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17F99B9D-CFCD-4F89-B36D-2085CC213BAC}"/>
    <cellStyle name="20% - Accent3 2 3 3 2 3" xfId="11728" xr:uid="{E43F286C-6FE6-452B-846B-0AC5B3108C2B}"/>
    <cellStyle name="20% - Accent3 2 3 3 3" xfId="5351" xr:uid="{00000000-0005-0000-0000-000073010000}"/>
    <cellStyle name="20% - Accent3 2 3 3 3 2" xfId="13801" xr:uid="{01AC3B31-B4BF-4AF6-BFEC-BDB85CD8CB4E}"/>
    <cellStyle name="20% - Accent3 2 3 3 4" xfId="9583" xr:uid="{3BDFDBCE-85C8-436F-A59C-1EDE8F7EE9A9}"/>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FF9AA521-8987-48F9-8B36-9D0358286C77}"/>
    <cellStyle name="20% - Accent3 2 3 4 2 3" xfId="12141" xr:uid="{0C6A9CC0-C84A-43BE-9518-F2BF4F560B2F}"/>
    <cellStyle name="20% - Accent3 2 3 4 3" xfId="5764" xr:uid="{00000000-0005-0000-0000-000077010000}"/>
    <cellStyle name="20% - Accent3 2 3 4 3 2" xfId="14214" xr:uid="{734B2AD2-639E-4893-8D7F-3CD12C0B23A2}"/>
    <cellStyle name="20% - Accent3 2 3 4 4" xfId="9996" xr:uid="{1059193A-92EE-4CD3-83D7-4AAC058EF91C}"/>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99183D34-663A-4E3B-A492-C6A75373B691}"/>
    <cellStyle name="20% - Accent3 2 3 5 2 3" xfId="12554" xr:uid="{E2A0E19A-7392-4A04-9C5D-9EBE4460AA1F}"/>
    <cellStyle name="20% - Accent3 2 3 5 3" xfId="6177" xr:uid="{00000000-0005-0000-0000-00007B010000}"/>
    <cellStyle name="20% - Accent3 2 3 5 3 2" xfId="14627" xr:uid="{1B6CCD35-7622-4B71-8E44-78E99382E4CA}"/>
    <cellStyle name="20% - Accent3 2 3 5 4" xfId="10409" xr:uid="{837752AC-E978-4373-B171-D9BF7A6FA9A9}"/>
    <cellStyle name="20% - Accent3 2 3 6" xfId="2284" xr:uid="{00000000-0005-0000-0000-00007C010000}"/>
    <cellStyle name="20% - Accent3 2 3 6 2" xfId="6590" xr:uid="{00000000-0005-0000-0000-00007D010000}"/>
    <cellStyle name="20% - Accent3 2 3 6 2 2" xfId="15040" xr:uid="{C2343F1C-D9BE-4331-845D-596B7EBB8C6D}"/>
    <cellStyle name="20% - Accent3 2 3 6 3" xfId="10822" xr:uid="{0194EA14-731D-4479-89CA-CA353F8D8420}"/>
    <cellStyle name="20% - Accent3 2 3 7" xfId="4524" xr:uid="{00000000-0005-0000-0000-00007E010000}"/>
    <cellStyle name="20% - Accent3 2 3 7 2" xfId="12974" xr:uid="{5B1CFD2E-91A4-41FF-80C5-E86C46B21EB2}"/>
    <cellStyle name="20% - Accent3 2 3 8" xfId="8756" xr:uid="{25173FA2-55A2-4B10-8F14-E881FFF7CCF0}"/>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FF10F865-5F25-41D1-8D68-318038C19E6C}"/>
    <cellStyle name="20% - Accent3 2 4 2 3" xfId="11312" xr:uid="{64B218D5-A56F-45B6-B33C-5318A7EC0E2D}"/>
    <cellStyle name="20% - Accent3 2 4 3" xfId="4935" xr:uid="{00000000-0005-0000-0000-000082010000}"/>
    <cellStyle name="20% - Accent3 2 4 3 2" xfId="13385" xr:uid="{356A8E9A-EDE9-4739-A976-20257FB5E3D1}"/>
    <cellStyle name="20% - Accent3 2 4 4" xfId="9167" xr:uid="{B9FE4447-BE84-4BDC-AF80-5077D68A6ECE}"/>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49ACE127-250A-4D4F-8C8A-12B89BFACEE3}"/>
    <cellStyle name="20% - Accent3 2 5 2 3" xfId="11725" xr:uid="{4AC626B6-BF2F-4807-A4D1-382AE5392816}"/>
    <cellStyle name="20% - Accent3 2 5 3" xfId="5348" xr:uid="{00000000-0005-0000-0000-000086010000}"/>
    <cellStyle name="20% - Accent3 2 5 3 2" xfId="13798" xr:uid="{949091D1-23F7-42B3-8D78-BB814267C589}"/>
    <cellStyle name="20% - Accent3 2 5 4" xfId="9580" xr:uid="{02AAD16B-66A0-4D49-B657-C4C95415D6E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20A59D93-F75B-43FF-B993-8A9C90DD1626}"/>
    <cellStyle name="20% - Accent3 2 6 2 3" xfId="12138" xr:uid="{3B8B9CE6-CCBB-400D-A7BB-08966AF5F54E}"/>
    <cellStyle name="20% - Accent3 2 6 3" xfId="5761" xr:uid="{00000000-0005-0000-0000-00008A010000}"/>
    <cellStyle name="20% - Accent3 2 6 3 2" xfId="14211" xr:uid="{7C7B454E-7441-44D9-857B-6AFE85A3FB20}"/>
    <cellStyle name="20% - Accent3 2 6 4" xfId="9993" xr:uid="{97670BE6-B19F-47F5-8663-77B2579CAD41}"/>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571E54C2-8E86-4391-BF67-6A464F08E6A9}"/>
    <cellStyle name="20% - Accent3 2 7 2 3" xfId="12551" xr:uid="{92BFD00A-B8FE-4935-9C5B-4500DC5D0C01}"/>
    <cellStyle name="20% - Accent3 2 7 3" xfId="6174" xr:uid="{00000000-0005-0000-0000-00008E010000}"/>
    <cellStyle name="20% - Accent3 2 7 3 2" xfId="14624" xr:uid="{A679919B-95E2-4AB5-9F14-0DBB4CBA3A11}"/>
    <cellStyle name="20% - Accent3 2 7 4" xfId="10406" xr:uid="{CCC279A9-A2C1-4C85-A129-0BAC8AF9C633}"/>
    <cellStyle name="20% - Accent3 2 8" xfId="2281" xr:uid="{00000000-0005-0000-0000-00008F010000}"/>
    <cellStyle name="20% - Accent3 2 8 2" xfId="6587" xr:uid="{00000000-0005-0000-0000-000090010000}"/>
    <cellStyle name="20% - Accent3 2 8 2 2" xfId="15037" xr:uid="{CBA8AA9E-AD01-4B0D-9E1E-03A3466F3AD3}"/>
    <cellStyle name="20% - Accent3 2 8 3" xfId="10819" xr:uid="{FC8EB9EB-D98C-45EE-9CC4-4B54FA96B1CC}"/>
    <cellStyle name="20% - Accent3 2 9" xfId="4521" xr:uid="{00000000-0005-0000-0000-000091010000}"/>
    <cellStyle name="20% - Accent3 2 9 2" xfId="12971" xr:uid="{C3F2C38D-BFE9-41A8-8B2B-BD0FD91B5CD9}"/>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AD4D7497-D52A-4423-A34D-6CD54164DF95}"/>
    <cellStyle name="20% - Accent3 3 2 2 2 3" xfId="11317" xr:uid="{85C5B53C-B95D-488B-A92A-6D7CE27EBFB5}"/>
    <cellStyle name="20% - Accent3 3 2 2 3" xfId="4940" xr:uid="{00000000-0005-0000-0000-000097010000}"/>
    <cellStyle name="20% - Accent3 3 2 2 3 2" xfId="13390" xr:uid="{EFD5F5A6-269D-4D70-9CD7-1AF321DFE0D7}"/>
    <cellStyle name="20% - Accent3 3 2 2 4" xfId="9172" xr:uid="{E92B6FF3-81EA-42FE-A296-AE05C1BB036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2C2475B9-72C2-410C-B3A4-79CDAF8465F4}"/>
    <cellStyle name="20% - Accent3 3 2 3 2 3" xfId="11730" xr:uid="{BABC12C2-833C-4FF2-AED0-EC5DDA7872E5}"/>
    <cellStyle name="20% - Accent3 3 2 3 3" xfId="5353" xr:uid="{00000000-0005-0000-0000-00009B010000}"/>
    <cellStyle name="20% - Accent3 3 2 3 3 2" xfId="13803" xr:uid="{432AC29C-3951-4607-959A-193AF647C112}"/>
    <cellStyle name="20% - Accent3 3 2 3 4" xfId="9585" xr:uid="{C4C49B2E-F725-41AF-8713-43DF6010CBA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AA170763-E0E6-4342-8F71-6AB596A14FC3}"/>
    <cellStyle name="20% - Accent3 3 2 4 2 3" xfId="12143" xr:uid="{F3576DAA-2103-4B3B-8719-AF1266041F6D}"/>
    <cellStyle name="20% - Accent3 3 2 4 3" xfId="5766" xr:uid="{00000000-0005-0000-0000-00009F010000}"/>
    <cellStyle name="20% - Accent3 3 2 4 3 2" xfId="14216" xr:uid="{EB31C80D-F3DE-48C8-A832-65ED6467561B}"/>
    <cellStyle name="20% - Accent3 3 2 4 4" xfId="9998" xr:uid="{00A7025A-349E-4C21-957E-F72D5E7AB1B7}"/>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462A7D32-62A5-4F0E-8A65-77C8729E4B36}"/>
    <cellStyle name="20% - Accent3 3 2 5 2 3" xfId="12556" xr:uid="{43C56EF0-8B33-4DBC-98C4-E03DF0AFAE69}"/>
    <cellStyle name="20% - Accent3 3 2 5 3" xfId="6179" xr:uid="{00000000-0005-0000-0000-0000A3010000}"/>
    <cellStyle name="20% - Accent3 3 2 5 3 2" xfId="14629" xr:uid="{E1C55855-C9EC-4CDE-989A-1E7D285466E7}"/>
    <cellStyle name="20% - Accent3 3 2 5 4" xfId="10411" xr:uid="{331A65C5-5C5A-4A89-A2B7-8E70E322D223}"/>
    <cellStyle name="20% - Accent3 3 2 6" xfId="2286" xr:uid="{00000000-0005-0000-0000-0000A4010000}"/>
    <cellStyle name="20% - Accent3 3 2 6 2" xfId="6592" xr:uid="{00000000-0005-0000-0000-0000A5010000}"/>
    <cellStyle name="20% - Accent3 3 2 6 2 2" xfId="15042" xr:uid="{2C2EA639-0C76-481C-A6A9-3DA62B72BCA0}"/>
    <cellStyle name="20% - Accent3 3 2 6 3" xfId="10824" xr:uid="{271A7FCF-422E-4995-BE70-36E184FD52DC}"/>
    <cellStyle name="20% - Accent3 3 2 7" xfId="4526" xr:uid="{00000000-0005-0000-0000-0000A6010000}"/>
    <cellStyle name="20% - Accent3 3 2 7 2" xfId="12976" xr:uid="{CB08DB22-8D88-42C5-B707-3A1E23C9FB94}"/>
    <cellStyle name="20% - Accent3 3 2 8" xfId="8758" xr:uid="{DE84BB4D-B815-4C89-9B6F-9F8BB49B3C77}"/>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0506A906-437F-4E1E-AEA0-E391C6701F5F}"/>
    <cellStyle name="20% - Accent3 3 3 2 3" xfId="11316" xr:uid="{DFD1AC3C-E163-4565-8452-065578D0D2BA}"/>
    <cellStyle name="20% - Accent3 3 3 3" xfId="4939" xr:uid="{00000000-0005-0000-0000-0000AA010000}"/>
    <cellStyle name="20% - Accent3 3 3 3 2" xfId="13389" xr:uid="{EF1BC10E-5478-4713-A824-90F8328E48F1}"/>
    <cellStyle name="20% - Accent3 3 3 4" xfId="9171" xr:uid="{3D653401-8D48-497A-A3DA-4398C654C42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7DA05BB7-2AA1-476A-8F16-CB6754E0685C}"/>
    <cellStyle name="20% - Accent3 3 4 2 3" xfId="11729" xr:uid="{E305E2C8-82B2-4A99-91D1-315905688607}"/>
    <cellStyle name="20% - Accent3 3 4 3" xfId="5352" xr:uid="{00000000-0005-0000-0000-0000AE010000}"/>
    <cellStyle name="20% - Accent3 3 4 3 2" xfId="13802" xr:uid="{E4250346-F891-4AE1-A161-F5F321059E3C}"/>
    <cellStyle name="20% - Accent3 3 4 4" xfId="9584" xr:uid="{D3851D77-82F1-4AA4-BFEE-CE1D2DA7A93B}"/>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6E43AF9E-7629-4E2A-BE7D-271220546244}"/>
    <cellStyle name="20% - Accent3 3 5 2 3" xfId="12142" xr:uid="{5DDD8587-CD15-4540-A442-DCC6052F2C84}"/>
    <cellStyle name="20% - Accent3 3 5 3" xfId="5765" xr:uid="{00000000-0005-0000-0000-0000B2010000}"/>
    <cellStyle name="20% - Accent3 3 5 3 2" xfId="14215" xr:uid="{B6EFBCB9-1A64-4A0B-9810-44E3E2B8E803}"/>
    <cellStyle name="20% - Accent3 3 5 4" xfId="9997" xr:uid="{5386C077-5F30-4EA8-8E18-EC3001CD10CE}"/>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6D52414A-4D31-4E8C-835B-71B784E90E48}"/>
    <cellStyle name="20% - Accent3 3 6 2 3" xfId="12555" xr:uid="{B49C67E0-BEB7-48C3-B6DE-AC3FF1D197AE}"/>
    <cellStyle name="20% - Accent3 3 6 3" xfId="6178" xr:uid="{00000000-0005-0000-0000-0000B6010000}"/>
    <cellStyle name="20% - Accent3 3 6 3 2" xfId="14628" xr:uid="{C3D5A7F6-ADA7-4C42-8041-21E8AD94A4C0}"/>
    <cellStyle name="20% - Accent3 3 6 4" xfId="10410" xr:uid="{0665E958-34A0-40DA-8BCE-AD8C98361AC0}"/>
    <cellStyle name="20% - Accent3 3 7" xfId="2285" xr:uid="{00000000-0005-0000-0000-0000B7010000}"/>
    <cellStyle name="20% - Accent3 3 7 2" xfId="6591" xr:uid="{00000000-0005-0000-0000-0000B8010000}"/>
    <cellStyle name="20% - Accent3 3 7 2 2" xfId="15041" xr:uid="{DE51A49E-C2E6-428F-B4AF-E7A6F064BFCD}"/>
    <cellStyle name="20% - Accent3 3 7 3" xfId="10823" xr:uid="{07401ED5-AE1D-4E57-960E-ED1C767F91F0}"/>
    <cellStyle name="20% - Accent3 3 8" xfId="4525" xr:uid="{00000000-0005-0000-0000-0000B9010000}"/>
    <cellStyle name="20% - Accent3 3 8 2" xfId="12975" xr:uid="{F15F4E71-FB9E-4B8C-B402-ECD7A7AC1051}"/>
    <cellStyle name="20% - Accent3 3 9" xfId="8757" xr:uid="{54676140-2DD8-4DA8-AC57-510BE7C2E3D1}"/>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DE441732-4B62-4542-B287-CDBDF63CB4C7}"/>
    <cellStyle name="20% - Accent3 4 2 2 3" xfId="11318" xr:uid="{25949B95-5C6E-4646-AD67-12B090EA015F}"/>
    <cellStyle name="20% - Accent3 4 2 3" xfId="4941" xr:uid="{00000000-0005-0000-0000-0000BE010000}"/>
    <cellStyle name="20% - Accent3 4 2 3 2" xfId="13391" xr:uid="{DA82C4A9-2B48-415F-9819-3574F398B9A1}"/>
    <cellStyle name="20% - Accent3 4 2 4" xfId="9173" xr:uid="{5AF9B7E8-8F6E-4125-989F-46D84D8668A0}"/>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40DF0C71-6101-44D9-B7F8-FEE7C18EF7A8}"/>
    <cellStyle name="20% - Accent3 4 3 2 3" xfId="11731" xr:uid="{DF72FE85-71EB-42A5-8714-10DFF99AB4B1}"/>
    <cellStyle name="20% - Accent3 4 3 3" xfId="5354" xr:uid="{00000000-0005-0000-0000-0000C2010000}"/>
    <cellStyle name="20% - Accent3 4 3 3 2" xfId="13804" xr:uid="{0DB58C65-E402-4415-893A-AE8ECA200668}"/>
    <cellStyle name="20% - Accent3 4 3 4" xfId="9586" xr:uid="{A212DF6F-7245-420E-9C8B-A25190BB34AE}"/>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7ACC2E4A-25F4-45AE-8352-D8A97E964E97}"/>
    <cellStyle name="20% - Accent3 4 4 2 3" xfId="12144" xr:uid="{39280DA4-C69F-4973-8785-8976F23CCBB8}"/>
    <cellStyle name="20% - Accent3 4 4 3" xfId="5767" xr:uid="{00000000-0005-0000-0000-0000C6010000}"/>
    <cellStyle name="20% - Accent3 4 4 3 2" xfId="14217" xr:uid="{4E0FB9B3-22C3-43BB-A0AA-1070307D8FBA}"/>
    <cellStyle name="20% - Accent3 4 4 4" xfId="9999" xr:uid="{D25407DD-1957-49E2-A7D6-B6387B066682}"/>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455B120C-2F7A-4DD2-B76E-D490D5D51DD4}"/>
    <cellStyle name="20% - Accent3 4 5 2 3" xfId="12557" xr:uid="{10C36DA6-3941-4B80-B2C3-CAFDC3D72EA7}"/>
    <cellStyle name="20% - Accent3 4 5 3" xfId="6180" xr:uid="{00000000-0005-0000-0000-0000CA010000}"/>
    <cellStyle name="20% - Accent3 4 5 3 2" xfId="14630" xr:uid="{9877A21F-D538-4648-AFAF-4595208E1840}"/>
    <cellStyle name="20% - Accent3 4 5 4" xfId="10412" xr:uid="{49DA5185-5A61-416C-A5DE-5A7C2D06A776}"/>
    <cellStyle name="20% - Accent3 4 6" xfId="2287" xr:uid="{00000000-0005-0000-0000-0000CB010000}"/>
    <cellStyle name="20% - Accent3 4 6 2" xfId="6593" xr:uid="{00000000-0005-0000-0000-0000CC010000}"/>
    <cellStyle name="20% - Accent3 4 6 2 2" xfId="15043" xr:uid="{E122CDEE-D2B5-4F0E-B394-7E252D340B66}"/>
    <cellStyle name="20% - Accent3 4 6 3" xfId="10825" xr:uid="{742F58A5-6C2F-444A-80A4-764282B455E2}"/>
    <cellStyle name="20% - Accent3 4 7" xfId="4527" xr:uid="{00000000-0005-0000-0000-0000CD010000}"/>
    <cellStyle name="20% - Accent3 4 7 2" xfId="12977" xr:uid="{4C809B4C-72EC-4730-A716-DF83C27B1B43}"/>
    <cellStyle name="20% - Accent3 4 8" xfId="8759" xr:uid="{773AA0DC-22C0-4998-9FAC-95E304A0EA68}"/>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545EEA39-DEF9-46FB-ACB5-EA638FA8A6FC}"/>
    <cellStyle name="20% - Accent3 5 2 3" xfId="11311" xr:uid="{27A3DDA7-9CC3-4D94-B617-BDEE444574B0}"/>
    <cellStyle name="20% - Accent3 5 3" xfId="4934" xr:uid="{00000000-0005-0000-0000-0000D1010000}"/>
    <cellStyle name="20% - Accent3 5 3 2" xfId="13384" xr:uid="{0C0A11AB-649C-489F-BFB9-7323E8888EBF}"/>
    <cellStyle name="20% - Accent3 5 4" xfId="9166" xr:uid="{C3A9C0CD-8DB7-4527-92E0-33C39020891A}"/>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28D91358-EEAC-4105-8E4A-DD0A6F76743E}"/>
    <cellStyle name="20% - Accent3 6 2 3" xfId="11724" xr:uid="{47AB2D36-D061-4CB7-B952-90F9FDA8876A}"/>
    <cellStyle name="20% - Accent3 6 3" xfId="5347" xr:uid="{00000000-0005-0000-0000-0000D5010000}"/>
    <cellStyle name="20% - Accent3 6 3 2" xfId="13797" xr:uid="{CFF91529-5BD4-4307-8D92-F2C1075BA1E7}"/>
    <cellStyle name="20% - Accent3 6 4" xfId="9579" xr:uid="{9C9E593F-ABC1-4A00-8864-256C98B086C7}"/>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0636AE41-55D2-4D58-B66B-6F0595F345EE}"/>
    <cellStyle name="20% - Accent3 7 2 3" xfId="12137" xr:uid="{7FBCFAF0-5A8E-4B30-A6B9-F7117D038F37}"/>
    <cellStyle name="20% - Accent3 7 3" xfId="5760" xr:uid="{00000000-0005-0000-0000-0000D9010000}"/>
    <cellStyle name="20% - Accent3 7 3 2" xfId="14210" xr:uid="{2BD44030-F8D5-49B1-BD28-F4FF2D10AE89}"/>
    <cellStyle name="20% - Accent3 7 4" xfId="9992" xr:uid="{4FC4FF1A-6053-4E32-B027-E949FB0763B7}"/>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A900F861-09A4-4510-89C6-B7D6687685BD}"/>
    <cellStyle name="20% - Accent3 8 2 3" xfId="12550" xr:uid="{05123080-392E-4020-8634-B6BC5B5462EA}"/>
    <cellStyle name="20% - Accent3 8 3" xfId="6173" xr:uid="{00000000-0005-0000-0000-0000DD010000}"/>
    <cellStyle name="20% - Accent3 8 3 2" xfId="14623" xr:uid="{05DC9AE6-6BE3-41E8-838D-8BCE3F5F703B}"/>
    <cellStyle name="20% - Accent3 8 4" xfId="10405" xr:uid="{532F9463-BBC2-4262-83E1-4AAA496BF127}"/>
    <cellStyle name="20% - Accent3 9" xfId="2280" xr:uid="{00000000-0005-0000-0000-0000DE010000}"/>
    <cellStyle name="20% - Accent3 9 2" xfId="6586" xr:uid="{00000000-0005-0000-0000-0000DF010000}"/>
    <cellStyle name="20% - Accent3 9 2 2" xfId="15036" xr:uid="{0DB9951F-08D8-46F1-A68D-D91054C91FB0}"/>
    <cellStyle name="20% - Accent3 9 3" xfId="10818" xr:uid="{0D77F746-DD49-46A0-AC76-181E2C0880BD}"/>
    <cellStyle name="20% - Accent4" xfId="25" builtinId="42" customBuiltin="1"/>
    <cellStyle name="20% - Accent4 10" xfId="4528" xr:uid="{00000000-0005-0000-0000-0000E1010000}"/>
    <cellStyle name="20% - Accent4 10 2" xfId="12978" xr:uid="{35EC6EDD-E563-498B-A592-E8E46E2F2572}"/>
    <cellStyle name="20% - Accent4 11" xfId="8760" xr:uid="{CDBCC82E-62F0-4BDD-BF2B-38FB75181CE8}"/>
    <cellStyle name="20% - Accent4 2" xfId="26" xr:uid="{00000000-0005-0000-0000-0000E2010000}"/>
    <cellStyle name="20% - Accent4 2 10" xfId="8761" xr:uid="{F1F0E029-40DA-446B-9A59-7B59D9D7C2C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5D2F5F17-214C-4359-B36E-04BD6FBFEBFA}"/>
    <cellStyle name="20% - Accent4 2 2 2 2 2 3" xfId="11322" xr:uid="{1ACEBF02-B2C4-4A45-A78C-EED01DB7ADC2}"/>
    <cellStyle name="20% - Accent4 2 2 2 2 3" xfId="4945" xr:uid="{00000000-0005-0000-0000-0000E8010000}"/>
    <cellStyle name="20% - Accent4 2 2 2 2 3 2" xfId="13395" xr:uid="{04023134-E73A-4340-A828-65B70F8DADAF}"/>
    <cellStyle name="20% - Accent4 2 2 2 2 4" xfId="9177" xr:uid="{5F6F9BA8-A7FE-4650-8BDB-2438EA4FFCD3}"/>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D78D3F1E-84DD-4D4E-AA99-71D617315B23}"/>
    <cellStyle name="20% - Accent4 2 2 2 3 2 3" xfId="11735" xr:uid="{8C2C96AD-CB92-4FB9-AC3B-477B6B72254C}"/>
    <cellStyle name="20% - Accent4 2 2 2 3 3" xfId="5358" xr:uid="{00000000-0005-0000-0000-0000EC010000}"/>
    <cellStyle name="20% - Accent4 2 2 2 3 3 2" xfId="13808" xr:uid="{067DA808-1AC7-47DA-8DCC-5E272837E6E1}"/>
    <cellStyle name="20% - Accent4 2 2 2 3 4" xfId="9590" xr:uid="{675FDBC8-35D9-4256-B397-CF9B1553476E}"/>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74D33D18-09B5-4CF0-A2FF-92C3792598CF}"/>
    <cellStyle name="20% - Accent4 2 2 2 4 2 3" xfId="12148" xr:uid="{EAE3EC70-ADE2-4B8E-AE70-509BF023561E}"/>
    <cellStyle name="20% - Accent4 2 2 2 4 3" xfId="5771" xr:uid="{00000000-0005-0000-0000-0000F0010000}"/>
    <cellStyle name="20% - Accent4 2 2 2 4 3 2" xfId="14221" xr:uid="{E216FC72-FE5C-4E6F-95D0-C285A8AB1E02}"/>
    <cellStyle name="20% - Accent4 2 2 2 4 4" xfId="10003" xr:uid="{1350BFFB-508D-4452-93B4-691726962CF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28C43DDE-9A6C-4E1B-9278-7F522AAEB970}"/>
    <cellStyle name="20% - Accent4 2 2 2 5 2 3" xfId="12561" xr:uid="{F992F815-2221-42B8-B961-668696189378}"/>
    <cellStyle name="20% - Accent4 2 2 2 5 3" xfId="6184" xr:uid="{00000000-0005-0000-0000-0000F4010000}"/>
    <cellStyle name="20% - Accent4 2 2 2 5 3 2" xfId="14634" xr:uid="{54A48BD7-7DB7-407C-87C2-042E7CE2382B}"/>
    <cellStyle name="20% - Accent4 2 2 2 5 4" xfId="10416" xr:uid="{1FE24F8E-0CD5-4EA5-91AB-E0827ACA47DC}"/>
    <cellStyle name="20% - Accent4 2 2 2 6" xfId="2291" xr:uid="{00000000-0005-0000-0000-0000F5010000}"/>
    <cellStyle name="20% - Accent4 2 2 2 6 2" xfId="6597" xr:uid="{00000000-0005-0000-0000-0000F6010000}"/>
    <cellStyle name="20% - Accent4 2 2 2 6 2 2" xfId="15047" xr:uid="{D61E0068-D114-49BB-BD62-EEF7BE38F7F6}"/>
    <cellStyle name="20% - Accent4 2 2 2 6 3" xfId="10829" xr:uid="{33CCD1B4-1D44-4898-9962-24144DA20178}"/>
    <cellStyle name="20% - Accent4 2 2 2 7" xfId="4531" xr:uid="{00000000-0005-0000-0000-0000F7010000}"/>
    <cellStyle name="20% - Accent4 2 2 2 7 2" xfId="12981" xr:uid="{A17CD5D2-0D29-493C-BB09-06CE92082F02}"/>
    <cellStyle name="20% - Accent4 2 2 2 8" xfId="8763" xr:uid="{895F75EB-7C13-46B0-9D5F-E405EB84E03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A59FE983-3A01-4981-AABE-34811E5EEBFB}"/>
    <cellStyle name="20% - Accent4 2 2 3 2 3" xfId="11321" xr:uid="{8DCDF7E1-5193-4615-9761-59D6F6E096AA}"/>
    <cellStyle name="20% - Accent4 2 2 3 3" xfId="4944" xr:uid="{00000000-0005-0000-0000-0000FB010000}"/>
    <cellStyle name="20% - Accent4 2 2 3 3 2" xfId="13394" xr:uid="{5BC55B89-2382-4A27-A513-7D8E31003AFF}"/>
    <cellStyle name="20% - Accent4 2 2 3 4" xfId="9176" xr:uid="{25CCA9C8-1C31-4F31-9E89-B4774114C4A9}"/>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E5112194-E0B7-48BF-8AF2-98560C58F0D1}"/>
    <cellStyle name="20% - Accent4 2 2 4 2 3" xfId="11734" xr:uid="{37AE7BFA-C688-4A56-A289-87AF8AC997A1}"/>
    <cellStyle name="20% - Accent4 2 2 4 3" xfId="5357" xr:uid="{00000000-0005-0000-0000-0000FF010000}"/>
    <cellStyle name="20% - Accent4 2 2 4 3 2" xfId="13807" xr:uid="{45B16829-B67E-4719-B883-34ECFFCE0C8A}"/>
    <cellStyle name="20% - Accent4 2 2 4 4" xfId="9589" xr:uid="{E4D7FDC9-4CC6-45FD-8AD1-F52377CD68D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6EDBE01B-076A-427A-8D0F-9172AB6D831A}"/>
    <cellStyle name="20% - Accent4 2 2 5 2 3" xfId="12147" xr:uid="{5BD49FDC-E3FA-4C65-BEBE-89CD3367B21C}"/>
    <cellStyle name="20% - Accent4 2 2 5 3" xfId="5770" xr:uid="{00000000-0005-0000-0000-000003020000}"/>
    <cellStyle name="20% - Accent4 2 2 5 3 2" xfId="14220" xr:uid="{511A01D7-B5DA-4302-8D8A-2AD6F5297C7F}"/>
    <cellStyle name="20% - Accent4 2 2 5 4" xfId="10002" xr:uid="{B498B436-2A64-4DAC-BCCF-8B7B3C6032C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4F6D7F2A-4863-4EEE-8B6A-5B90673B3119}"/>
    <cellStyle name="20% - Accent4 2 2 6 2 3" xfId="12560" xr:uid="{9893A601-158B-48F5-929F-709F70CC5C84}"/>
    <cellStyle name="20% - Accent4 2 2 6 3" xfId="6183" xr:uid="{00000000-0005-0000-0000-000007020000}"/>
    <cellStyle name="20% - Accent4 2 2 6 3 2" xfId="14633" xr:uid="{A62EB1CA-6F79-4F1E-8C1C-222AFF202916}"/>
    <cellStyle name="20% - Accent4 2 2 6 4" xfId="10415" xr:uid="{A9137652-31EE-43A7-9EA1-ECA393F0EA01}"/>
    <cellStyle name="20% - Accent4 2 2 7" xfId="2290" xr:uid="{00000000-0005-0000-0000-000008020000}"/>
    <cellStyle name="20% - Accent4 2 2 7 2" xfId="6596" xr:uid="{00000000-0005-0000-0000-000009020000}"/>
    <cellStyle name="20% - Accent4 2 2 7 2 2" xfId="15046" xr:uid="{2845E594-CE35-428D-A653-146D9074DCFB}"/>
    <cellStyle name="20% - Accent4 2 2 7 3" xfId="10828" xr:uid="{5F0B19D3-E1D1-4E01-87EE-B18BBD114900}"/>
    <cellStyle name="20% - Accent4 2 2 8" xfId="4530" xr:uid="{00000000-0005-0000-0000-00000A020000}"/>
    <cellStyle name="20% - Accent4 2 2 8 2" xfId="12980" xr:uid="{2EED5EF6-87D2-455A-9E4A-B7CE5A5BDC24}"/>
    <cellStyle name="20% - Accent4 2 2 9" xfId="8762" xr:uid="{753CF324-F0E9-4D0F-B38D-239B8D2F83A3}"/>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BE0DE5D8-C458-416B-B3CD-BC579E2C3430}"/>
    <cellStyle name="20% - Accent4 2 3 2 2 3" xfId="11323" xr:uid="{F474BEF6-AB1E-40C5-B366-71F81C86A8B9}"/>
    <cellStyle name="20% - Accent4 2 3 2 3" xfId="4946" xr:uid="{00000000-0005-0000-0000-00000F020000}"/>
    <cellStyle name="20% - Accent4 2 3 2 3 2" xfId="13396" xr:uid="{5A9119D2-4899-468F-8780-0AC204CE3418}"/>
    <cellStyle name="20% - Accent4 2 3 2 4" xfId="9178" xr:uid="{B5FC7EA4-BD85-41DC-9382-6E542E8054A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DD4FA602-3058-40A4-86B1-03D9B3D7267C}"/>
    <cellStyle name="20% - Accent4 2 3 3 2 3" xfId="11736" xr:uid="{3AC9DFF8-922D-4F64-BE2B-65CC40BB7CF7}"/>
    <cellStyle name="20% - Accent4 2 3 3 3" xfId="5359" xr:uid="{00000000-0005-0000-0000-000013020000}"/>
    <cellStyle name="20% - Accent4 2 3 3 3 2" xfId="13809" xr:uid="{462A93E2-5D39-48B7-AD5A-8365BE8F4996}"/>
    <cellStyle name="20% - Accent4 2 3 3 4" xfId="9591" xr:uid="{203CB114-A7C9-4FE2-9B60-1BA6F38F3E4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CDE26102-D8E0-4D4D-8C47-2E07A3099FC5}"/>
    <cellStyle name="20% - Accent4 2 3 4 2 3" xfId="12149" xr:uid="{7BF7A216-22D1-4EC9-90AE-015455CD1A1F}"/>
    <cellStyle name="20% - Accent4 2 3 4 3" xfId="5772" xr:uid="{00000000-0005-0000-0000-000017020000}"/>
    <cellStyle name="20% - Accent4 2 3 4 3 2" xfId="14222" xr:uid="{9A39819B-592D-4368-907D-D0DF27FF9EE6}"/>
    <cellStyle name="20% - Accent4 2 3 4 4" xfId="10004" xr:uid="{82B41B75-8EEF-4063-85CE-DFCF5FCFB424}"/>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BCDFBA43-871F-4AEB-A818-8F2835CEDBC5}"/>
    <cellStyle name="20% - Accent4 2 3 5 2 3" xfId="12562" xr:uid="{2741F250-FB41-49DB-BAD5-5CE659C7E0CA}"/>
    <cellStyle name="20% - Accent4 2 3 5 3" xfId="6185" xr:uid="{00000000-0005-0000-0000-00001B020000}"/>
    <cellStyle name="20% - Accent4 2 3 5 3 2" xfId="14635" xr:uid="{85A21AD5-31F3-4446-85B8-098816FD3FC7}"/>
    <cellStyle name="20% - Accent4 2 3 5 4" xfId="10417" xr:uid="{135426E7-E6BB-47FC-9C23-34A566CFAA3D}"/>
    <cellStyle name="20% - Accent4 2 3 6" xfId="2292" xr:uid="{00000000-0005-0000-0000-00001C020000}"/>
    <cellStyle name="20% - Accent4 2 3 6 2" xfId="6598" xr:uid="{00000000-0005-0000-0000-00001D020000}"/>
    <cellStyle name="20% - Accent4 2 3 6 2 2" xfId="15048" xr:uid="{BEA3DE62-E760-41AB-9C7E-7189559D934D}"/>
    <cellStyle name="20% - Accent4 2 3 6 3" xfId="10830" xr:uid="{6779C293-751C-4D40-855C-CE22EBA93D46}"/>
    <cellStyle name="20% - Accent4 2 3 7" xfId="4532" xr:uid="{00000000-0005-0000-0000-00001E020000}"/>
    <cellStyle name="20% - Accent4 2 3 7 2" xfId="12982" xr:uid="{468A9A9D-5E84-4E2B-A686-6EB919E0B3DE}"/>
    <cellStyle name="20% - Accent4 2 3 8" xfId="8764" xr:uid="{B6AAF04E-2C88-4804-8885-B6C5C385CBCA}"/>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4594B76F-8CD6-42BE-A1D7-AA3028EC75FB}"/>
    <cellStyle name="20% - Accent4 2 4 2 3" xfId="11320" xr:uid="{60A46886-319D-4C89-AD96-99178B6AA378}"/>
    <cellStyle name="20% - Accent4 2 4 3" xfId="4943" xr:uid="{00000000-0005-0000-0000-000022020000}"/>
    <cellStyle name="20% - Accent4 2 4 3 2" xfId="13393" xr:uid="{17855677-CCC9-496C-916C-BAFD5F34091D}"/>
    <cellStyle name="20% - Accent4 2 4 4" xfId="9175" xr:uid="{F8F52831-39EC-4C4F-B506-53ECC6F5452D}"/>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331206B4-B45D-4435-B14F-1F55558E6290}"/>
    <cellStyle name="20% - Accent4 2 5 2 3" xfId="11733" xr:uid="{9B92C94A-29BE-48A6-9721-C1C2F4F63034}"/>
    <cellStyle name="20% - Accent4 2 5 3" xfId="5356" xr:uid="{00000000-0005-0000-0000-000026020000}"/>
    <cellStyle name="20% - Accent4 2 5 3 2" xfId="13806" xr:uid="{D51D9ED6-52DA-42CC-8495-B8D41677A168}"/>
    <cellStyle name="20% - Accent4 2 5 4" xfId="9588" xr:uid="{1FCAC9D2-B9F4-4235-A653-E6D6E96BC391}"/>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858782DC-49AF-481C-A9D5-91561549B353}"/>
    <cellStyle name="20% - Accent4 2 6 2 3" xfId="12146" xr:uid="{E170E6E9-5CDC-4DC7-BD07-165E4C70FE4E}"/>
    <cellStyle name="20% - Accent4 2 6 3" xfId="5769" xr:uid="{00000000-0005-0000-0000-00002A020000}"/>
    <cellStyle name="20% - Accent4 2 6 3 2" xfId="14219" xr:uid="{724974CD-EC91-401D-B777-6388294C10DB}"/>
    <cellStyle name="20% - Accent4 2 6 4" xfId="10001" xr:uid="{1A1B85ED-F37B-4820-8BA4-C1253A3F8AA7}"/>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22580066-40B5-4D6F-A287-95383915D7FB}"/>
    <cellStyle name="20% - Accent4 2 7 2 3" xfId="12559" xr:uid="{EC5A23E0-8DAF-4342-9E91-A20619AE7323}"/>
    <cellStyle name="20% - Accent4 2 7 3" xfId="6182" xr:uid="{00000000-0005-0000-0000-00002E020000}"/>
    <cellStyle name="20% - Accent4 2 7 3 2" xfId="14632" xr:uid="{63C2EE6B-057E-4727-B036-A7D9D56139E7}"/>
    <cellStyle name="20% - Accent4 2 7 4" xfId="10414" xr:uid="{8A7B2532-46A0-4FD2-8FE1-968A8B5202DD}"/>
    <cellStyle name="20% - Accent4 2 8" xfId="2289" xr:uid="{00000000-0005-0000-0000-00002F020000}"/>
    <cellStyle name="20% - Accent4 2 8 2" xfId="6595" xr:uid="{00000000-0005-0000-0000-000030020000}"/>
    <cellStyle name="20% - Accent4 2 8 2 2" xfId="15045" xr:uid="{6E9CD4C2-D71A-42DE-A6C8-C3A80B5AF0A5}"/>
    <cellStyle name="20% - Accent4 2 8 3" xfId="10827" xr:uid="{88D22D7F-38A6-49BC-8EF6-BE34D2F707FF}"/>
    <cellStyle name="20% - Accent4 2 9" xfId="4529" xr:uid="{00000000-0005-0000-0000-000031020000}"/>
    <cellStyle name="20% - Accent4 2 9 2" xfId="12979" xr:uid="{C20B0F0A-7E2A-4956-A8CB-C3974310E1C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74945CA1-FCB0-4C16-91EF-4E1FD948DD2F}"/>
    <cellStyle name="20% - Accent4 3 2 2 2 3" xfId="11325" xr:uid="{86835B08-1E9F-4E3C-8EC0-EF7F09D8AC11}"/>
    <cellStyle name="20% - Accent4 3 2 2 3" xfId="4948" xr:uid="{00000000-0005-0000-0000-000037020000}"/>
    <cellStyle name="20% - Accent4 3 2 2 3 2" xfId="13398" xr:uid="{F3715692-9AA8-4136-A1CC-0CCE00E7C9B2}"/>
    <cellStyle name="20% - Accent4 3 2 2 4" xfId="9180" xr:uid="{4AA6A0EF-4BAE-4A93-8B86-FD9F0A8DECCA}"/>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F7F40CF5-EFB8-45E7-AEED-C3626E2CB7B4}"/>
    <cellStyle name="20% - Accent4 3 2 3 2 3" xfId="11738" xr:uid="{CEFDFF4E-5C21-4BC2-BC02-422CC87868D7}"/>
    <cellStyle name="20% - Accent4 3 2 3 3" xfId="5361" xr:uid="{00000000-0005-0000-0000-00003B020000}"/>
    <cellStyle name="20% - Accent4 3 2 3 3 2" xfId="13811" xr:uid="{52882A2D-9F3D-4D72-8E6B-78533CDC8B1D}"/>
    <cellStyle name="20% - Accent4 3 2 3 4" xfId="9593" xr:uid="{764520D1-CBF6-42FB-83B0-C0CEE7393F1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15090A5B-B368-4481-A917-4263824D80EC}"/>
    <cellStyle name="20% - Accent4 3 2 4 2 3" xfId="12151" xr:uid="{36F3D9DF-4226-4247-8AEE-4003BC321FBD}"/>
    <cellStyle name="20% - Accent4 3 2 4 3" xfId="5774" xr:uid="{00000000-0005-0000-0000-00003F020000}"/>
    <cellStyle name="20% - Accent4 3 2 4 3 2" xfId="14224" xr:uid="{9193A2F3-EAE2-4EF6-A510-F2AA44A583A6}"/>
    <cellStyle name="20% - Accent4 3 2 4 4" xfId="10006" xr:uid="{81F93C52-BEC6-4678-8D14-4A0CD29785CC}"/>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05CEB840-4C46-4944-B807-1AFE42F741CB}"/>
    <cellStyle name="20% - Accent4 3 2 5 2 3" xfId="12564" xr:uid="{D01CCC90-4241-4835-BD9C-B04CC2573BF0}"/>
    <cellStyle name="20% - Accent4 3 2 5 3" xfId="6187" xr:uid="{00000000-0005-0000-0000-000043020000}"/>
    <cellStyle name="20% - Accent4 3 2 5 3 2" xfId="14637" xr:uid="{CE5CD314-8B61-4A94-82D5-89B98F87AF82}"/>
    <cellStyle name="20% - Accent4 3 2 5 4" xfId="10419" xr:uid="{4CE440C6-E776-4DFF-821C-B2537E6AA643}"/>
    <cellStyle name="20% - Accent4 3 2 6" xfId="2294" xr:uid="{00000000-0005-0000-0000-000044020000}"/>
    <cellStyle name="20% - Accent4 3 2 6 2" xfId="6600" xr:uid="{00000000-0005-0000-0000-000045020000}"/>
    <cellStyle name="20% - Accent4 3 2 6 2 2" xfId="15050" xr:uid="{F9BEAC9F-9D6B-4A8D-81D5-142419B19EC9}"/>
    <cellStyle name="20% - Accent4 3 2 6 3" xfId="10832" xr:uid="{3C6A4F53-A14E-41C3-A183-C1C4CAABDD1D}"/>
    <cellStyle name="20% - Accent4 3 2 7" xfId="4534" xr:uid="{00000000-0005-0000-0000-000046020000}"/>
    <cellStyle name="20% - Accent4 3 2 7 2" xfId="12984" xr:uid="{AF1B94B4-4BC0-4459-9058-53FEA1D71B36}"/>
    <cellStyle name="20% - Accent4 3 2 8" xfId="8766" xr:uid="{F353146D-FF94-4F4C-9FE6-E8B8FFAFCF97}"/>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9FC1C5DC-E503-4E09-9263-49BE8354DA94}"/>
    <cellStyle name="20% - Accent4 3 3 2 3" xfId="11324" xr:uid="{8F04FF9E-6D1D-42F3-BF38-56C70C6C7852}"/>
    <cellStyle name="20% - Accent4 3 3 3" xfId="4947" xr:uid="{00000000-0005-0000-0000-00004A020000}"/>
    <cellStyle name="20% - Accent4 3 3 3 2" xfId="13397" xr:uid="{86E3B58E-3ECE-4192-B4C3-505E34DBEE57}"/>
    <cellStyle name="20% - Accent4 3 3 4" xfId="9179" xr:uid="{EEE05075-ECF3-472C-B980-55C38C20FC76}"/>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784C1AC5-6E9D-4D26-9F2B-DB367388D7C0}"/>
    <cellStyle name="20% - Accent4 3 4 2 3" xfId="11737" xr:uid="{679B6672-7DC8-4B33-A4A3-225A7F4CF191}"/>
    <cellStyle name="20% - Accent4 3 4 3" xfId="5360" xr:uid="{00000000-0005-0000-0000-00004E020000}"/>
    <cellStyle name="20% - Accent4 3 4 3 2" xfId="13810" xr:uid="{4E7FC78B-9755-4446-85F0-7C9BE97A5976}"/>
    <cellStyle name="20% - Accent4 3 4 4" xfId="9592" xr:uid="{F5C32A36-417B-4FEB-92F2-AEA4C854EAFA}"/>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A8AA1D3E-F0D2-4696-A820-6424DBDFD817}"/>
    <cellStyle name="20% - Accent4 3 5 2 3" xfId="12150" xr:uid="{2274DCEB-8CA6-4C27-A657-F380869DB6E5}"/>
    <cellStyle name="20% - Accent4 3 5 3" xfId="5773" xr:uid="{00000000-0005-0000-0000-000052020000}"/>
    <cellStyle name="20% - Accent4 3 5 3 2" xfId="14223" xr:uid="{3F015EAC-9237-4D0C-BBD9-68115949744B}"/>
    <cellStyle name="20% - Accent4 3 5 4" xfId="10005" xr:uid="{CE3CE45D-C46A-4A33-832A-17C6AD984D0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6EEA2A56-F685-4354-8CE2-5CD35DF319C3}"/>
    <cellStyle name="20% - Accent4 3 6 2 3" xfId="12563" xr:uid="{666AD242-470A-416D-9B33-F77713EE6B64}"/>
    <cellStyle name="20% - Accent4 3 6 3" xfId="6186" xr:uid="{00000000-0005-0000-0000-000056020000}"/>
    <cellStyle name="20% - Accent4 3 6 3 2" xfId="14636" xr:uid="{23B2C323-7EB6-4667-8020-8293C385AD79}"/>
    <cellStyle name="20% - Accent4 3 6 4" xfId="10418" xr:uid="{79CDA5F6-A0AD-40DC-929A-5755E9E42AED}"/>
    <cellStyle name="20% - Accent4 3 7" xfId="2293" xr:uid="{00000000-0005-0000-0000-000057020000}"/>
    <cellStyle name="20% - Accent4 3 7 2" xfId="6599" xr:uid="{00000000-0005-0000-0000-000058020000}"/>
    <cellStyle name="20% - Accent4 3 7 2 2" xfId="15049" xr:uid="{AFFA209C-1447-4A11-B757-B6FDF93E9ED7}"/>
    <cellStyle name="20% - Accent4 3 7 3" xfId="10831" xr:uid="{189D5949-98C0-4FC6-BF8C-0616CD33AA98}"/>
    <cellStyle name="20% - Accent4 3 8" xfId="4533" xr:uid="{00000000-0005-0000-0000-000059020000}"/>
    <cellStyle name="20% - Accent4 3 8 2" xfId="12983" xr:uid="{35477EE7-B482-43C2-8549-F150EE806A71}"/>
    <cellStyle name="20% - Accent4 3 9" xfId="8765" xr:uid="{C3115481-AC11-46BD-A5B1-56B18EBF57D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82328376-76F9-427B-8D20-678DDDAE0F1E}"/>
    <cellStyle name="20% - Accent4 4 2 2 3" xfId="11326" xr:uid="{50111DF8-3E93-4156-BDC6-C5865EE053FD}"/>
    <cellStyle name="20% - Accent4 4 2 3" xfId="4949" xr:uid="{00000000-0005-0000-0000-00005E020000}"/>
    <cellStyle name="20% - Accent4 4 2 3 2" xfId="13399" xr:uid="{847FFC22-E12B-4D49-9487-5B999977A94F}"/>
    <cellStyle name="20% - Accent4 4 2 4" xfId="9181" xr:uid="{504E3AA5-BDD0-4F23-AD94-B2AD836FC66B}"/>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1327EEF7-EDA7-4667-AE40-BE533C005D16}"/>
    <cellStyle name="20% - Accent4 4 3 2 3" xfId="11739" xr:uid="{5FDEE3A2-5568-4EC2-ACA0-FD7861591571}"/>
    <cellStyle name="20% - Accent4 4 3 3" xfId="5362" xr:uid="{00000000-0005-0000-0000-000062020000}"/>
    <cellStyle name="20% - Accent4 4 3 3 2" xfId="13812" xr:uid="{F57474F7-C69C-4DFB-B365-6683ED77AF8A}"/>
    <cellStyle name="20% - Accent4 4 3 4" xfId="9594" xr:uid="{B31A8A2E-1BE7-4E08-AE91-C823075062B9}"/>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107D3962-4F14-4424-AA9B-2F9B31E3DA5D}"/>
    <cellStyle name="20% - Accent4 4 4 2 3" xfId="12152" xr:uid="{5A455F64-326C-435F-B2EE-B6B493045C34}"/>
    <cellStyle name="20% - Accent4 4 4 3" xfId="5775" xr:uid="{00000000-0005-0000-0000-000066020000}"/>
    <cellStyle name="20% - Accent4 4 4 3 2" xfId="14225" xr:uid="{D86555E7-59EF-45F9-B08A-6195012C7554}"/>
    <cellStyle name="20% - Accent4 4 4 4" xfId="10007" xr:uid="{F2F3708F-51D8-40F2-BADC-A054DA73DDEE}"/>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A1CEF9BF-6EBD-4C44-B4A1-234A8432929E}"/>
    <cellStyle name="20% - Accent4 4 5 2 3" xfId="12565" xr:uid="{252B1B4C-7414-4758-BA7E-21FC5E73BF38}"/>
    <cellStyle name="20% - Accent4 4 5 3" xfId="6188" xr:uid="{00000000-0005-0000-0000-00006A020000}"/>
    <cellStyle name="20% - Accent4 4 5 3 2" xfId="14638" xr:uid="{B31A65E4-F08C-4E2B-9B68-26D4DB083509}"/>
    <cellStyle name="20% - Accent4 4 5 4" xfId="10420" xr:uid="{D999F5FE-6D4E-4C12-A381-D64440EDE6A6}"/>
    <cellStyle name="20% - Accent4 4 6" xfId="2295" xr:uid="{00000000-0005-0000-0000-00006B020000}"/>
    <cellStyle name="20% - Accent4 4 6 2" xfId="6601" xr:uid="{00000000-0005-0000-0000-00006C020000}"/>
    <cellStyle name="20% - Accent4 4 6 2 2" xfId="15051" xr:uid="{9B2145AC-4D46-4EBF-B33C-9D9FF78873E4}"/>
    <cellStyle name="20% - Accent4 4 6 3" xfId="10833" xr:uid="{1D94F3DB-5877-4350-A7DE-732DDAF91B64}"/>
    <cellStyle name="20% - Accent4 4 7" xfId="4535" xr:uid="{00000000-0005-0000-0000-00006D020000}"/>
    <cellStyle name="20% - Accent4 4 7 2" xfId="12985" xr:uid="{45920510-737E-4F17-94A1-EF8D42BCCC17}"/>
    <cellStyle name="20% - Accent4 4 8" xfId="8767" xr:uid="{05D81999-18F0-421D-B9B4-9770D1E0DAA1}"/>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6653B09E-2EAB-47B0-AF01-D4B44C0F8F33}"/>
    <cellStyle name="20% - Accent4 5 2 3" xfId="11319" xr:uid="{BB200F8E-60D6-4C39-8977-ADFD5A547215}"/>
    <cellStyle name="20% - Accent4 5 3" xfId="4942" xr:uid="{00000000-0005-0000-0000-000071020000}"/>
    <cellStyle name="20% - Accent4 5 3 2" xfId="13392" xr:uid="{FBC83E3C-995D-4820-8E26-089E897CB8B9}"/>
    <cellStyle name="20% - Accent4 5 4" xfId="9174" xr:uid="{D6DC442C-8025-43E5-8744-23FAC86C4504}"/>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87B93539-4754-4BCD-8142-5A0BFEBBB153}"/>
    <cellStyle name="20% - Accent4 6 2 3" xfId="11732" xr:uid="{2764F495-F564-4D8E-A242-82E6FA3FA3D3}"/>
    <cellStyle name="20% - Accent4 6 3" xfId="5355" xr:uid="{00000000-0005-0000-0000-000075020000}"/>
    <cellStyle name="20% - Accent4 6 3 2" xfId="13805" xr:uid="{9370961E-9011-4E0F-8577-ED1238568311}"/>
    <cellStyle name="20% - Accent4 6 4" xfId="9587" xr:uid="{620E09CB-9762-4A3A-9E64-26B3E0AD869C}"/>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702A6F2D-EA4E-4153-86C7-C1FD50E38D87}"/>
    <cellStyle name="20% - Accent4 7 2 3" xfId="12145" xr:uid="{07966D5A-FD09-4BE4-BAB1-CC2BE04EDED6}"/>
    <cellStyle name="20% - Accent4 7 3" xfId="5768" xr:uid="{00000000-0005-0000-0000-000079020000}"/>
    <cellStyle name="20% - Accent4 7 3 2" xfId="14218" xr:uid="{1804156A-0C08-4943-B759-C769FD12082B}"/>
    <cellStyle name="20% - Accent4 7 4" xfId="10000" xr:uid="{9D3BB16B-4BE1-43C6-8DDE-1432DB6FAE29}"/>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87444875-6CFE-4E4D-82DA-50B1854771E6}"/>
    <cellStyle name="20% - Accent4 8 2 3" xfId="12558" xr:uid="{01148396-CBF8-48DE-B1F4-19D0B074D14B}"/>
    <cellStyle name="20% - Accent4 8 3" xfId="6181" xr:uid="{00000000-0005-0000-0000-00007D020000}"/>
    <cellStyle name="20% - Accent4 8 3 2" xfId="14631" xr:uid="{88C30299-8AD9-4749-8672-AC3509CE3C2F}"/>
    <cellStyle name="20% - Accent4 8 4" xfId="10413" xr:uid="{CE5A1179-7DE1-4B1B-9E61-42825CD22691}"/>
    <cellStyle name="20% - Accent4 9" xfId="2288" xr:uid="{00000000-0005-0000-0000-00007E020000}"/>
    <cellStyle name="20% - Accent4 9 2" xfId="6594" xr:uid="{00000000-0005-0000-0000-00007F020000}"/>
    <cellStyle name="20% - Accent4 9 2 2" xfId="15044" xr:uid="{20992760-10BE-4304-ACDB-6E38BF2F5A00}"/>
    <cellStyle name="20% - Accent4 9 3" xfId="10826" xr:uid="{C7F551A0-2F30-4175-881A-E4824361270A}"/>
    <cellStyle name="20% - Accent5" xfId="33" builtinId="46" customBuiltin="1"/>
    <cellStyle name="20% - Accent5 10" xfId="4536" xr:uid="{00000000-0005-0000-0000-000081020000}"/>
    <cellStyle name="20% - Accent5 10 2" xfId="12986" xr:uid="{D95D7CDA-E0AA-470D-879D-94D5282C6746}"/>
    <cellStyle name="20% - Accent5 11" xfId="8768" xr:uid="{0965C4B6-0E9B-478C-8B1E-40871C223F4A}"/>
    <cellStyle name="20% - Accent5 2" xfId="34" xr:uid="{00000000-0005-0000-0000-000082020000}"/>
    <cellStyle name="20% - Accent5 2 10" xfId="8769" xr:uid="{6769FF8D-4F63-4E50-9F61-CFB1D76C7235}"/>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C1282F92-42FE-4057-8999-C5C4AECD5C5F}"/>
    <cellStyle name="20% - Accent5 2 2 2 2 2 3" xfId="11330" xr:uid="{0F957386-309D-4B58-9CBD-84DBAEBBC822}"/>
    <cellStyle name="20% - Accent5 2 2 2 2 3" xfId="4953" xr:uid="{00000000-0005-0000-0000-000088020000}"/>
    <cellStyle name="20% - Accent5 2 2 2 2 3 2" xfId="13403" xr:uid="{4DC06E43-4996-47CF-A9E3-52E860A7F88D}"/>
    <cellStyle name="20% - Accent5 2 2 2 2 4" xfId="9185" xr:uid="{BDEB8B14-6811-4D36-9413-3D4012133729}"/>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081014C5-D18E-4058-874E-3F2E092B6F27}"/>
    <cellStyle name="20% - Accent5 2 2 2 3 2 3" xfId="11743" xr:uid="{C594D562-E68F-4346-A40C-9BCBD71D8804}"/>
    <cellStyle name="20% - Accent5 2 2 2 3 3" xfId="5366" xr:uid="{00000000-0005-0000-0000-00008C020000}"/>
    <cellStyle name="20% - Accent5 2 2 2 3 3 2" xfId="13816" xr:uid="{B70CF38F-801D-4573-A959-2B3061586C81}"/>
    <cellStyle name="20% - Accent5 2 2 2 3 4" xfId="9598" xr:uid="{65DEB34C-FE80-4AFF-A2E4-B1EB2F6463DB}"/>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8445490B-7E7A-4AFD-98A3-38F1E1EE4A55}"/>
    <cellStyle name="20% - Accent5 2 2 2 4 2 3" xfId="12156" xr:uid="{F820B86C-71F7-47A7-A056-B3F72469A1CA}"/>
    <cellStyle name="20% - Accent5 2 2 2 4 3" xfId="5779" xr:uid="{00000000-0005-0000-0000-000090020000}"/>
    <cellStyle name="20% - Accent5 2 2 2 4 3 2" xfId="14229" xr:uid="{45816329-5DEA-4DA6-A0F0-2CD1B9437B85}"/>
    <cellStyle name="20% - Accent5 2 2 2 4 4" xfId="10011" xr:uid="{A5D07B77-6766-4A86-9D90-0A7B3260E45B}"/>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27EAA99E-3090-40FE-B873-455267B8C427}"/>
    <cellStyle name="20% - Accent5 2 2 2 5 2 3" xfId="12569" xr:uid="{3542A1F6-08F0-4711-BB6A-AAAE0F4C2B84}"/>
    <cellStyle name="20% - Accent5 2 2 2 5 3" xfId="6192" xr:uid="{00000000-0005-0000-0000-000094020000}"/>
    <cellStyle name="20% - Accent5 2 2 2 5 3 2" xfId="14642" xr:uid="{325648B2-68C3-4071-83B4-A8CBC3326E43}"/>
    <cellStyle name="20% - Accent5 2 2 2 5 4" xfId="10424" xr:uid="{58E03DD1-234E-48ED-96E1-F88A4DD2E8AA}"/>
    <cellStyle name="20% - Accent5 2 2 2 6" xfId="2299" xr:uid="{00000000-0005-0000-0000-000095020000}"/>
    <cellStyle name="20% - Accent5 2 2 2 6 2" xfId="6605" xr:uid="{00000000-0005-0000-0000-000096020000}"/>
    <cellStyle name="20% - Accent5 2 2 2 6 2 2" xfId="15055" xr:uid="{F1E063F6-5CA2-4A5C-8B5B-826152B82912}"/>
    <cellStyle name="20% - Accent5 2 2 2 6 3" xfId="10837" xr:uid="{1D981A24-AB4A-436B-8422-9C7CF8C7842A}"/>
    <cellStyle name="20% - Accent5 2 2 2 7" xfId="4539" xr:uid="{00000000-0005-0000-0000-000097020000}"/>
    <cellStyle name="20% - Accent5 2 2 2 7 2" xfId="12989" xr:uid="{4EDBF818-066B-4A91-8E70-A0C3DA02091D}"/>
    <cellStyle name="20% - Accent5 2 2 2 8" xfId="8771" xr:uid="{7A2E53C6-C049-49BE-BEFB-FD384BC6B1E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5A81E28A-7E54-4BB3-B793-B98C76E50E40}"/>
    <cellStyle name="20% - Accent5 2 2 3 2 3" xfId="11329" xr:uid="{73D71D0F-5C38-4A29-A46F-0A86A0804DC2}"/>
    <cellStyle name="20% - Accent5 2 2 3 3" xfId="4952" xr:uid="{00000000-0005-0000-0000-00009B020000}"/>
    <cellStyle name="20% - Accent5 2 2 3 3 2" xfId="13402" xr:uid="{C0E8DC3E-22EC-4B03-B8FC-B55F079E0D39}"/>
    <cellStyle name="20% - Accent5 2 2 3 4" xfId="9184" xr:uid="{9F8C538B-58D9-4987-B00B-8F98EF80F0CA}"/>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A61B4078-BFC7-4428-91E8-5FA359EE8F56}"/>
    <cellStyle name="20% - Accent5 2 2 4 2 3" xfId="11742" xr:uid="{0E166559-F52F-47B6-9B65-C3CD331B7094}"/>
    <cellStyle name="20% - Accent5 2 2 4 3" xfId="5365" xr:uid="{00000000-0005-0000-0000-00009F020000}"/>
    <cellStyle name="20% - Accent5 2 2 4 3 2" xfId="13815" xr:uid="{67EF3DA6-9A81-467B-A27F-33F3C3E13264}"/>
    <cellStyle name="20% - Accent5 2 2 4 4" xfId="9597" xr:uid="{790E879B-C811-4676-9921-0D8C4230F5C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CD96C8A0-A5A2-4A8F-BFDB-D9A8443214F5}"/>
    <cellStyle name="20% - Accent5 2 2 5 2 3" xfId="12155" xr:uid="{A7AE90F6-E720-4B53-B989-ADA55525A815}"/>
    <cellStyle name="20% - Accent5 2 2 5 3" xfId="5778" xr:uid="{00000000-0005-0000-0000-0000A3020000}"/>
    <cellStyle name="20% - Accent5 2 2 5 3 2" xfId="14228" xr:uid="{70F0308F-5805-421E-9BE8-2D3A7231D7F2}"/>
    <cellStyle name="20% - Accent5 2 2 5 4" xfId="10010" xr:uid="{BFEB3905-EF9D-4BA1-A601-2150942E5F0E}"/>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E8CB9B6B-4B1E-435C-BBF2-70AAC92F4998}"/>
    <cellStyle name="20% - Accent5 2 2 6 2 3" xfId="12568" xr:uid="{694874BD-6D91-4E36-A0F0-D06A538C5A0F}"/>
    <cellStyle name="20% - Accent5 2 2 6 3" xfId="6191" xr:uid="{00000000-0005-0000-0000-0000A7020000}"/>
    <cellStyle name="20% - Accent5 2 2 6 3 2" xfId="14641" xr:uid="{0D88FFBC-53C3-438C-A3D8-716EC4172FBA}"/>
    <cellStyle name="20% - Accent5 2 2 6 4" xfId="10423" xr:uid="{5C907C28-B3BE-42A5-BD21-09CA0A8AA76A}"/>
    <cellStyle name="20% - Accent5 2 2 7" xfId="2298" xr:uid="{00000000-0005-0000-0000-0000A8020000}"/>
    <cellStyle name="20% - Accent5 2 2 7 2" xfId="6604" xr:uid="{00000000-0005-0000-0000-0000A9020000}"/>
    <cellStyle name="20% - Accent5 2 2 7 2 2" xfId="15054" xr:uid="{FEB97163-E52B-4209-BCB0-9633FABF0E8D}"/>
    <cellStyle name="20% - Accent5 2 2 7 3" xfId="10836" xr:uid="{FDBFD46C-FCA9-4215-A1CC-6AD99E696E6C}"/>
    <cellStyle name="20% - Accent5 2 2 8" xfId="4538" xr:uid="{00000000-0005-0000-0000-0000AA020000}"/>
    <cellStyle name="20% - Accent5 2 2 8 2" xfId="12988" xr:uid="{FFA1686D-747F-47A2-8233-2304671D2D5A}"/>
    <cellStyle name="20% - Accent5 2 2 9" xfId="8770" xr:uid="{8BF30888-3196-4D8C-AFCA-C5A2ECCCDE02}"/>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41BC678C-B9EB-43D8-B977-CF0306CCC6DC}"/>
    <cellStyle name="20% - Accent5 2 3 2 2 3" xfId="11331" xr:uid="{4605FD64-5247-414D-9E1A-62460A0226F5}"/>
    <cellStyle name="20% - Accent5 2 3 2 3" xfId="4954" xr:uid="{00000000-0005-0000-0000-0000AF020000}"/>
    <cellStyle name="20% - Accent5 2 3 2 3 2" xfId="13404" xr:uid="{AB380A09-D454-4954-9645-AD4598FBE106}"/>
    <cellStyle name="20% - Accent5 2 3 2 4" xfId="9186" xr:uid="{0082228A-7A65-489D-B41D-5F0E3A70AFF7}"/>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7CE163EE-A687-4271-B11C-92EEDDA9C288}"/>
    <cellStyle name="20% - Accent5 2 3 3 2 3" xfId="11744" xr:uid="{64F9A82F-EF34-47E3-85EA-366B4EBF9F2F}"/>
    <cellStyle name="20% - Accent5 2 3 3 3" xfId="5367" xr:uid="{00000000-0005-0000-0000-0000B3020000}"/>
    <cellStyle name="20% - Accent5 2 3 3 3 2" xfId="13817" xr:uid="{ADD1B0F0-5546-4DAB-923A-255C768EC289}"/>
    <cellStyle name="20% - Accent5 2 3 3 4" xfId="9599" xr:uid="{A7021A1F-C306-4757-BE35-6F0C3DF4BE95}"/>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98C69EBD-D667-4FC5-94BB-F31DCCAE0B01}"/>
    <cellStyle name="20% - Accent5 2 3 4 2 3" xfId="12157" xr:uid="{18C10CEC-EEF8-4708-B6D6-F24EBBFADC8C}"/>
    <cellStyle name="20% - Accent5 2 3 4 3" xfId="5780" xr:uid="{00000000-0005-0000-0000-0000B7020000}"/>
    <cellStyle name="20% - Accent5 2 3 4 3 2" xfId="14230" xr:uid="{5119D821-47BA-4500-AD86-531966F8D85B}"/>
    <cellStyle name="20% - Accent5 2 3 4 4" xfId="10012" xr:uid="{1476E5EF-E806-4B19-89D0-3EEEDE1E6AD3}"/>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0602DBAF-5AE7-45A3-A77E-8CA532AD18DA}"/>
    <cellStyle name="20% - Accent5 2 3 5 2 3" xfId="12570" xr:uid="{13336AA0-F46B-4C6A-9D87-CC56CDEB5F36}"/>
    <cellStyle name="20% - Accent5 2 3 5 3" xfId="6193" xr:uid="{00000000-0005-0000-0000-0000BB020000}"/>
    <cellStyle name="20% - Accent5 2 3 5 3 2" xfId="14643" xr:uid="{11F04A9B-FE3A-4865-B990-8CB7122DCBF0}"/>
    <cellStyle name="20% - Accent5 2 3 5 4" xfId="10425" xr:uid="{C67E2429-400D-4481-9F60-AB88D423AFC9}"/>
    <cellStyle name="20% - Accent5 2 3 6" xfId="2300" xr:uid="{00000000-0005-0000-0000-0000BC020000}"/>
    <cellStyle name="20% - Accent5 2 3 6 2" xfId="6606" xr:uid="{00000000-0005-0000-0000-0000BD020000}"/>
    <cellStyle name="20% - Accent5 2 3 6 2 2" xfId="15056" xr:uid="{B16BA47D-4ADF-4B4C-BDE5-215EF442D95B}"/>
    <cellStyle name="20% - Accent5 2 3 6 3" xfId="10838" xr:uid="{071754E4-00C0-4B38-8E22-3EE5CE68D3E7}"/>
    <cellStyle name="20% - Accent5 2 3 7" xfId="4540" xr:uid="{00000000-0005-0000-0000-0000BE020000}"/>
    <cellStyle name="20% - Accent5 2 3 7 2" xfId="12990" xr:uid="{CEF37483-7163-4A1D-9D68-A16AC968FC2E}"/>
    <cellStyle name="20% - Accent5 2 3 8" xfId="8772" xr:uid="{48F57377-64EA-43BD-8632-6749EE3F2C82}"/>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71BDD2BE-3BE6-4AFB-AEC3-37286933F7CE}"/>
    <cellStyle name="20% - Accent5 2 4 2 3" xfId="11328" xr:uid="{5920D767-042D-41A2-9AB4-D0CA7275E065}"/>
    <cellStyle name="20% - Accent5 2 4 3" xfId="4951" xr:uid="{00000000-0005-0000-0000-0000C2020000}"/>
    <cellStyle name="20% - Accent5 2 4 3 2" xfId="13401" xr:uid="{0841FEA2-F3FA-4CA0-A8F7-2B3861720F92}"/>
    <cellStyle name="20% - Accent5 2 4 4" xfId="9183" xr:uid="{16F15EBE-226A-495F-A677-BC57D6E42542}"/>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9E271B9D-BE43-4DC2-8638-3C85B4B1F03A}"/>
    <cellStyle name="20% - Accent5 2 5 2 3" xfId="11741" xr:uid="{3D17BA62-02D5-4B3F-A48D-627109E331DC}"/>
    <cellStyle name="20% - Accent5 2 5 3" xfId="5364" xr:uid="{00000000-0005-0000-0000-0000C6020000}"/>
    <cellStyle name="20% - Accent5 2 5 3 2" xfId="13814" xr:uid="{414A8743-DAA4-4A43-BC60-D7D96FC33CC4}"/>
    <cellStyle name="20% - Accent5 2 5 4" xfId="9596" xr:uid="{00E3EB62-626B-4F2C-89C0-8F17CF52AE5D}"/>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6637C2C8-9631-49FE-B7AA-6C819AE8EA18}"/>
    <cellStyle name="20% - Accent5 2 6 2 3" xfId="12154" xr:uid="{9CCDDA54-B0BF-4A8D-92B9-C408B7BC430A}"/>
    <cellStyle name="20% - Accent5 2 6 3" xfId="5777" xr:uid="{00000000-0005-0000-0000-0000CA020000}"/>
    <cellStyle name="20% - Accent5 2 6 3 2" xfId="14227" xr:uid="{574143FA-F0A0-4503-82C5-C84DB27BAA8E}"/>
    <cellStyle name="20% - Accent5 2 6 4" xfId="10009" xr:uid="{300578BD-3785-4358-941A-67086D5CF6F3}"/>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2B2B5755-C549-4842-AD71-3B6AC5AD4821}"/>
    <cellStyle name="20% - Accent5 2 7 2 3" xfId="12567" xr:uid="{ACAE6D7F-C606-4ACD-B74C-5F290BE4BB27}"/>
    <cellStyle name="20% - Accent5 2 7 3" xfId="6190" xr:uid="{00000000-0005-0000-0000-0000CE020000}"/>
    <cellStyle name="20% - Accent5 2 7 3 2" xfId="14640" xr:uid="{65306EFD-8127-4D4C-9862-0FE97C20007A}"/>
    <cellStyle name="20% - Accent5 2 7 4" xfId="10422" xr:uid="{A4681821-D362-4263-85E7-FCE32BF263C3}"/>
    <cellStyle name="20% - Accent5 2 8" xfId="2297" xr:uid="{00000000-0005-0000-0000-0000CF020000}"/>
    <cellStyle name="20% - Accent5 2 8 2" xfId="6603" xr:uid="{00000000-0005-0000-0000-0000D0020000}"/>
    <cellStyle name="20% - Accent5 2 8 2 2" xfId="15053" xr:uid="{AC8B53AF-C953-4BE3-BE31-30B9A17D8C15}"/>
    <cellStyle name="20% - Accent5 2 8 3" xfId="10835" xr:uid="{95C3F897-4CF8-44E1-A70E-EC6249D2C3B2}"/>
    <cellStyle name="20% - Accent5 2 9" xfId="4537" xr:uid="{00000000-0005-0000-0000-0000D1020000}"/>
    <cellStyle name="20% - Accent5 2 9 2" xfId="12987" xr:uid="{81F2558A-9CFD-4BF1-8F5D-A49CE6E8069E}"/>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FF519DF7-0075-448C-882E-61C99797C251}"/>
    <cellStyle name="20% - Accent5 3 2 2 2 3" xfId="11333" xr:uid="{02377B1D-25DD-4FC2-9A4B-EECDE735E212}"/>
    <cellStyle name="20% - Accent5 3 2 2 3" xfId="4956" xr:uid="{00000000-0005-0000-0000-0000D7020000}"/>
    <cellStyle name="20% - Accent5 3 2 2 3 2" xfId="13406" xr:uid="{C9FC10CA-BC6E-4435-B2DD-280BE1EE2FF6}"/>
    <cellStyle name="20% - Accent5 3 2 2 4" xfId="9188" xr:uid="{23EA35AD-DCAC-4649-8F2F-42397E3C172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F96ECEF1-6BD8-4787-B358-752524324A42}"/>
    <cellStyle name="20% - Accent5 3 2 3 2 3" xfId="11746" xr:uid="{E8563432-CA40-4121-A8C4-396CCC9B81F2}"/>
    <cellStyle name="20% - Accent5 3 2 3 3" xfId="5369" xr:uid="{00000000-0005-0000-0000-0000DB020000}"/>
    <cellStyle name="20% - Accent5 3 2 3 3 2" xfId="13819" xr:uid="{D5F8EF0D-A3C7-4E3C-852E-33ED179DCF79}"/>
    <cellStyle name="20% - Accent5 3 2 3 4" xfId="9601" xr:uid="{A570C7D3-5A3C-4EBE-9620-1B2D97736516}"/>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5B2E626E-8838-4276-AAD3-09AFA930F4F9}"/>
    <cellStyle name="20% - Accent5 3 2 4 2 3" xfId="12159" xr:uid="{36F3B720-E038-4341-8F82-3A97F71A5EF0}"/>
    <cellStyle name="20% - Accent5 3 2 4 3" xfId="5782" xr:uid="{00000000-0005-0000-0000-0000DF020000}"/>
    <cellStyle name="20% - Accent5 3 2 4 3 2" xfId="14232" xr:uid="{3871CE7C-5E92-48B8-94FA-9E67BD6DF002}"/>
    <cellStyle name="20% - Accent5 3 2 4 4" xfId="10014" xr:uid="{F69D1ACA-3E5A-47A7-88DC-448C9820AB22}"/>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E211839D-51A4-4049-9532-7FACF4C393DA}"/>
    <cellStyle name="20% - Accent5 3 2 5 2 3" xfId="12572" xr:uid="{B397EAA9-4376-4318-84A4-86B10AED07E0}"/>
    <cellStyle name="20% - Accent5 3 2 5 3" xfId="6195" xr:uid="{00000000-0005-0000-0000-0000E3020000}"/>
    <cellStyle name="20% - Accent5 3 2 5 3 2" xfId="14645" xr:uid="{8E28EF87-28F1-4EA6-B20D-4B8329679F1C}"/>
    <cellStyle name="20% - Accent5 3 2 5 4" xfId="10427" xr:uid="{FCD19478-3A66-4320-BD6A-FFD732DA4846}"/>
    <cellStyle name="20% - Accent5 3 2 6" xfId="2302" xr:uid="{00000000-0005-0000-0000-0000E4020000}"/>
    <cellStyle name="20% - Accent5 3 2 6 2" xfId="6608" xr:uid="{00000000-0005-0000-0000-0000E5020000}"/>
    <cellStyle name="20% - Accent5 3 2 6 2 2" xfId="15058" xr:uid="{93BF93AE-EA57-4710-8AF6-9A96732F6CB3}"/>
    <cellStyle name="20% - Accent5 3 2 6 3" xfId="10840" xr:uid="{52BA593B-DA36-4728-8BA4-0E66C4420395}"/>
    <cellStyle name="20% - Accent5 3 2 7" xfId="4542" xr:uid="{00000000-0005-0000-0000-0000E6020000}"/>
    <cellStyle name="20% - Accent5 3 2 7 2" xfId="12992" xr:uid="{0E6DC6F0-A4B5-4773-98B0-7857007E1564}"/>
    <cellStyle name="20% - Accent5 3 2 8" xfId="8774" xr:uid="{FD9D3637-3778-4B3D-B75E-99B79CE6F4F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49BD7AE5-77A3-4CDC-83AA-C5A876B6EE87}"/>
    <cellStyle name="20% - Accent5 3 3 2 3" xfId="11332" xr:uid="{26931F6B-29FA-40A4-A937-7CC96920A450}"/>
    <cellStyle name="20% - Accent5 3 3 3" xfId="4955" xr:uid="{00000000-0005-0000-0000-0000EA020000}"/>
    <cellStyle name="20% - Accent5 3 3 3 2" xfId="13405" xr:uid="{4C38EA9C-151C-470D-AC52-4E63131E5134}"/>
    <cellStyle name="20% - Accent5 3 3 4" xfId="9187" xr:uid="{D221C47A-E27D-4E04-9888-B90A3C4B8795}"/>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8677C1E0-8680-42DA-9883-37D71C3EF267}"/>
    <cellStyle name="20% - Accent5 3 4 2 3" xfId="11745" xr:uid="{89B216A0-F46B-4CFF-8CE5-1A8270E7E1FB}"/>
    <cellStyle name="20% - Accent5 3 4 3" xfId="5368" xr:uid="{00000000-0005-0000-0000-0000EE020000}"/>
    <cellStyle name="20% - Accent5 3 4 3 2" xfId="13818" xr:uid="{A9C665D8-6785-4E13-85DC-B139C2C68F93}"/>
    <cellStyle name="20% - Accent5 3 4 4" xfId="9600" xr:uid="{F02D10B7-3628-45DD-8C1D-ABFE69504A52}"/>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AD031D03-3A9E-4403-9B0D-B469546A2CB0}"/>
    <cellStyle name="20% - Accent5 3 5 2 3" xfId="12158" xr:uid="{F34DFF42-FCD7-4FD0-A8EA-996F93271BFE}"/>
    <cellStyle name="20% - Accent5 3 5 3" xfId="5781" xr:uid="{00000000-0005-0000-0000-0000F2020000}"/>
    <cellStyle name="20% - Accent5 3 5 3 2" xfId="14231" xr:uid="{966D8156-BEE0-4A0D-BED5-219D649446A3}"/>
    <cellStyle name="20% - Accent5 3 5 4" xfId="10013" xr:uid="{BC38555B-E10D-4076-9F7D-93EE1A4CB92C}"/>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0D337630-20E1-4427-9EC7-00835C2207A6}"/>
    <cellStyle name="20% - Accent5 3 6 2 3" xfId="12571" xr:uid="{DAFA58EC-E2F2-4F19-8FCF-12FE0F1737A9}"/>
    <cellStyle name="20% - Accent5 3 6 3" xfId="6194" xr:uid="{00000000-0005-0000-0000-0000F6020000}"/>
    <cellStyle name="20% - Accent5 3 6 3 2" xfId="14644" xr:uid="{44496F1F-4839-47E7-8A9B-9CD21086E2FF}"/>
    <cellStyle name="20% - Accent5 3 6 4" xfId="10426" xr:uid="{61950B4E-6FDE-4662-9076-A4B4D6A1B46A}"/>
    <cellStyle name="20% - Accent5 3 7" xfId="2301" xr:uid="{00000000-0005-0000-0000-0000F7020000}"/>
    <cellStyle name="20% - Accent5 3 7 2" xfId="6607" xr:uid="{00000000-0005-0000-0000-0000F8020000}"/>
    <cellStyle name="20% - Accent5 3 7 2 2" xfId="15057" xr:uid="{2D0565BE-1854-44E9-97FD-7A4C20F774D1}"/>
    <cellStyle name="20% - Accent5 3 7 3" xfId="10839" xr:uid="{5349FF79-152A-40BE-9F2A-96B0E80DD989}"/>
    <cellStyle name="20% - Accent5 3 8" xfId="4541" xr:uid="{00000000-0005-0000-0000-0000F9020000}"/>
    <cellStyle name="20% - Accent5 3 8 2" xfId="12991" xr:uid="{EDE5E683-1EAC-493F-B55A-4ECFA94E42FE}"/>
    <cellStyle name="20% - Accent5 3 9" xfId="8773" xr:uid="{C7D619E9-52E7-4E44-A941-D7F2AFC7C36F}"/>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D8DB4386-BB8C-4A62-B4D1-51EFB624813B}"/>
    <cellStyle name="20% - Accent5 4 2 2 3" xfId="11334" xr:uid="{6E93C5B4-5AEE-4DA8-B92E-29DA61788F81}"/>
    <cellStyle name="20% - Accent5 4 2 3" xfId="4957" xr:uid="{00000000-0005-0000-0000-0000FE020000}"/>
    <cellStyle name="20% - Accent5 4 2 3 2" xfId="13407" xr:uid="{BDC71750-8684-4B17-B59B-7DF74D3BD7E8}"/>
    <cellStyle name="20% - Accent5 4 2 4" xfId="9189" xr:uid="{9D0A6801-FA9C-4818-A6F6-AEAB3A728BD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58A27497-D7D6-4673-B715-5512C575E45B}"/>
    <cellStyle name="20% - Accent5 4 3 2 3" xfId="11747" xr:uid="{9EE469AC-14C1-4297-8ED2-EF581FFD575B}"/>
    <cellStyle name="20% - Accent5 4 3 3" xfId="5370" xr:uid="{00000000-0005-0000-0000-000002030000}"/>
    <cellStyle name="20% - Accent5 4 3 3 2" xfId="13820" xr:uid="{CBF848B7-5F92-459F-88EC-043E33129F3F}"/>
    <cellStyle name="20% - Accent5 4 3 4" xfId="9602" xr:uid="{9D187BE9-E230-42D3-B3BA-EB26BC9C5869}"/>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AFD1269F-392A-4013-85A5-94AD94F5AFF2}"/>
    <cellStyle name="20% - Accent5 4 4 2 3" xfId="12160" xr:uid="{DB4F35C0-F4A0-4262-92B0-D02B4EF2E2AD}"/>
    <cellStyle name="20% - Accent5 4 4 3" xfId="5783" xr:uid="{00000000-0005-0000-0000-000006030000}"/>
    <cellStyle name="20% - Accent5 4 4 3 2" xfId="14233" xr:uid="{A35E7E8C-F3BC-4C99-9971-FD45B19D98CD}"/>
    <cellStyle name="20% - Accent5 4 4 4" xfId="10015" xr:uid="{DF461F41-6925-4B6B-B95E-CBDB1EA4B95D}"/>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6B7A6B7A-C455-4D61-90BF-D35C6955966C}"/>
    <cellStyle name="20% - Accent5 4 5 2 3" xfId="12573" xr:uid="{1C820CD3-5D19-46C1-96CF-C2ABD1C2B927}"/>
    <cellStyle name="20% - Accent5 4 5 3" xfId="6196" xr:uid="{00000000-0005-0000-0000-00000A030000}"/>
    <cellStyle name="20% - Accent5 4 5 3 2" xfId="14646" xr:uid="{6D2B33FB-411D-40D4-86DA-626B698AEF02}"/>
    <cellStyle name="20% - Accent5 4 5 4" xfId="10428" xr:uid="{D6124940-EF55-4116-BF3F-DA7ED3094B44}"/>
    <cellStyle name="20% - Accent5 4 6" xfId="2303" xr:uid="{00000000-0005-0000-0000-00000B030000}"/>
    <cellStyle name="20% - Accent5 4 6 2" xfId="6609" xr:uid="{00000000-0005-0000-0000-00000C030000}"/>
    <cellStyle name="20% - Accent5 4 6 2 2" xfId="15059" xr:uid="{18D70DE8-543E-4C89-B74B-A7DED84C552C}"/>
    <cellStyle name="20% - Accent5 4 6 3" xfId="10841" xr:uid="{4EB995E7-0C95-4B30-A318-B976A6279EBB}"/>
    <cellStyle name="20% - Accent5 4 7" xfId="4543" xr:uid="{00000000-0005-0000-0000-00000D030000}"/>
    <cellStyle name="20% - Accent5 4 7 2" xfId="12993" xr:uid="{F36E76E2-CCD2-4C32-B851-98E7CE9D9487}"/>
    <cellStyle name="20% - Accent5 4 8" xfId="8775" xr:uid="{7D8CC404-A165-4C73-847E-58B1951FE58A}"/>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071D7EE3-14CB-454A-AFCA-10CEDBC0390A}"/>
    <cellStyle name="20% - Accent5 5 2 3" xfId="11327" xr:uid="{E706995B-22C7-4A16-8949-43A3C78B768E}"/>
    <cellStyle name="20% - Accent5 5 3" xfId="4950" xr:uid="{00000000-0005-0000-0000-000011030000}"/>
    <cellStyle name="20% - Accent5 5 3 2" xfId="13400" xr:uid="{D2B1685D-2F99-4A46-B2AF-A05969AE798D}"/>
    <cellStyle name="20% - Accent5 5 4" xfId="9182" xr:uid="{F1535033-46F2-4FD2-9AE0-BE6A3A9541E3}"/>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ABD0A638-65ED-4500-B249-A696951874E6}"/>
    <cellStyle name="20% - Accent5 6 2 3" xfId="11740" xr:uid="{45081834-9D14-43AE-B315-281BB640D122}"/>
    <cellStyle name="20% - Accent5 6 3" xfId="5363" xr:uid="{00000000-0005-0000-0000-000015030000}"/>
    <cellStyle name="20% - Accent5 6 3 2" xfId="13813" xr:uid="{D99143EC-4A36-4FA7-9062-E46C62B38DAF}"/>
    <cellStyle name="20% - Accent5 6 4" xfId="9595" xr:uid="{8952A8DC-8017-4949-A327-B65C6AF71D9F}"/>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0004FB5B-5542-4619-A7F7-71E41C5F427F}"/>
    <cellStyle name="20% - Accent5 7 2 3" xfId="12153" xr:uid="{FA1607AD-3F89-4D18-8DAB-6172038138E9}"/>
    <cellStyle name="20% - Accent5 7 3" xfId="5776" xr:uid="{00000000-0005-0000-0000-000019030000}"/>
    <cellStyle name="20% - Accent5 7 3 2" xfId="14226" xr:uid="{8C904FF8-CC44-46A0-829A-5D94373F622B}"/>
    <cellStyle name="20% - Accent5 7 4" xfId="10008" xr:uid="{0321064B-2560-4CAF-972C-FADF85CFED7C}"/>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33748386-A5E1-411A-89C5-15B4385853E7}"/>
    <cellStyle name="20% - Accent5 8 2 3" xfId="12566" xr:uid="{78CA1A44-D961-47AD-B4EA-3CB78D129B82}"/>
    <cellStyle name="20% - Accent5 8 3" xfId="6189" xr:uid="{00000000-0005-0000-0000-00001D030000}"/>
    <cellStyle name="20% - Accent5 8 3 2" xfId="14639" xr:uid="{8D67BDF6-F7DD-496F-A3D4-4E85738BD5D2}"/>
    <cellStyle name="20% - Accent5 8 4" xfId="10421" xr:uid="{E4B52E22-14E4-4E93-9FE6-4885B8368E2C}"/>
    <cellStyle name="20% - Accent5 9" xfId="2296" xr:uid="{00000000-0005-0000-0000-00001E030000}"/>
    <cellStyle name="20% - Accent5 9 2" xfId="6602" xr:uid="{00000000-0005-0000-0000-00001F030000}"/>
    <cellStyle name="20% - Accent5 9 2 2" xfId="15052" xr:uid="{6FA2729E-3E24-4A92-9EDD-5365401E35C3}"/>
    <cellStyle name="20% - Accent5 9 3" xfId="10834" xr:uid="{8838093B-6AE6-49A8-9FD7-5EE4057EBDE5}"/>
    <cellStyle name="20% - Accent6" xfId="41" builtinId="50" customBuiltin="1"/>
    <cellStyle name="20% - Accent6 10" xfId="4544" xr:uid="{00000000-0005-0000-0000-000021030000}"/>
    <cellStyle name="20% - Accent6 10 2" xfId="12994" xr:uid="{7D7CA5AE-BB28-43DD-9F9E-A4B0EE37D495}"/>
    <cellStyle name="20% - Accent6 11" xfId="8776" xr:uid="{A1DCA7E9-899C-453D-8A49-94F4C8E4D832}"/>
    <cellStyle name="20% - Accent6 2" xfId="42" xr:uid="{00000000-0005-0000-0000-000022030000}"/>
    <cellStyle name="20% - Accent6 2 10" xfId="8777" xr:uid="{838E210A-44AA-4A67-93BE-AD7E6AA8C959}"/>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D77448FE-2447-494D-92F3-DE1D0530EAB3}"/>
    <cellStyle name="20% - Accent6 2 2 2 2 2 3" xfId="11338" xr:uid="{B6ACFFD4-3C9D-466D-9EBA-59A33069E045}"/>
    <cellStyle name="20% - Accent6 2 2 2 2 3" xfId="4961" xr:uid="{00000000-0005-0000-0000-000028030000}"/>
    <cellStyle name="20% - Accent6 2 2 2 2 3 2" xfId="13411" xr:uid="{95E5571A-6D0F-47EE-AB1D-885855ED41A2}"/>
    <cellStyle name="20% - Accent6 2 2 2 2 4" xfId="9193" xr:uid="{17A89F81-3372-4C32-B845-7A87CBB843C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D3422321-F7EF-4B86-AB22-F623BB9EAF34}"/>
    <cellStyle name="20% - Accent6 2 2 2 3 2 3" xfId="11751" xr:uid="{05DAF69F-A9B3-4464-AE25-D5209855D3B2}"/>
    <cellStyle name="20% - Accent6 2 2 2 3 3" xfId="5374" xr:uid="{00000000-0005-0000-0000-00002C030000}"/>
    <cellStyle name="20% - Accent6 2 2 2 3 3 2" xfId="13824" xr:uid="{B45EB23E-904D-4E8B-AAF3-68650CD6C184}"/>
    <cellStyle name="20% - Accent6 2 2 2 3 4" xfId="9606" xr:uid="{30EA42B6-171E-42AF-8683-DD138EACBA9B}"/>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1393E6FC-1486-4C86-BAB6-F1F27B1805F6}"/>
    <cellStyle name="20% - Accent6 2 2 2 4 2 3" xfId="12164" xr:uid="{B42382BD-238C-4B1C-B8D1-0ED9811B6C86}"/>
    <cellStyle name="20% - Accent6 2 2 2 4 3" xfId="5787" xr:uid="{00000000-0005-0000-0000-000030030000}"/>
    <cellStyle name="20% - Accent6 2 2 2 4 3 2" xfId="14237" xr:uid="{16FF1500-2C63-4F2F-8338-1C7FEB8274CE}"/>
    <cellStyle name="20% - Accent6 2 2 2 4 4" xfId="10019" xr:uid="{C1282B3D-1430-4AD5-848C-580283CC7C6A}"/>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D93AA390-8998-41B1-937E-E8B6889CDB20}"/>
    <cellStyle name="20% - Accent6 2 2 2 5 2 3" xfId="12577" xr:uid="{5CFDA19B-415A-4429-BEB5-0615D362ADBF}"/>
    <cellStyle name="20% - Accent6 2 2 2 5 3" xfId="6200" xr:uid="{00000000-0005-0000-0000-000034030000}"/>
    <cellStyle name="20% - Accent6 2 2 2 5 3 2" xfId="14650" xr:uid="{4C418592-7307-47D0-9035-18DD52421A15}"/>
    <cellStyle name="20% - Accent6 2 2 2 5 4" xfId="10432" xr:uid="{0F4D7A2B-8E36-4CF7-A01F-00621832C4ED}"/>
    <cellStyle name="20% - Accent6 2 2 2 6" xfId="2307" xr:uid="{00000000-0005-0000-0000-000035030000}"/>
    <cellStyle name="20% - Accent6 2 2 2 6 2" xfId="6613" xr:uid="{00000000-0005-0000-0000-000036030000}"/>
    <cellStyle name="20% - Accent6 2 2 2 6 2 2" xfId="15063" xr:uid="{8E9FBA4E-D5EB-4C50-AE8C-5632DF0123D5}"/>
    <cellStyle name="20% - Accent6 2 2 2 6 3" xfId="10845" xr:uid="{B78DACDC-4A4F-42E3-BD85-6628F8988F07}"/>
    <cellStyle name="20% - Accent6 2 2 2 7" xfId="4547" xr:uid="{00000000-0005-0000-0000-000037030000}"/>
    <cellStyle name="20% - Accent6 2 2 2 7 2" xfId="12997" xr:uid="{16DA3E4E-3ADC-405C-8B60-FB9965508CE9}"/>
    <cellStyle name="20% - Accent6 2 2 2 8" xfId="8779" xr:uid="{34E51E1A-A7C6-46D9-8405-FC7CECEC9BFC}"/>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1A089FFD-E30E-4930-A857-DDAA15591361}"/>
    <cellStyle name="20% - Accent6 2 2 3 2 3" xfId="11337" xr:uid="{57F142B1-B3DC-4E05-AF9E-9822828A90F8}"/>
    <cellStyle name="20% - Accent6 2 2 3 3" xfId="4960" xr:uid="{00000000-0005-0000-0000-00003B030000}"/>
    <cellStyle name="20% - Accent6 2 2 3 3 2" xfId="13410" xr:uid="{1EDCE263-B385-4DF5-AC04-DE344D9BFA42}"/>
    <cellStyle name="20% - Accent6 2 2 3 4" xfId="9192" xr:uid="{AEF616D8-C6CA-4210-863C-326B0DC08356}"/>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B80A51D8-6A72-48ED-BF1E-845E1C50B669}"/>
    <cellStyle name="20% - Accent6 2 2 4 2 3" xfId="11750" xr:uid="{A2CA619B-37DF-483B-A357-822D1532AE1B}"/>
    <cellStyle name="20% - Accent6 2 2 4 3" xfId="5373" xr:uid="{00000000-0005-0000-0000-00003F030000}"/>
    <cellStyle name="20% - Accent6 2 2 4 3 2" xfId="13823" xr:uid="{8FDF5A44-7E65-48E3-9DBA-D2D515D17C7C}"/>
    <cellStyle name="20% - Accent6 2 2 4 4" xfId="9605" xr:uid="{62BC0472-C3E4-40EA-92C6-E3B9DB873449}"/>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57F386B9-92F9-484A-B641-7A7FBE5FC446}"/>
    <cellStyle name="20% - Accent6 2 2 5 2 3" xfId="12163" xr:uid="{62FEB077-28D3-4879-B24C-1F1FE8415F89}"/>
    <cellStyle name="20% - Accent6 2 2 5 3" xfId="5786" xr:uid="{00000000-0005-0000-0000-000043030000}"/>
    <cellStyle name="20% - Accent6 2 2 5 3 2" xfId="14236" xr:uid="{1F265C25-36FF-427A-B1A8-47DD24DA4657}"/>
    <cellStyle name="20% - Accent6 2 2 5 4" xfId="10018" xr:uid="{9F7526E0-F452-4E54-96FE-A86DDFF32BFC}"/>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026A1562-DCD3-49F8-8910-A91565516B70}"/>
    <cellStyle name="20% - Accent6 2 2 6 2 3" xfId="12576" xr:uid="{40F78A9D-F0CF-4968-966B-47F1E68343EF}"/>
    <cellStyle name="20% - Accent6 2 2 6 3" xfId="6199" xr:uid="{00000000-0005-0000-0000-000047030000}"/>
    <cellStyle name="20% - Accent6 2 2 6 3 2" xfId="14649" xr:uid="{9122B0D3-902E-491A-A033-FFC995216326}"/>
    <cellStyle name="20% - Accent6 2 2 6 4" xfId="10431" xr:uid="{BEF763B7-4388-4825-9765-5A35378944BD}"/>
    <cellStyle name="20% - Accent6 2 2 7" xfId="2306" xr:uid="{00000000-0005-0000-0000-000048030000}"/>
    <cellStyle name="20% - Accent6 2 2 7 2" xfId="6612" xr:uid="{00000000-0005-0000-0000-000049030000}"/>
    <cellStyle name="20% - Accent6 2 2 7 2 2" xfId="15062" xr:uid="{E410586A-B756-49B9-9DA6-9DE8E2EF0EC1}"/>
    <cellStyle name="20% - Accent6 2 2 7 3" xfId="10844" xr:uid="{97ABA1BF-731F-4255-A6B3-F7D06A33201C}"/>
    <cellStyle name="20% - Accent6 2 2 8" xfId="4546" xr:uid="{00000000-0005-0000-0000-00004A030000}"/>
    <cellStyle name="20% - Accent6 2 2 8 2" xfId="12996" xr:uid="{3C83BEAD-9396-4269-884C-DB6BA4119C6D}"/>
    <cellStyle name="20% - Accent6 2 2 9" xfId="8778" xr:uid="{4E18D273-2F4E-4B4E-961D-88B5A2139D2A}"/>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7F0F045D-47B8-4F71-AA05-78E1B3C86A48}"/>
    <cellStyle name="20% - Accent6 2 3 2 2 3" xfId="11339" xr:uid="{540F9818-3F36-40B2-8E72-B124772F8C3C}"/>
    <cellStyle name="20% - Accent6 2 3 2 3" xfId="4962" xr:uid="{00000000-0005-0000-0000-00004F030000}"/>
    <cellStyle name="20% - Accent6 2 3 2 3 2" xfId="13412" xr:uid="{2E633E54-9BA4-4064-AFFB-8126E125C2B0}"/>
    <cellStyle name="20% - Accent6 2 3 2 4" xfId="9194" xr:uid="{8FD0F17A-84FB-4B67-859C-A39981D329A4}"/>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4E753359-420E-43C6-8B77-F5761F3D1E83}"/>
    <cellStyle name="20% - Accent6 2 3 3 2 3" xfId="11752" xr:uid="{97C4A7DD-185C-4EBD-A917-62BF524A58EF}"/>
    <cellStyle name="20% - Accent6 2 3 3 3" xfId="5375" xr:uid="{00000000-0005-0000-0000-000053030000}"/>
    <cellStyle name="20% - Accent6 2 3 3 3 2" xfId="13825" xr:uid="{975AFD63-0AF6-4B3C-8451-5353CA478FE5}"/>
    <cellStyle name="20% - Accent6 2 3 3 4" xfId="9607" xr:uid="{2C5A0A89-6B31-4D59-A3C6-41D23E9287F9}"/>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981B83D9-0084-48C1-AD63-857B056D5465}"/>
    <cellStyle name="20% - Accent6 2 3 4 2 3" xfId="12165" xr:uid="{B219703A-7A26-4C63-817A-9E122606EBFE}"/>
    <cellStyle name="20% - Accent6 2 3 4 3" xfId="5788" xr:uid="{00000000-0005-0000-0000-000057030000}"/>
    <cellStyle name="20% - Accent6 2 3 4 3 2" xfId="14238" xr:uid="{AE0BDC9F-D140-471B-9437-058A24D9C185}"/>
    <cellStyle name="20% - Accent6 2 3 4 4" xfId="10020" xr:uid="{AD7DE23E-74A9-4D3E-8375-BC9870F70803}"/>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5E597B52-53AA-4FCE-9C6E-9F7BDE350404}"/>
    <cellStyle name="20% - Accent6 2 3 5 2 3" xfId="12578" xr:uid="{3F5DAD84-D870-47BE-931A-A7803F50CD98}"/>
    <cellStyle name="20% - Accent6 2 3 5 3" xfId="6201" xr:uid="{00000000-0005-0000-0000-00005B030000}"/>
    <cellStyle name="20% - Accent6 2 3 5 3 2" xfId="14651" xr:uid="{4667F8A3-13B7-4F91-8787-F8EF3A4BC480}"/>
    <cellStyle name="20% - Accent6 2 3 5 4" xfId="10433" xr:uid="{F8E940BD-2F94-474C-8B7E-11C27807BF26}"/>
    <cellStyle name="20% - Accent6 2 3 6" xfId="2308" xr:uid="{00000000-0005-0000-0000-00005C030000}"/>
    <cellStyle name="20% - Accent6 2 3 6 2" xfId="6614" xr:uid="{00000000-0005-0000-0000-00005D030000}"/>
    <cellStyle name="20% - Accent6 2 3 6 2 2" xfId="15064" xr:uid="{731E1B0B-7D49-4681-88CA-52B5C6294CA0}"/>
    <cellStyle name="20% - Accent6 2 3 6 3" xfId="10846" xr:uid="{2237621A-5BBA-4DEC-A5D1-5107130C4A94}"/>
    <cellStyle name="20% - Accent6 2 3 7" xfId="4548" xr:uid="{00000000-0005-0000-0000-00005E030000}"/>
    <cellStyle name="20% - Accent6 2 3 7 2" xfId="12998" xr:uid="{F3099BB7-474E-44FF-9004-694C7D40A605}"/>
    <cellStyle name="20% - Accent6 2 3 8" xfId="8780" xr:uid="{AE961EF2-5958-4F8F-AF4A-DDE871CD622B}"/>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0AF4140E-BC04-474C-9885-4D744041D319}"/>
    <cellStyle name="20% - Accent6 2 4 2 3" xfId="11336" xr:uid="{FA90B2C6-3D57-4D96-95CD-83C72DA4CBB9}"/>
    <cellStyle name="20% - Accent6 2 4 3" xfId="4959" xr:uid="{00000000-0005-0000-0000-000062030000}"/>
    <cellStyle name="20% - Accent6 2 4 3 2" xfId="13409" xr:uid="{2A0B11DC-9ADC-496C-857C-5F6B68D520A0}"/>
    <cellStyle name="20% - Accent6 2 4 4" xfId="9191" xr:uid="{9C1D0A54-0949-47FC-BEA1-0FDDD3FADFCF}"/>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9F72AEF8-C8D8-4C79-90EE-420BBD23B245}"/>
    <cellStyle name="20% - Accent6 2 5 2 3" xfId="11749" xr:uid="{B0F8DAEE-AF6D-4C93-A5F9-12BC57AFC257}"/>
    <cellStyle name="20% - Accent6 2 5 3" xfId="5372" xr:uid="{00000000-0005-0000-0000-000066030000}"/>
    <cellStyle name="20% - Accent6 2 5 3 2" xfId="13822" xr:uid="{3E038D80-6A5C-47F4-8478-4F9F97043490}"/>
    <cellStyle name="20% - Accent6 2 5 4" xfId="9604" xr:uid="{FE03E62F-B41D-405A-9128-444C96C2FA11}"/>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606456A0-56DB-48C4-9341-D881CD10DACE}"/>
    <cellStyle name="20% - Accent6 2 6 2 3" xfId="12162" xr:uid="{D2FA506D-3934-4CD4-A78A-0408BAE79526}"/>
    <cellStyle name="20% - Accent6 2 6 3" xfId="5785" xr:uid="{00000000-0005-0000-0000-00006A030000}"/>
    <cellStyle name="20% - Accent6 2 6 3 2" xfId="14235" xr:uid="{2240FD67-CEE7-42F0-AE26-58A454CEE6EE}"/>
    <cellStyle name="20% - Accent6 2 6 4" xfId="10017" xr:uid="{F463AFD8-8372-499B-A6A9-B3CF75F50F03}"/>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6549B778-5069-4864-9C5C-B441179B6810}"/>
    <cellStyle name="20% - Accent6 2 7 2 3" xfId="12575" xr:uid="{1038B00B-73A3-4B7E-A895-83AD0F98029D}"/>
    <cellStyle name="20% - Accent6 2 7 3" xfId="6198" xr:uid="{00000000-0005-0000-0000-00006E030000}"/>
    <cellStyle name="20% - Accent6 2 7 3 2" xfId="14648" xr:uid="{870CBBE1-BB81-48DF-93C6-D524308AF244}"/>
    <cellStyle name="20% - Accent6 2 7 4" xfId="10430" xr:uid="{23DDDCA1-6050-41D8-A7F9-3BE28BEF2664}"/>
    <cellStyle name="20% - Accent6 2 8" xfId="2305" xr:uid="{00000000-0005-0000-0000-00006F030000}"/>
    <cellStyle name="20% - Accent6 2 8 2" xfId="6611" xr:uid="{00000000-0005-0000-0000-000070030000}"/>
    <cellStyle name="20% - Accent6 2 8 2 2" xfId="15061" xr:uid="{59B0856A-3DDD-4C0B-83EE-732A6D305C18}"/>
    <cellStyle name="20% - Accent6 2 8 3" xfId="10843" xr:uid="{55E0E8AB-1B0D-4650-B330-CF70B57FCC6C}"/>
    <cellStyle name="20% - Accent6 2 9" xfId="4545" xr:uid="{00000000-0005-0000-0000-000071030000}"/>
    <cellStyle name="20% - Accent6 2 9 2" xfId="12995" xr:uid="{D9391EF6-BA45-42EF-BBE7-337C406FAD04}"/>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4DB68F11-04C0-43F0-AAE7-A1418D2DFCDA}"/>
    <cellStyle name="20% - Accent6 3 2 2 2 3" xfId="11341" xr:uid="{8CEF0EE4-012C-4156-A2CD-2DF1CC18FC03}"/>
    <cellStyle name="20% - Accent6 3 2 2 3" xfId="4964" xr:uid="{00000000-0005-0000-0000-000077030000}"/>
    <cellStyle name="20% - Accent6 3 2 2 3 2" xfId="13414" xr:uid="{FCDA0FE6-2AA5-419C-A582-29871D918ABC}"/>
    <cellStyle name="20% - Accent6 3 2 2 4" xfId="9196" xr:uid="{46C95E6B-1281-44E9-AE8C-8CB636238D56}"/>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663A4265-0042-44CA-822F-6ECC07A62ECD}"/>
    <cellStyle name="20% - Accent6 3 2 3 2 3" xfId="11754" xr:uid="{5EDE0FAA-BC60-456C-A72D-E8398C808D8A}"/>
    <cellStyle name="20% - Accent6 3 2 3 3" xfId="5377" xr:uid="{00000000-0005-0000-0000-00007B030000}"/>
    <cellStyle name="20% - Accent6 3 2 3 3 2" xfId="13827" xr:uid="{CF171174-95C3-4F40-9534-0308863628C2}"/>
    <cellStyle name="20% - Accent6 3 2 3 4" xfId="9609" xr:uid="{809E6EEC-4ED1-46F1-BBA8-265FBFC12739}"/>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5E6FD992-D3AB-4D3E-A37F-BDE9586EC2A8}"/>
    <cellStyle name="20% - Accent6 3 2 4 2 3" xfId="12167" xr:uid="{8D549D42-0942-45F7-9C9A-3FF4D47CA87F}"/>
    <cellStyle name="20% - Accent6 3 2 4 3" xfId="5790" xr:uid="{00000000-0005-0000-0000-00007F030000}"/>
    <cellStyle name="20% - Accent6 3 2 4 3 2" xfId="14240" xr:uid="{88164A20-F0CD-4F7E-8924-9E6C0EB77E96}"/>
    <cellStyle name="20% - Accent6 3 2 4 4" xfId="10022" xr:uid="{AF6336FB-7768-4780-A79E-0D201C659BE2}"/>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A652677B-7270-4396-896A-CF6C689AFFB2}"/>
    <cellStyle name="20% - Accent6 3 2 5 2 3" xfId="12580" xr:uid="{1777C0F1-7592-4001-A5A2-C6F3848758B8}"/>
    <cellStyle name="20% - Accent6 3 2 5 3" xfId="6203" xr:uid="{00000000-0005-0000-0000-000083030000}"/>
    <cellStyle name="20% - Accent6 3 2 5 3 2" xfId="14653" xr:uid="{931C986F-7C70-4924-B23C-1ADE52ACDE2E}"/>
    <cellStyle name="20% - Accent6 3 2 5 4" xfId="10435" xr:uid="{1419E917-C29E-488A-A9F4-817D47198F67}"/>
    <cellStyle name="20% - Accent6 3 2 6" xfId="2310" xr:uid="{00000000-0005-0000-0000-000084030000}"/>
    <cellStyle name="20% - Accent6 3 2 6 2" xfId="6616" xr:uid="{00000000-0005-0000-0000-000085030000}"/>
    <cellStyle name="20% - Accent6 3 2 6 2 2" xfId="15066" xr:uid="{E9FA4467-1EB4-4581-8A40-F6DAD71EFC2A}"/>
    <cellStyle name="20% - Accent6 3 2 6 3" xfId="10848" xr:uid="{9836083C-A4C2-4BE8-B38E-643D4AF954F6}"/>
    <cellStyle name="20% - Accent6 3 2 7" xfId="4550" xr:uid="{00000000-0005-0000-0000-000086030000}"/>
    <cellStyle name="20% - Accent6 3 2 7 2" xfId="13000" xr:uid="{36914391-84C2-46C5-AF49-CA758BAE6F9B}"/>
    <cellStyle name="20% - Accent6 3 2 8" xfId="8782" xr:uid="{1F569F14-DDCB-4188-AF39-724BBDFD7E5A}"/>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3EA61C95-246D-4DB6-AE44-31848260A968}"/>
    <cellStyle name="20% - Accent6 3 3 2 3" xfId="11340" xr:uid="{0D133567-C45C-4AE8-A63C-6E4D96EF61F0}"/>
    <cellStyle name="20% - Accent6 3 3 3" xfId="4963" xr:uid="{00000000-0005-0000-0000-00008A030000}"/>
    <cellStyle name="20% - Accent6 3 3 3 2" xfId="13413" xr:uid="{6DA35A13-837E-47C4-9456-F438C9CE73DB}"/>
    <cellStyle name="20% - Accent6 3 3 4" xfId="9195" xr:uid="{547595F7-6D42-478B-B544-7108BB6105A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58334149-8957-420D-94D6-D485F7152FD2}"/>
    <cellStyle name="20% - Accent6 3 4 2 3" xfId="11753" xr:uid="{498FE816-28BE-44CE-9BE6-B44A08B537E8}"/>
    <cellStyle name="20% - Accent6 3 4 3" xfId="5376" xr:uid="{00000000-0005-0000-0000-00008E030000}"/>
    <cellStyle name="20% - Accent6 3 4 3 2" xfId="13826" xr:uid="{B65B44F0-BC7A-47A5-837F-F514DA2ABE6E}"/>
    <cellStyle name="20% - Accent6 3 4 4" xfId="9608" xr:uid="{0CD69AB8-AD0B-4A21-BB5B-B30A6A17280E}"/>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B042B488-5C51-4A56-BDD5-E4FA8515BF9D}"/>
    <cellStyle name="20% - Accent6 3 5 2 3" xfId="12166" xr:uid="{B2FE3C3E-610B-4393-B326-AE3608B42FFC}"/>
    <cellStyle name="20% - Accent6 3 5 3" xfId="5789" xr:uid="{00000000-0005-0000-0000-000092030000}"/>
    <cellStyle name="20% - Accent6 3 5 3 2" xfId="14239" xr:uid="{13028E73-6065-44A4-BB21-9664C26EFA21}"/>
    <cellStyle name="20% - Accent6 3 5 4" xfId="10021" xr:uid="{18AC7588-0CE4-4114-86B5-010F26844F5F}"/>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2EAEED63-9D2D-46BD-B11A-FA62EC7F4753}"/>
    <cellStyle name="20% - Accent6 3 6 2 3" xfId="12579" xr:uid="{88E6D0B9-44D8-4DC0-AB66-A87FC9740436}"/>
    <cellStyle name="20% - Accent6 3 6 3" xfId="6202" xr:uid="{00000000-0005-0000-0000-000096030000}"/>
    <cellStyle name="20% - Accent6 3 6 3 2" xfId="14652" xr:uid="{643B73BC-B9BA-409E-A1A4-1CB068E692DA}"/>
    <cellStyle name="20% - Accent6 3 6 4" xfId="10434" xr:uid="{732810AF-CD07-4938-8B2C-48740DC21BB6}"/>
    <cellStyle name="20% - Accent6 3 7" xfId="2309" xr:uid="{00000000-0005-0000-0000-000097030000}"/>
    <cellStyle name="20% - Accent6 3 7 2" xfId="6615" xr:uid="{00000000-0005-0000-0000-000098030000}"/>
    <cellStyle name="20% - Accent6 3 7 2 2" xfId="15065" xr:uid="{745A0BCD-9882-4E02-BAB2-17DC7B19C8BA}"/>
    <cellStyle name="20% - Accent6 3 7 3" xfId="10847" xr:uid="{851FDCC7-C118-42F7-9764-F37D6C69E488}"/>
    <cellStyle name="20% - Accent6 3 8" xfId="4549" xr:uid="{00000000-0005-0000-0000-000099030000}"/>
    <cellStyle name="20% - Accent6 3 8 2" xfId="12999" xr:uid="{6BD85B35-66BC-49FC-A637-1CB31D6F68A5}"/>
    <cellStyle name="20% - Accent6 3 9" xfId="8781" xr:uid="{61D8154C-D708-409B-8D61-0AF494EC2D6E}"/>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7D861AC0-4FFE-4740-8828-E99610BBFC5F}"/>
    <cellStyle name="20% - Accent6 4 2 2 3" xfId="11342" xr:uid="{3BED5872-4B66-482D-9F85-8BACEB415B0D}"/>
    <cellStyle name="20% - Accent6 4 2 3" xfId="4965" xr:uid="{00000000-0005-0000-0000-00009E030000}"/>
    <cellStyle name="20% - Accent6 4 2 3 2" xfId="13415" xr:uid="{F3195774-CB31-4E71-A40A-0E2AF3F86FDA}"/>
    <cellStyle name="20% - Accent6 4 2 4" xfId="9197" xr:uid="{02CB42FB-BD6B-47C6-8BB7-AC276B4EFD29}"/>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7FF5FB4F-1FF0-4D50-B933-AF50945CEA0D}"/>
    <cellStyle name="20% - Accent6 4 3 2 3" xfId="11755" xr:uid="{D537E4DF-3B16-47A0-941B-FBDEAE5C63E7}"/>
    <cellStyle name="20% - Accent6 4 3 3" xfId="5378" xr:uid="{00000000-0005-0000-0000-0000A2030000}"/>
    <cellStyle name="20% - Accent6 4 3 3 2" xfId="13828" xr:uid="{9A0ECF49-E5AB-4063-BBA2-75C1DB81EECD}"/>
    <cellStyle name="20% - Accent6 4 3 4" xfId="9610" xr:uid="{7BC97FA5-1418-4090-B143-A7FF75468989}"/>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F168B42C-23AA-4E1C-BFA5-71693A23285D}"/>
    <cellStyle name="20% - Accent6 4 4 2 3" xfId="12168" xr:uid="{8954C9C5-A152-4C99-9047-651211A51D5F}"/>
    <cellStyle name="20% - Accent6 4 4 3" xfId="5791" xr:uid="{00000000-0005-0000-0000-0000A6030000}"/>
    <cellStyle name="20% - Accent6 4 4 3 2" xfId="14241" xr:uid="{077F7CFA-C36E-4276-917A-2A2FA18136D6}"/>
    <cellStyle name="20% - Accent6 4 4 4" xfId="10023" xr:uid="{FC9B8F48-0441-4570-8D9E-52151DEBCD38}"/>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41988C0B-E926-4DEC-A7FD-279A8D1849D9}"/>
    <cellStyle name="20% - Accent6 4 5 2 3" xfId="12581" xr:uid="{FC9F4B0F-D065-45E8-A044-3378D2B82FD1}"/>
    <cellStyle name="20% - Accent6 4 5 3" xfId="6204" xr:uid="{00000000-0005-0000-0000-0000AA030000}"/>
    <cellStyle name="20% - Accent6 4 5 3 2" xfId="14654" xr:uid="{8C018692-DA9F-481C-8C46-567A2B5CC715}"/>
    <cellStyle name="20% - Accent6 4 5 4" xfId="10436" xr:uid="{7240AF4A-19BA-415F-9B95-5F941EE78253}"/>
    <cellStyle name="20% - Accent6 4 6" xfId="2311" xr:uid="{00000000-0005-0000-0000-0000AB030000}"/>
    <cellStyle name="20% - Accent6 4 6 2" xfId="6617" xr:uid="{00000000-0005-0000-0000-0000AC030000}"/>
    <cellStyle name="20% - Accent6 4 6 2 2" xfId="15067" xr:uid="{CFFEC51F-4992-40BF-B3A1-A1EAB2E51777}"/>
    <cellStyle name="20% - Accent6 4 6 3" xfId="10849" xr:uid="{2E5199E8-A3DC-48CB-8BF4-E7E773B89FC7}"/>
    <cellStyle name="20% - Accent6 4 7" xfId="4551" xr:uid="{00000000-0005-0000-0000-0000AD030000}"/>
    <cellStyle name="20% - Accent6 4 7 2" xfId="13001" xr:uid="{EEDC4239-498C-41D0-832C-42E6BE13D0EC}"/>
    <cellStyle name="20% - Accent6 4 8" xfId="8783" xr:uid="{637FF0EC-1DA9-4C5E-8BCC-28FD90FEE756}"/>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4496A78F-0ECB-4CFE-99DF-0A0CC432D635}"/>
    <cellStyle name="20% - Accent6 5 2 3" xfId="11335" xr:uid="{E3A8C25A-4753-4E95-AED8-15904B94516C}"/>
    <cellStyle name="20% - Accent6 5 3" xfId="4958" xr:uid="{00000000-0005-0000-0000-0000B1030000}"/>
    <cellStyle name="20% - Accent6 5 3 2" xfId="13408" xr:uid="{893477A9-1D0B-4196-B07C-8FB3B7F6A754}"/>
    <cellStyle name="20% - Accent6 5 4" xfId="9190" xr:uid="{8DC7FD41-B380-4ECD-851C-AEDA0E95CDB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4ED77BFF-35CE-4652-AB29-3484AC048B35}"/>
    <cellStyle name="20% - Accent6 6 2 3" xfId="11748" xr:uid="{BFE6326A-DD72-429C-BA6C-1CCAEB411F23}"/>
    <cellStyle name="20% - Accent6 6 3" xfId="5371" xr:uid="{00000000-0005-0000-0000-0000B5030000}"/>
    <cellStyle name="20% - Accent6 6 3 2" xfId="13821" xr:uid="{2E666E78-9FB0-40A4-A2B5-57221AFA8E39}"/>
    <cellStyle name="20% - Accent6 6 4" xfId="9603" xr:uid="{F42A82D9-7897-4B1F-90B8-E30E1A924EA8}"/>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8339A81B-7051-4196-92C6-A4B1D86A80FE}"/>
    <cellStyle name="20% - Accent6 7 2 3" xfId="12161" xr:uid="{39E5590E-C0E4-4B9D-9FC5-F7CC0DFF762F}"/>
    <cellStyle name="20% - Accent6 7 3" xfId="5784" xr:uid="{00000000-0005-0000-0000-0000B9030000}"/>
    <cellStyle name="20% - Accent6 7 3 2" xfId="14234" xr:uid="{D273F52E-4710-4F73-94B8-DBA20F98FFE1}"/>
    <cellStyle name="20% - Accent6 7 4" xfId="10016" xr:uid="{33CAF137-419A-49D0-A465-6DF0A325A1E0}"/>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C8E24DE7-2227-4D77-A4B2-735F7B76D336}"/>
    <cellStyle name="20% - Accent6 8 2 3" xfId="12574" xr:uid="{6D2CEE1A-9276-46E3-AA1F-4BA449706072}"/>
    <cellStyle name="20% - Accent6 8 3" xfId="6197" xr:uid="{00000000-0005-0000-0000-0000BD030000}"/>
    <cellStyle name="20% - Accent6 8 3 2" xfId="14647" xr:uid="{8DBBF555-156D-4E65-A9C3-DC224E7A9281}"/>
    <cellStyle name="20% - Accent6 8 4" xfId="10429" xr:uid="{E31813FD-321A-4A74-857C-DCADB4532757}"/>
    <cellStyle name="20% - Accent6 9" xfId="2304" xr:uid="{00000000-0005-0000-0000-0000BE030000}"/>
    <cellStyle name="20% - Accent6 9 2" xfId="6610" xr:uid="{00000000-0005-0000-0000-0000BF030000}"/>
    <cellStyle name="20% - Accent6 9 2 2" xfId="15060" xr:uid="{0BCD680C-A786-4861-88A9-2C08C6AF124D}"/>
    <cellStyle name="20% - Accent6 9 3" xfId="10842" xr:uid="{C7ED46F3-DBE3-4FF6-BC6C-18533E8AF9B6}"/>
    <cellStyle name="40% - Accent1" xfId="49" builtinId="31" customBuiltin="1"/>
    <cellStyle name="40% - Accent1 10" xfId="4552" xr:uid="{00000000-0005-0000-0000-0000C1030000}"/>
    <cellStyle name="40% - Accent1 10 2" xfId="13002" xr:uid="{42368AE5-9082-457D-8D2A-82E21B42E68B}"/>
    <cellStyle name="40% - Accent1 11" xfId="8784" xr:uid="{4E6FA2AF-6175-4A67-A2BB-ED217FB36800}"/>
    <cellStyle name="40% - Accent1 2" xfId="50" xr:uid="{00000000-0005-0000-0000-0000C2030000}"/>
    <cellStyle name="40% - Accent1 2 10" xfId="8785" xr:uid="{03311044-D241-4C05-B574-5BDFC41128A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52A46CD2-0FBF-4E95-B5D7-41CC3FAE26A4}"/>
    <cellStyle name="40% - Accent1 2 2 2 2 2 3" xfId="11346" xr:uid="{E7DFFDAB-1C4A-4101-A79B-9709D2942C10}"/>
    <cellStyle name="40% - Accent1 2 2 2 2 3" xfId="4969" xr:uid="{00000000-0005-0000-0000-0000C8030000}"/>
    <cellStyle name="40% - Accent1 2 2 2 2 3 2" xfId="13419" xr:uid="{33B0F74B-0D64-4342-8404-621660F78B64}"/>
    <cellStyle name="40% - Accent1 2 2 2 2 4" xfId="9201" xr:uid="{1DB6573D-6351-48F9-9FB7-389357344C0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9DB651EB-6221-4B92-827A-01DFE08062D9}"/>
    <cellStyle name="40% - Accent1 2 2 2 3 2 3" xfId="11759" xr:uid="{D450CD3C-3EE4-4542-9AB5-8AE1810E2479}"/>
    <cellStyle name="40% - Accent1 2 2 2 3 3" xfId="5382" xr:uid="{00000000-0005-0000-0000-0000CC030000}"/>
    <cellStyle name="40% - Accent1 2 2 2 3 3 2" xfId="13832" xr:uid="{AAEB8CC3-B7A7-4362-9A8D-6E54B7B09C66}"/>
    <cellStyle name="40% - Accent1 2 2 2 3 4" xfId="9614" xr:uid="{140ECF6F-1CDD-4791-97A5-F8A2C7919E4D}"/>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6CA4D8BD-0EB1-4BC9-9E3E-40464EFDF756}"/>
    <cellStyle name="40% - Accent1 2 2 2 4 2 3" xfId="12172" xr:uid="{7C407E42-FA8A-4C3A-A451-D85A24F0BE9C}"/>
    <cellStyle name="40% - Accent1 2 2 2 4 3" xfId="5795" xr:uid="{00000000-0005-0000-0000-0000D0030000}"/>
    <cellStyle name="40% - Accent1 2 2 2 4 3 2" xfId="14245" xr:uid="{68BFD996-9A01-474B-B50D-7CD7FF360DC9}"/>
    <cellStyle name="40% - Accent1 2 2 2 4 4" xfId="10027" xr:uid="{883255A5-3388-4678-B8F4-77B48378CFF5}"/>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C93897F9-3D0D-4406-B4B3-CE337C3667A9}"/>
    <cellStyle name="40% - Accent1 2 2 2 5 2 3" xfId="12585" xr:uid="{1D4933A6-1907-49CA-AB0E-0904049B47CF}"/>
    <cellStyle name="40% - Accent1 2 2 2 5 3" xfId="6208" xr:uid="{00000000-0005-0000-0000-0000D4030000}"/>
    <cellStyle name="40% - Accent1 2 2 2 5 3 2" xfId="14658" xr:uid="{4E8A4E18-829B-42D1-9A8A-94F440211778}"/>
    <cellStyle name="40% - Accent1 2 2 2 5 4" xfId="10440" xr:uid="{5C7188BA-BE9B-4341-990E-6CCB3ADC47B1}"/>
    <cellStyle name="40% - Accent1 2 2 2 6" xfId="2315" xr:uid="{00000000-0005-0000-0000-0000D5030000}"/>
    <cellStyle name="40% - Accent1 2 2 2 6 2" xfId="6621" xr:uid="{00000000-0005-0000-0000-0000D6030000}"/>
    <cellStyle name="40% - Accent1 2 2 2 6 2 2" xfId="15071" xr:uid="{ED4B9687-C026-437F-8912-3D64AAF6413F}"/>
    <cellStyle name="40% - Accent1 2 2 2 6 3" xfId="10853" xr:uid="{312C0FDF-5160-4521-A9B2-E7DA44B8840A}"/>
    <cellStyle name="40% - Accent1 2 2 2 7" xfId="4555" xr:uid="{00000000-0005-0000-0000-0000D7030000}"/>
    <cellStyle name="40% - Accent1 2 2 2 7 2" xfId="13005" xr:uid="{57952D95-ECE0-4AD5-8545-CA404DFD12C4}"/>
    <cellStyle name="40% - Accent1 2 2 2 8" xfId="8787" xr:uid="{9AA3DD23-687F-4C2B-BE1B-DAFEA5C406D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C70433D-FA7C-4140-9BAC-5A6F791B3A6C}"/>
    <cellStyle name="40% - Accent1 2 2 3 2 3" xfId="11345" xr:uid="{647C2391-0EA1-4B62-9F97-43732DF76E3E}"/>
    <cellStyle name="40% - Accent1 2 2 3 3" xfId="4968" xr:uid="{00000000-0005-0000-0000-0000DB030000}"/>
    <cellStyle name="40% - Accent1 2 2 3 3 2" xfId="13418" xr:uid="{66520A56-BE1A-415D-91CE-7ED638AA950F}"/>
    <cellStyle name="40% - Accent1 2 2 3 4" xfId="9200" xr:uid="{8B820343-B5F0-459C-A8B4-DBE350E7ADA6}"/>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408254DD-F9D8-47A6-A5AB-C8E743C90B35}"/>
    <cellStyle name="40% - Accent1 2 2 4 2 3" xfId="11758" xr:uid="{0B708EEA-06E4-4EE6-A06D-F6BDAAE4AEB1}"/>
    <cellStyle name="40% - Accent1 2 2 4 3" xfId="5381" xr:uid="{00000000-0005-0000-0000-0000DF030000}"/>
    <cellStyle name="40% - Accent1 2 2 4 3 2" xfId="13831" xr:uid="{FBE11BA5-2484-4063-9D36-B799B0595934}"/>
    <cellStyle name="40% - Accent1 2 2 4 4" xfId="9613" xr:uid="{8CD50CE3-2D24-4D8D-9F25-79A8D297E7A1}"/>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E52234FC-2678-4A6E-8BA6-941D552C2BA0}"/>
    <cellStyle name="40% - Accent1 2 2 5 2 3" xfId="12171" xr:uid="{81A5AC65-7128-4B6C-AEC5-0B980989C69E}"/>
    <cellStyle name="40% - Accent1 2 2 5 3" xfId="5794" xr:uid="{00000000-0005-0000-0000-0000E3030000}"/>
    <cellStyle name="40% - Accent1 2 2 5 3 2" xfId="14244" xr:uid="{A7C34553-FB23-4864-8599-005696EDC4E0}"/>
    <cellStyle name="40% - Accent1 2 2 5 4" xfId="10026" xr:uid="{E13681AA-3388-4B84-A3AB-B7723B878470}"/>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4026867E-2DB4-48A6-8D78-B19841E080D2}"/>
    <cellStyle name="40% - Accent1 2 2 6 2 3" xfId="12584" xr:uid="{9053A8A3-4890-4E9C-80E9-92A5BABCAC6D}"/>
    <cellStyle name="40% - Accent1 2 2 6 3" xfId="6207" xr:uid="{00000000-0005-0000-0000-0000E7030000}"/>
    <cellStyle name="40% - Accent1 2 2 6 3 2" xfId="14657" xr:uid="{2A3764FE-6A0B-4BCB-94AF-61295ADACBEC}"/>
    <cellStyle name="40% - Accent1 2 2 6 4" xfId="10439" xr:uid="{20E29D88-A9E3-4E48-9903-C27A53D34698}"/>
    <cellStyle name="40% - Accent1 2 2 7" xfId="2314" xr:uid="{00000000-0005-0000-0000-0000E8030000}"/>
    <cellStyle name="40% - Accent1 2 2 7 2" xfId="6620" xr:uid="{00000000-0005-0000-0000-0000E9030000}"/>
    <cellStyle name="40% - Accent1 2 2 7 2 2" xfId="15070" xr:uid="{48D6C4EF-6361-4E09-818F-0D1837C72C5A}"/>
    <cellStyle name="40% - Accent1 2 2 7 3" xfId="10852" xr:uid="{9B7EDE9B-7E6F-4930-BAD0-C37BD8360DD6}"/>
    <cellStyle name="40% - Accent1 2 2 8" xfId="4554" xr:uid="{00000000-0005-0000-0000-0000EA030000}"/>
    <cellStyle name="40% - Accent1 2 2 8 2" xfId="13004" xr:uid="{94858D61-9424-4A0F-B561-432DF3D48E25}"/>
    <cellStyle name="40% - Accent1 2 2 9" xfId="8786" xr:uid="{D6453EAF-6121-47E8-A861-E0039C2DE569}"/>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4219D8D7-BC61-46B7-97AC-BDB0753067B4}"/>
    <cellStyle name="40% - Accent1 2 3 2 2 3" xfId="11347" xr:uid="{186EC5FF-BDC2-46B3-980D-21764C9B8CB9}"/>
    <cellStyle name="40% - Accent1 2 3 2 3" xfId="4970" xr:uid="{00000000-0005-0000-0000-0000EF030000}"/>
    <cellStyle name="40% - Accent1 2 3 2 3 2" xfId="13420" xr:uid="{75793E06-C0E2-418E-B4A7-1F6C92932710}"/>
    <cellStyle name="40% - Accent1 2 3 2 4" xfId="9202" xr:uid="{62914DAB-DC63-41DC-A6F1-59CF635472E3}"/>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62243D86-5D55-44E8-8F1F-ED498BEFA950}"/>
    <cellStyle name="40% - Accent1 2 3 3 2 3" xfId="11760" xr:uid="{F40B4A30-078B-4DF1-94EE-961422ADA0B5}"/>
    <cellStyle name="40% - Accent1 2 3 3 3" xfId="5383" xr:uid="{00000000-0005-0000-0000-0000F3030000}"/>
    <cellStyle name="40% - Accent1 2 3 3 3 2" xfId="13833" xr:uid="{C7A11364-046A-49AD-9FE6-1DF46E3A9DB1}"/>
    <cellStyle name="40% - Accent1 2 3 3 4" xfId="9615" xr:uid="{25F6F1D4-2DF2-42AF-90C6-2DD646A7BED2}"/>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0DC820C4-FE69-4F9F-8574-31F78A0D364C}"/>
    <cellStyle name="40% - Accent1 2 3 4 2 3" xfId="12173" xr:uid="{D9AA87EE-6639-4CC0-9C9F-B309A733F092}"/>
    <cellStyle name="40% - Accent1 2 3 4 3" xfId="5796" xr:uid="{00000000-0005-0000-0000-0000F7030000}"/>
    <cellStyle name="40% - Accent1 2 3 4 3 2" xfId="14246" xr:uid="{9E792061-EE1C-42B1-A954-2CF09601FF40}"/>
    <cellStyle name="40% - Accent1 2 3 4 4" xfId="10028" xr:uid="{0D4B4AAF-022B-4D40-B90C-44B22EE0FDF3}"/>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A1F44404-107D-4FD3-924E-BE46D9AB202D}"/>
    <cellStyle name="40% - Accent1 2 3 5 2 3" xfId="12586" xr:uid="{2D164741-9D78-4709-B7D9-FA7F7576CEA6}"/>
    <cellStyle name="40% - Accent1 2 3 5 3" xfId="6209" xr:uid="{00000000-0005-0000-0000-0000FB030000}"/>
    <cellStyle name="40% - Accent1 2 3 5 3 2" xfId="14659" xr:uid="{7272CC59-76D2-4509-998E-DD79B3573A55}"/>
    <cellStyle name="40% - Accent1 2 3 5 4" xfId="10441" xr:uid="{49ADF63A-29D5-4837-8210-3D53CA2D4078}"/>
    <cellStyle name="40% - Accent1 2 3 6" xfId="2316" xr:uid="{00000000-0005-0000-0000-0000FC030000}"/>
    <cellStyle name="40% - Accent1 2 3 6 2" xfId="6622" xr:uid="{00000000-0005-0000-0000-0000FD030000}"/>
    <cellStyle name="40% - Accent1 2 3 6 2 2" xfId="15072" xr:uid="{8C5E00CD-8CB0-4A98-A015-6FA6AB746AC2}"/>
    <cellStyle name="40% - Accent1 2 3 6 3" xfId="10854" xr:uid="{4BD95393-AE29-4700-AB46-F1CFCC586D6E}"/>
    <cellStyle name="40% - Accent1 2 3 7" xfId="4556" xr:uid="{00000000-0005-0000-0000-0000FE030000}"/>
    <cellStyle name="40% - Accent1 2 3 7 2" xfId="13006" xr:uid="{5B09EEA4-D16B-4D33-920E-3418BA39DA9B}"/>
    <cellStyle name="40% - Accent1 2 3 8" xfId="8788" xr:uid="{D8664CE5-27B4-4518-82CD-D33400D5D08E}"/>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147E4D55-4EDD-4E9A-8D09-7DA56BCC6CE1}"/>
    <cellStyle name="40% - Accent1 2 4 2 3" xfId="11344" xr:uid="{35DFF74F-05CB-4FBC-A9A8-D890508F7466}"/>
    <cellStyle name="40% - Accent1 2 4 3" xfId="4967" xr:uid="{00000000-0005-0000-0000-000002040000}"/>
    <cellStyle name="40% - Accent1 2 4 3 2" xfId="13417" xr:uid="{926DA52A-6127-4C0F-8C82-0DE99A37945E}"/>
    <cellStyle name="40% - Accent1 2 4 4" xfId="9199" xr:uid="{CFE6E1FD-CD2D-4E98-B02C-65CA42087CA9}"/>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68AC8AD2-7462-4E96-B0A7-541F814D591E}"/>
    <cellStyle name="40% - Accent1 2 5 2 3" xfId="11757" xr:uid="{7FB5B356-27F7-4C69-AEDA-C87A4D4A23A6}"/>
    <cellStyle name="40% - Accent1 2 5 3" xfId="5380" xr:uid="{00000000-0005-0000-0000-000006040000}"/>
    <cellStyle name="40% - Accent1 2 5 3 2" xfId="13830" xr:uid="{D0B98360-56FF-49BE-9FC4-67B6931E50B1}"/>
    <cellStyle name="40% - Accent1 2 5 4" xfId="9612" xr:uid="{345D66E0-187C-4E6F-90C6-F918E9CAB3D2}"/>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FA46900E-BF2D-4A4A-B2EA-F76EB829307C}"/>
    <cellStyle name="40% - Accent1 2 6 2 3" xfId="12170" xr:uid="{FEF34CAB-AD58-425F-8EA8-311922446949}"/>
    <cellStyle name="40% - Accent1 2 6 3" xfId="5793" xr:uid="{00000000-0005-0000-0000-00000A040000}"/>
    <cellStyle name="40% - Accent1 2 6 3 2" xfId="14243" xr:uid="{A8592730-8CA4-4DCD-8BA7-B6A75580BF22}"/>
    <cellStyle name="40% - Accent1 2 6 4" xfId="10025" xr:uid="{93C8616E-01B1-4DBF-B7CE-384A234523DA}"/>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34BD63BC-949D-4114-B365-ACB05CB672C2}"/>
    <cellStyle name="40% - Accent1 2 7 2 3" xfId="12583" xr:uid="{B8C5EC5D-AA39-49C2-8D59-3650A5B0C1EF}"/>
    <cellStyle name="40% - Accent1 2 7 3" xfId="6206" xr:uid="{00000000-0005-0000-0000-00000E040000}"/>
    <cellStyle name="40% - Accent1 2 7 3 2" xfId="14656" xr:uid="{BA0D39EA-206E-4E02-84AA-21F9F28CEA8B}"/>
    <cellStyle name="40% - Accent1 2 7 4" xfId="10438" xr:uid="{5EFA7CD2-A16C-4BD6-AB9A-3F78EF344040}"/>
    <cellStyle name="40% - Accent1 2 8" xfId="2313" xr:uid="{00000000-0005-0000-0000-00000F040000}"/>
    <cellStyle name="40% - Accent1 2 8 2" xfId="6619" xr:uid="{00000000-0005-0000-0000-000010040000}"/>
    <cellStyle name="40% - Accent1 2 8 2 2" xfId="15069" xr:uid="{50E4024B-DB50-4218-92AE-BD4414AF254F}"/>
    <cellStyle name="40% - Accent1 2 8 3" xfId="10851" xr:uid="{DF9346FC-CF5B-40A0-9DF3-24C4760E37C4}"/>
    <cellStyle name="40% - Accent1 2 9" xfId="4553" xr:uid="{00000000-0005-0000-0000-000011040000}"/>
    <cellStyle name="40% - Accent1 2 9 2" xfId="13003" xr:uid="{A5FFC30D-429C-43A0-BBAA-324BDC6A9CED}"/>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45B135BF-A38A-4603-8066-72DE886875A2}"/>
    <cellStyle name="40% - Accent1 3 2 2 2 3" xfId="11349" xr:uid="{45CCB714-43A9-491A-9F43-AC57CD1D8AE2}"/>
    <cellStyle name="40% - Accent1 3 2 2 3" xfId="4972" xr:uid="{00000000-0005-0000-0000-000017040000}"/>
    <cellStyle name="40% - Accent1 3 2 2 3 2" xfId="13422" xr:uid="{6711E979-5AA0-43A0-9FA1-B6FE24D85DF6}"/>
    <cellStyle name="40% - Accent1 3 2 2 4" xfId="9204" xr:uid="{5F2792CB-B22C-4523-AE8E-9D18EF1D547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8364F070-BF84-4CCD-AF44-D759325C772A}"/>
    <cellStyle name="40% - Accent1 3 2 3 2 3" xfId="11762" xr:uid="{D2E0AB74-0EB0-4204-A9A9-3BBFC9DDDEC5}"/>
    <cellStyle name="40% - Accent1 3 2 3 3" xfId="5385" xr:uid="{00000000-0005-0000-0000-00001B040000}"/>
    <cellStyle name="40% - Accent1 3 2 3 3 2" xfId="13835" xr:uid="{BDA12DEE-F2C8-4BB7-84E0-95BE4EFA5FCB}"/>
    <cellStyle name="40% - Accent1 3 2 3 4" xfId="9617" xr:uid="{833C243D-C37B-4671-983A-24240182A60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62045678-1C49-4EE3-A181-F3AD48858FB5}"/>
    <cellStyle name="40% - Accent1 3 2 4 2 3" xfId="12175" xr:uid="{FD8AA09E-8EA2-42F2-9FBE-51AB407489FD}"/>
    <cellStyle name="40% - Accent1 3 2 4 3" xfId="5798" xr:uid="{00000000-0005-0000-0000-00001F040000}"/>
    <cellStyle name="40% - Accent1 3 2 4 3 2" xfId="14248" xr:uid="{378DB3AB-AF35-4C20-8E5C-E9203EB1384D}"/>
    <cellStyle name="40% - Accent1 3 2 4 4" xfId="10030" xr:uid="{567D8DB1-BA36-4C4A-A657-0973BCF70D9C}"/>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DAA88BD6-72EC-46DD-A65F-AE2BB156D887}"/>
    <cellStyle name="40% - Accent1 3 2 5 2 3" xfId="12588" xr:uid="{0B5C9D70-AAD8-49D1-B5C8-0C5784FD97DA}"/>
    <cellStyle name="40% - Accent1 3 2 5 3" xfId="6211" xr:uid="{00000000-0005-0000-0000-000023040000}"/>
    <cellStyle name="40% - Accent1 3 2 5 3 2" xfId="14661" xr:uid="{3D04F9A1-520A-46BC-AE9C-65FA2599F49D}"/>
    <cellStyle name="40% - Accent1 3 2 5 4" xfId="10443" xr:uid="{755F9ECA-849C-4DE0-84EE-3A4771CB19F2}"/>
    <cellStyle name="40% - Accent1 3 2 6" xfId="2318" xr:uid="{00000000-0005-0000-0000-000024040000}"/>
    <cellStyle name="40% - Accent1 3 2 6 2" xfId="6624" xr:uid="{00000000-0005-0000-0000-000025040000}"/>
    <cellStyle name="40% - Accent1 3 2 6 2 2" xfId="15074" xr:uid="{72D8AB57-7CEC-4D0C-9801-31A35E6DD5B3}"/>
    <cellStyle name="40% - Accent1 3 2 6 3" xfId="10856" xr:uid="{5E0968A3-6F46-4229-B24A-7DF90437E92F}"/>
    <cellStyle name="40% - Accent1 3 2 7" xfId="4558" xr:uid="{00000000-0005-0000-0000-000026040000}"/>
    <cellStyle name="40% - Accent1 3 2 7 2" xfId="13008" xr:uid="{C0A8210F-A8DF-4A22-AE71-6C6BFF70FE1D}"/>
    <cellStyle name="40% - Accent1 3 2 8" xfId="8790" xr:uid="{CEE3BD75-2BC4-4C80-8125-C807BE1547C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900305E3-CB07-4DB7-9B8A-6A86CA7B84D9}"/>
    <cellStyle name="40% - Accent1 3 3 2 3" xfId="11348" xr:uid="{84E2E541-2FE3-4B34-A90F-66D6EC195A3B}"/>
    <cellStyle name="40% - Accent1 3 3 3" xfId="4971" xr:uid="{00000000-0005-0000-0000-00002A040000}"/>
    <cellStyle name="40% - Accent1 3 3 3 2" xfId="13421" xr:uid="{FD6367F9-D6D4-4B59-869D-35B833045CAC}"/>
    <cellStyle name="40% - Accent1 3 3 4" xfId="9203" xr:uid="{7D14B03E-AAAE-4ACB-980F-B42BB687CCCA}"/>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B3B8F5B4-2154-48FB-9580-25914D6F412D}"/>
    <cellStyle name="40% - Accent1 3 4 2 3" xfId="11761" xr:uid="{391D494C-A2D2-4184-9094-925798FBC3F8}"/>
    <cellStyle name="40% - Accent1 3 4 3" xfId="5384" xr:uid="{00000000-0005-0000-0000-00002E040000}"/>
    <cellStyle name="40% - Accent1 3 4 3 2" xfId="13834" xr:uid="{9A4E1FC0-6256-4DBB-B952-3A44B9260167}"/>
    <cellStyle name="40% - Accent1 3 4 4" xfId="9616" xr:uid="{5A4DA91F-98E6-42AC-834C-E38F89B78C15}"/>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FE333D81-5F7A-47DD-AFA0-0C6577AE9734}"/>
    <cellStyle name="40% - Accent1 3 5 2 3" xfId="12174" xr:uid="{2B8CCFAB-DE3B-4CB4-8E09-BE50EF378E0C}"/>
    <cellStyle name="40% - Accent1 3 5 3" xfId="5797" xr:uid="{00000000-0005-0000-0000-000032040000}"/>
    <cellStyle name="40% - Accent1 3 5 3 2" xfId="14247" xr:uid="{E31BA210-47A2-483F-B0DB-654F51F87308}"/>
    <cellStyle name="40% - Accent1 3 5 4" xfId="10029" xr:uid="{6624318C-3436-4CBB-B4AF-7C5A44701A0D}"/>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24B15980-1789-4AAC-AC0D-1BC6BB88B4E1}"/>
    <cellStyle name="40% - Accent1 3 6 2 3" xfId="12587" xr:uid="{B98F3DAB-0AE4-4335-8BB2-6BDF602A7AE1}"/>
    <cellStyle name="40% - Accent1 3 6 3" xfId="6210" xr:uid="{00000000-0005-0000-0000-000036040000}"/>
    <cellStyle name="40% - Accent1 3 6 3 2" xfId="14660" xr:uid="{BD30067A-76D6-4FD7-9FD7-A0496EDDBFBE}"/>
    <cellStyle name="40% - Accent1 3 6 4" xfId="10442" xr:uid="{83E15293-222D-405A-9B38-A7089579459F}"/>
    <cellStyle name="40% - Accent1 3 7" xfId="2317" xr:uid="{00000000-0005-0000-0000-000037040000}"/>
    <cellStyle name="40% - Accent1 3 7 2" xfId="6623" xr:uid="{00000000-0005-0000-0000-000038040000}"/>
    <cellStyle name="40% - Accent1 3 7 2 2" xfId="15073" xr:uid="{252A6664-CF7D-418B-9AB8-901397C07D14}"/>
    <cellStyle name="40% - Accent1 3 7 3" xfId="10855" xr:uid="{B827F8B1-0B93-4195-9E2B-1BF3861DECA3}"/>
    <cellStyle name="40% - Accent1 3 8" xfId="4557" xr:uid="{00000000-0005-0000-0000-000039040000}"/>
    <cellStyle name="40% - Accent1 3 8 2" xfId="13007" xr:uid="{2D61628B-C417-44D8-9627-7C2CE6C1B034}"/>
    <cellStyle name="40% - Accent1 3 9" xfId="8789" xr:uid="{FD3B0731-B7CB-4922-BA18-81A195CC6D4F}"/>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BD1F125C-6BD8-4F27-A15A-8895073EF426}"/>
    <cellStyle name="40% - Accent1 4 2 2 3" xfId="11350" xr:uid="{A0FE519B-FF5B-47AC-8734-FF06FCA6C688}"/>
    <cellStyle name="40% - Accent1 4 2 3" xfId="4973" xr:uid="{00000000-0005-0000-0000-00003E040000}"/>
    <cellStyle name="40% - Accent1 4 2 3 2" xfId="13423" xr:uid="{58922D53-C879-4482-BD15-A4FF93A2F27F}"/>
    <cellStyle name="40% - Accent1 4 2 4" xfId="9205" xr:uid="{D2B4B30A-F279-41F8-B44A-5309FBB38C58}"/>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1D7149C3-8B1A-4A5C-9599-34D544269334}"/>
    <cellStyle name="40% - Accent1 4 3 2 3" xfId="11763" xr:uid="{B05AAED7-74DC-48D3-85BA-5487594BCD6C}"/>
    <cellStyle name="40% - Accent1 4 3 3" xfId="5386" xr:uid="{00000000-0005-0000-0000-000042040000}"/>
    <cellStyle name="40% - Accent1 4 3 3 2" xfId="13836" xr:uid="{B98DF1F3-41A7-4AD6-BE43-F71F5AAB801F}"/>
    <cellStyle name="40% - Accent1 4 3 4" xfId="9618" xr:uid="{95603AAC-C06E-4FB4-BD7D-3AB1B80C8E2B}"/>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46D8EC43-DBF4-4683-B4B6-5C277DC2D80F}"/>
    <cellStyle name="40% - Accent1 4 4 2 3" xfId="12176" xr:uid="{2FD509EE-83DB-4753-82C5-B0A6DC30D3DE}"/>
    <cellStyle name="40% - Accent1 4 4 3" xfId="5799" xr:uid="{00000000-0005-0000-0000-000046040000}"/>
    <cellStyle name="40% - Accent1 4 4 3 2" xfId="14249" xr:uid="{053F727B-F4BD-4F31-9584-E6AD82068AB1}"/>
    <cellStyle name="40% - Accent1 4 4 4" xfId="10031" xr:uid="{6A02D0ED-2170-4608-BFD0-63036098918D}"/>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ADB417A3-86BB-4663-AEFB-A2ED80D6D247}"/>
    <cellStyle name="40% - Accent1 4 5 2 3" xfId="12589" xr:uid="{24131118-8C8E-4C84-81FA-E04D77D4A39E}"/>
    <cellStyle name="40% - Accent1 4 5 3" xfId="6212" xr:uid="{00000000-0005-0000-0000-00004A040000}"/>
    <cellStyle name="40% - Accent1 4 5 3 2" xfId="14662" xr:uid="{89069E56-1D9F-43DC-B8F7-0A2D80DB0241}"/>
    <cellStyle name="40% - Accent1 4 5 4" xfId="10444" xr:uid="{B05BEFCA-7F8A-446B-9B71-422CA951D15E}"/>
    <cellStyle name="40% - Accent1 4 6" xfId="2319" xr:uid="{00000000-0005-0000-0000-00004B040000}"/>
    <cellStyle name="40% - Accent1 4 6 2" xfId="6625" xr:uid="{00000000-0005-0000-0000-00004C040000}"/>
    <cellStyle name="40% - Accent1 4 6 2 2" xfId="15075" xr:uid="{70ECD553-38B1-4A1C-9F26-E96AD2BD6001}"/>
    <cellStyle name="40% - Accent1 4 6 3" xfId="10857" xr:uid="{D2AA4DFC-0A4D-45E5-B35F-4BF2203495D0}"/>
    <cellStyle name="40% - Accent1 4 7" xfId="4559" xr:uid="{00000000-0005-0000-0000-00004D040000}"/>
    <cellStyle name="40% - Accent1 4 7 2" xfId="13009" xr:uid="{F50131A0-7211-4082-A19F-F6421F546526}"/>
    <cellStyle name="40% - Accent1 4 8" xfId="8791" xr:uid="{07C17C89-D09E-47A8-9DED-3F1C73AB8808}"/>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B44BDE44-2AA3-43BF-9A86-2AE887D9C7CD}"/>
    <cellStyle name="40% - Accent1 5 2 3" xfId="11343" xr:uid="{726A723C-254E-43F5-A12E-C8B4D91A0409}"/>
    <cellStyle name="40% - Accent1 5 3" xfId="4966" xr:uid="{00000000-0005-0000-0000-000051040000}"/>
    <cellStyle name="40% - Accent1 5 3 2" xfId="13416" xr:uid="{679B866F-9A43-4735-8FDA-E7927FC7B784}"/>
    <cellStyle name="40% - Accent1 5 4" xfId="9198" xr:uid="{8CB70222-16CF-4374-946F-71FE727EC183}"/>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1FD28F7F-E623-4CCF-AA17-DD73A27618AA}"/>
    <cellStyle name="40% - Accent1 6 2 3" xfId="11756" xr:uid="{92B4DB21-6156-4E64-846C-378A75F33B41}"/>
    <cellStyle name="40% - Accent1 6 3" xfId="5379" xr:uid="{00000000-0005-0000-0000-000055040000}"/>
    <cellStyle name="40% - Accent1 6 3 2" xfId="13829" xr:uid="{ECECC1F1-49EE-4047-AB1F-F7D36E37EF0D}"/>
    <cellStyle name="40% - Accent1 6 4" xfId="9611" xr:uid="{E1290BB2-28C8-48AB-BBF3-481B8B54A8FA}"/>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613306B6-8B0A-4A32-A995-9791EE4CB9F8}"/>
    <cellStyle name="40% - Accent1 7 2 3" xfId="12169" xr:uid="{F364DDE3-B18C-48DD-879B-BF3779435DD6}"/>
    <cellStyle name="40% - Accent1 7 3" xfId="5792" xr:uid="{00000000-0005-0000-0000-000059040000}"/>
    <cellStyle name="40% - Accent1 7 3 2" xfId="14242" xr:uid="{0F094862-25BC-4AEB-B454-915E070D99C2}"/>
    <cellStyle name="40% - Accent1 7 4" xfId="10024" xr:uid="{90015B8B-5888-4718-B128-F7CB61FA9533}"/>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2FA4C8E6-55C5-40AE-B1AB-C1AC70A0E133}"/>
    <cellStyle name="40% - Accent1 8 2 3" xfId="12582" xr:uid="{BAEE096B-FB33-439B-B74D-381C5B46ED6E}"/>
    <cellStyle name="40% - Accent1 8 3" xfId="6205" xr:uid="{00000000-0005-0000-0000-00005D040000}"/>
    <cellStyle name="40% - Accent1 8 3 2" xfId="14655" xr:uid="{635279C8-5241-49F3-8881-75759775B1F1}"/>
    <cellStyle name="40% - Accent1 8 4" xfId="10437" xr:uid="{4A02A4FB-B91F-4B96-90A5-C9E3752E2FCF}"/>
    <cellStyle name="40% - Accent1 9" xfId="2312" xr:uid="{00000000-0005-0000-0000-00005E040000}"/>
    <cellStyle name="40% - Accent1 9 2" xfId="6618" xr:uid="{00000000-0005-0000-0000-00005F040000}"/>
    <cellStyle name="40% - Accent1 9 2 2" xfId="15068" xr:uid="{540DA44D-D2D6-4BB7-8AC6-389F4B9F0257}"/>
    <cellStyle name="40% - Accent1 9 3" xfId="10850" xr:uid="{4C7B5F49-FDFF-4555-80C1-33801DE9E8BE}"/>
    <cellStyle name="40% - Accent2" xfId="57" builtinId="35" customBuiltin="1"/>
    <cellStyle name="40% - Accent2 10" xfId="4560" xr:uid="{00000000-0005-0000-0000-000061040000}"/>
    <cellStyle name="40% - Accent2 10 2" xfId="13010" xr:uid="{AD5A2D81-A338-4476-9F8F-E4390BE17860}"/>
    <cellStyle name="40% - Accent2 11" xfId="8792" xr:uid="{51E58BEA-EE7E-4433-A424-DBFDE9877332}"/>
    <cellStyle name="40% - Accent2 2" xfId="58" xr:uid="{00000000-0005-0000-0000-000062040000}"/>
    <cellStyle name="40% - Accent2 2 10" xfId="8793" xr:uid="{ACAA7FEB-642B-4C34-9789-E417D4D4E70F}"/>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56FBB9C6-D239-4D19-8F70-255B2FAA1894}"/>
    <cellStyle name="40% - Accent2 2 2 2 2 2 3" xfId="11354" xr:uid="{041B6930-F0CD-4F98-85F2-946F1CA15A0B}"/>
    <cellStyle name="40% - Accent2 2 2 2 2 3" xfId="4977" xr:uid="{00000000-0005-0000-0000-000068040000}"/>
    <cellStyle name="40% - Accent2 2 2 2 2 3 2" xfId="13427" xr:uid="{00A4AB45-EA50-4546-8CC1-A73838626C07}"/>
    <cellStyle name="40% - Accent2 2 2 2 2 4" xfId="9209" xr:uid="{73E036BC-E42F-48FC-A553-C58B966646B3}"/>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F1915B18-9BBD-41C7-B273-19AA803E93D5}"/>
    <cellStyle name="40% - Accent2 2 2 2 3 2 3" xfId="11767" xr:uid="{9A13B15C-99CF-4D7E-9191-97F95CFE6C72}"/>
    <cellStyle name="40% - Accent2 2 2 2 3 3" xfId="5390" xr:uid="{00000000-0005-0000-0000-00006C040000}"/>
    <cellStyle name="40% - Accent2 2 2 2 3 3 2" xfId="13840" xr:uid="{A96E2F3F-1CC9-484E-A65E-5CC07E7C0659}"/>
    <cellStyle name="40% - Accent2 2 2 2 3 4" xfId="9622" xr:uid="{17C5EAEF-3C34-4BE0-B96C-5B00D18D86C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FA21FCAA-7DA4-45B2-84FE-23E1AD8D9F9B}"/>
    <cellStyle name="40% - Accent2 2 2 2 4 2 3" xfId="12180" xr:uid="{29CA9A7D-4742-41EE-963B-225822D50AEF}"/>
    <cellStyle name="40% - Accent2 2 2 2 4 3" xfId="5803" xr:uid="{00000000-0005-0000-0000-000070040000}"/>
    <cellStyle name="40% - Accent2 2 2 2 4 3 2" xfId="14253" xr:uid="{ED6BE6F3-4D83-49B3-AED5-17E502969CF8}"/>
    <cellStyle name="40% - Accent2 2 2 2 4 4" xfId="10035" xr:uid="{53C48B6A-97D7-47A0-A7F0-DEDC925AC373}"/>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8FDDA969-777E-4C7B-BA44-89421ED6EE37}"/>
    <cellStyle name="40% - Accent2 2 2 2 5 2 3" xfId="12593" xr:uid="{4CF49812-A3D2-4856-BAB5-87AB6DE6AC9A}"/>
    <cellStyle name="40% - Accent2 2 2 2 5 3" xfId="6216" xr:uid="{00000000-0005-0000-0000-000074040000}"/>
    <cellStyle name="40% - Accent2 2 2 2 5 3 2" xfId="14666" xr:uid="{14FD00C8-C91F-4812-9BFB-735689A8FE00}"/>
    <cellStyle name="40% - Accent2 2 2 2 5 4" xfId="10448" xr:uid="{D9049EE0-EE45-4CFE-9FE4-40AEC0D66E44}"/>
    <cellStyle name="40% - Accent2 2 2 2 6" xfId="2323" xr:uid="{00000000-0005-0000-0000-000075040000}"/>
    <cellStyle name="40% - Accent2 2 2 2 6 2" xfId="6629" xr:uid="{00000000-0005-0000-0000-000076040000}"/>
    <cellStyle name="40% - Accent2 2 2 2 6 2 2" xfId="15079" xr:uid="{5A0C20D0-5AC9-4DDF-B643-40845771F361}"/>
    <cellStyle name="40% - Accent2 2 2 2 6 3" xfId="10861" xr:uid="{298DEE0B-B1B8-4272-BB35-5BAEA9A772E4}"/>
    <cellStyle name="40% - Accent2 2 2 2 7" xfId="4563" xr:uid="{00000000-0005-0000-0000-000077040000}"/>
    <cellStyle name="40% - Accent2 2 2 2 7 2" xfId="13013" xr:uid="{A20AAF9B-4691-43CF-B7A3-412EF1DD5D7B}"/>
    <cellStyle name="40% - Accent2 2 2 2 8" xfId="8795" xr:uid="{FF2BA69C-213B-4FB6-8ECB-CD7268A1E9D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1B73964C-BFB0-4DCB-87B3-CBC6EE6D68E8}"/>
    <cellStyle name="40% - Accent2 2 2 3 2 3" xfId="11353" xr:uid="{C7436C96-BAD9-4396-ABAD-E88F76AE3198}"/>
    <cellStyle name="40% - Accent2 2 2 3 3" xfId="4976" xr:uid="{00000000-0005-0000-0000-00007B040000}"/>
    <cellStyle name="40% - Accent2 2 2 3 3 2" xfId="13426" xr:uid="{C7F3D654-951C-4B0B-81E1-0EDFB0760929}"/>
    <cellStyle name="40% - Accent2 2 2 3 4" xfId="9208" xr:uid="{09B6346C-8E15-400E-9965-742A9FF91B2E}"/>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1778E9F9-3D96-4B3E-BED6-4CD850DE094C}"/>
    <cellStyle name="40% - Accent2 2 2 4 2 3" xfId="11766" xr:uid="{D9B255BF-9623-4775-8109-D21DA007184C}"/>
    <cellStyle name="40% - Accent2 2 2 4 3" xfId="5389" xr:uid="{00000000-0005-0000-0000-00007F040000}"/>
    <cellStyle name="40% - Accent2 2 2 4 3 2" xfId="13839" xr:uid="{73B9782C-4D1A-483D-89B3-FCD4F4E25F2A}"/>
    <cellStyle name="40% - Accent2 2 2 4 4" xfId="9621" xr:uid="{4127EA0F-D66B-48AA-8A57-F9E5AC153252}"/>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676257FA-4CEE-421F-8E52-33039360E0C5}"/>
    <cellStyle name="40% - Accent2 2 2 5 2 3" xfId="12179" xr:uid="{2028B266-7BC6-4801-B932-77A9946EDFDE}"/>
    <cellStyle name="40% - Accent2 2 2 5 3" xfId="5802" xr:uid="{00000000-0005-0000-0000-000083040000}"/>
    <cellStyle name="40% - Accent2 2 2 5 3 2" xfId="14252" xr:uid="{8E80E86C-7E67-40D7-896D-03AF46E90A50}"/>
    <cellStyle name="40% - Accent2 2 2 5 4" xfId="10034" xr:uid="{721A77F3-EF72-45EF-AAA6-89A3E318F0B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2BB4901-04C6-445E-8D79-A27EB0F3A4DD}"/>
    <cellStyle name="40% - Accent2 2 2 6 2 3" xfId="12592" xr:uid="{8260FE93-0F7E-4DED-9ABC-11EE20874AC4}"/>
    <cellStyle name="40% - Accent2 2 2 6 3" xfId="6215" xr:uid="{00000000-0005-0000-0000-000087040000}"/>
    <cellStyle name="40% - Accent2 2 2 6 3 2" xfId="14665" xr:uid="{CBF25FD1-D28B-43BF-A7D7-5DCCCDF095C3}"/>
    <cellStyle name="40% - Accent2 2 2 6 4" xfId="10447" xr:uid="{BFA043D8-51E7-4201-826F-ECB5836D7F72}"/>
    <cellStyle name="40% - Accent2 2 2 7" xfId="2322" xr:uid="{00000000-0005-0000-0000-000088040000}"/>
    <cellStyle name="40% - Accent2 2 2 7 2" xfId="6628" xr:uid="{00000000-0005-0000-0000-000089040000}"/>
    <cellStyle name="40% - Accent2 2 2 7 2 2" xfId="15078" xr:uid="{44CBD43D-3394-41CD-A8DC-1DF975230340}"/>
    <cellStyle name="40% - Accent2 2 2 7 3" xfId="10860" xr:uid="{C6339AD1-1D48-422D-B418-F8B82DE48917}"/>
    <cellStyle name="40% - Accent2 2 2 8" xfId="4562" xr:uid="{00000000-0005-0000-0000-00008A040000}"/>
    <cellStyle name="40% - Accent2 2 2 8 2" xfId="13012" xr:uid="{EB9BC03B-44FC-43AC-8FB4-4095E02A278F}"/>
    <cellStyle name="40% - Accent2 2 2 9" xfId="8794" xr:uid="{53C95246-B8E7-4F48-92B1-0F688E501B9B}"/>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81FC5D47-A17D-40E2-8CA0-E4023187E62A}"/>
    <cellStyle name="40% - Accent2 2 3 2 2 3" xfId="11355" xr:uid="{65D164DC-1682-42B0-9886-9C172995CEB7}"/>
    <cellStyle name="40% - Accent2 2 3 2 3" xfId="4978" xr:uid="{00000000-0005-0000-0000-00008F040000}"/>
    <cellStyle name="40% - Accent2 2 3 2 3 2" xfId="13428" xr:uid="{BAE54FBF-E14D-4D52-93EC-847100E4B6D0}"/>
    <cellStyle name="40% - Accent2 2 3 2 4" xfId="9210" xr:uid="{04F59FC5-9FDC-491D-A075-E0118E76DB73}"/>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8DE273DE-10B2-4193-B098-558A3DED008F}"/>
    <cellStyle name="40% - Accent2 2 3 3 2 3" xfId="11768" xr:uid="{454F6EE5-224D-4D45-A495-BBB2A0D4CF04}"/>
    <cellStyle name="40% - Accent2 2 3 3 3" xfId="5391" xr:uid="{00000000-0005-0000-0000-000093040000}"/>
    <cellStyle name="40% - Accent2 2 3 3 3 2" xfId="13841" xr:uid="{7CFE8F79-99BC-43C5-A571-1B85B683DC48}"/>
    <cellStyle name="40% - Accent2 2 3 3 4" xfId="9623" xr:uid="{644AAF5F-0CF1-4EE5-9BFA-7C8A88C0297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BC12572E-FC92-432B-89E9-97E32E99BED1}"/>
    <cellStyle name="40% - Accent2 2 3 4 2 3" xfId="12181" xr:uid="{592B7274-4216-4FFC-93A0-BB0B6CCCAE97}"/>
    <cellStyle name="40% - Accent2 2 3 4 3" xfId="5804" xr:uid="{00000000-0005-0000-0000-000097040000}"/>
    <cellStyle name="40% - Accent2 2 3 4 3 2" xfId="14254" xr:uid="{750B4F32-414C-4A7A-8D01-5BDC2E900ACA}"/>
    <cellStyle name="40% - Accent2 2 3 4 4" xfId="10036" xr:uid="{CA3F1968-6206-4526-85B6-FF14244B7D9A}"/>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E997AA9F-0B2A-4A3C-AEB9-FACBE8B3F2A5}"/>
    <cellStyle name="40% - Accent2 2 3 5 2 3" xfId="12594" xr:uid="{94BEA062-635B-4036-AE6C-A1AE02F98FE4}"/>
    <cellStyle name="40% - Accent2 2 3 5 3" xfId="6217" xr:uid="{00000000-0005-0000-0000-00009B040000}"/>
    <cellStyle name="40% - Accent2 2 3 5 3 2" xfId="14667" xr:uid="{96FB132B-5A2F-4C97-AE9E-93EFF2AB573F}"/>
    <cellStyle name="40% - Accent2 2 3 5 4" xfId="10449" xr:uid="{4C9D8701-F21A-4052-A708-AAC41F1A8C42}"/>
    <cellStyle name="40% - Accent2 2 3 6" xfId="2324" xr:uid="{00000000-0005-0000-0000-00009C040000}"/>
    <cellStyle name="40% - Accent2 2 3 6 2" xfId="6630" xr:uid="{00000000-0005-0000-0000-00009D040000}"/>
    <cellStyle name="40% - Accent2 2 3 6 2 2" xfId="15080" xr:uid="{495D33CF-A201-4265-8472-68EE3573FD76}"/>
    <cellStyle name="40% - Accent2 2 3 6 3" xfId="10862" xr:uid="{CBF50C23-A2B4-4009-9C36-0BDBBF484AAE}"/>
    <cellStyle name="40% - Accent2 2 3 7" xfId="4564" xr:uid="{00000000-0005-0000-0000-00009E040000}"/>
    <cellStyle name="40% - Accent2 2 3 7 2" xfId="13014" xr:uid="{2F3AA721-D31D-4C3E-AD53-251959FC4CD1}"/>
    <cellStyle name="40% - Accent2 2 3 8" xfId="8796" xr:uid="{8DA81AA0-A286-40F0-80C3-30DC245618F9}"/>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22221991-9C5A-4719-A8EE-E127D6F39983}"/>
    <cellStyle name="40% - Accent2 2 4 2 3" xfId="11352" xr:uid="{D70CDFD3-D345-402C-B020-D2AC0F520B9D}"/>
    <cellStyle name="40% - Accent2 2 4 3" xfId="4975" xr:uid="{00000000-0005-0000-0000-0000A2040000}"/>
    <cellStyle name="40% - Accent2 2 4 3 2" xfId="13425" xr:uid="{3F3E0D78-6B61-4F99-9AC9-E7B553557D35}"/>
    <cellStyle name="40% - Accent2 2 4 4" xfId="9207" xr:uid="{0042B953-823E-4A4A-8FDD-DBEB00F9C44A}"/>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13B9AB1D-9CA6-4AC6-9341-0493447B9C73}"/>
    <cellStyle name="40% - Accent2 2 5 2 3" xfId="11765" xr:uid="{446A350A-C592-42F0-A0AA-0AD37BAF5899}"/>
    <cellStyle name="40% - Accent2 2 5 3" xfId="5388" xr:uid="{00000000-0005-0000-0000-0000A6040000}"/>
    <cellStyle name="40% - Accent2 2 5 3 2" xfId="13838" xr:uid="{FA187F3E-9F0A-4D02-8D49-519386B3CD7E}"/>
    <cellStyle name="40% - Accent2 2 5 4" xfId="9620" xr:uid="{916C2CCC-75C6-48B3-AB2B-1528C98D33AA}"/>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C99D03D0-E3B3-4926-85AB-687DECD68693}"/>
    <cellStyle name="40% - Accent2 2 6 2 3" xfId="12178" xr:uid="{9C6B490D-B4E2-4A75-B13F-4E624A6A6367}"/>
    <cellStyle name="40% - Accent2 2 6 3" xfId="5801" xr:uid="{00000000-0005-0000-0000-0000AA040000}"/>
    <cellStyle name="40% - Accent2 2 6 3 2" xfId="14251" xr:uid="{7E1A0627-ED23-418D-8BF6-587AB41E7DBF}"/>
    <cellStyle name="40% - Accent2 2 6 4" xfId="10033" xr:uid="{08AC4B18-4FB5-4C4B-84A0-33A43B9C5F7D}"/>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F7836D5D-1A77-4232-BD29-C89332D85035}"/>
    <cellStyle name="40% - Accent2 2 7 2 3" xfId="12591" xr:uid="{7CBB11EB-8E39-48F1-862E-457D98C75A83}"/>
    <cellStyle name="40% - Accent2 2 7 3" xfId="6214" xr:uid="{00000000-0005-0000-0000-0000AE040000}"/>
    <cellStyle name="40% - Accent2 2 7 3 2" xfId="14664" xr:uid="{44C12F33-2329-4DA4-AF95-DB9CEDAD0637}"/>
    <cellStyle name="40% - Accent2 2 7 4" xfId="10446" xr:uid="{6586771F-AB04-4FF7-9F2E-97C85342EE44}"/>
    <cellStyle name="40% - Accent2 2 8" xfId="2321" xr:uid="{00000000-0005-0000-0000-0000AF040000}"/>
    <cellStyle name="40% - Accent2 2 8 2" xfId="6627" xr:uid="{00000000-0005-0000-0000-0000B0040000}"/>
    <cellStyle name="40% - Accent2 2 8 2 2" xfId="15077" xr:uid="{B942516D-6BF3-4430-A232-6C760D873403}"/>
    <cellStyle name="40% - Accent2 2 8 3" xfId="10859" xr:uid="{E05C5477-87C0-4833-9FBB-A80E181AE0E8}"/>
    <cellStyle name="40% - Accent2 2 9" xfId="4561" xr:uid="{00000000-0005-0000-0000-0000B1040000}"/>
    <cellStyle name="40% - Accent2 2 9 2" xfId="13011" xr:uid="{71CF0374-1787-4E7A-AA92-C2AF288B3F5B}"/>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6B71DEFE-9507-4CA5-BFF7-68CC05D1A9BA}"/>
    <cellStyle name="40% - Accent2 3 2 2 2 3" xfId="11357" xr:uid="{2F849F60-8993-474E-9484-8CD2191DD0FD}"/>
    <cellStyle name="40% - Accent2 3 2 2 3" xfId="4980" xr:uid="{00000000-0005-0000-0000-0000B7040000}"/>
    <cellStyle name="40% - Accent2 3 2 2 3 2" xfId="13430" xr:uid="{87351891-D9A0-4D67-AA13-4689F5F40D67}"/>
    <cellStyle name="40% - Accent2 3 2 2 4" xfId="9212" xr:uid="{6117AF52-DBB7-4B5A-ABC1-3D3CB806E806}"/>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09677ACF-F406-4CC2-8C4C-9D54962BA377}"/>
    <cellStyle name="40% - Accent2 3 2 3 2 3" xfId="11770" xr:uid="{239721BB-CD1C-458A-B796-9AC545BE7675}"/>
    <cellStyle name="40% - Accent2 3 2 3 3" xfId="5393" xr:uid="{00000000-0005-0000-0000-0000BB040000}"/>
    <cellStyle name="40% - Accent2 3 2 3 3 2" xfId="13843" xr:uid="{2E5957A5-BCB2-47DF-8E2B-CDA9708AE3CE}"/>
    <cellStyle name="40% - Accent2 3 2 3 4" xfId="9625" xr:uid="{2C27A33E-01F8-4580-8731-0EA3C899734C}"/>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8EB4CF46-C3A8-4CA6-B28D-3A295A5B652E}"/>
    <cellStyle name="40% - Accent2 3 2 4 2 3" xfId="12183" xr:uid="{8619464D-BAEA-42A8-A4CB-C2750E0728C4}"/>
    <cellStyle name="40% - Accent2 3 2 4 3" xfId="5806" xr:uid="{00000000-0005-0000-0000-0000BF040000}"/>
    <cellStyle name="40% - Accent2 3 2 4 3 2" xfId="14256" xr:uid="{56DE8007-EB65-4A2D-9BF5-1210539AA01B}"/>
    <cellStyle name="40% - Accent2 3 2 4 4" xfId="10038" xr:uid="{B1351D4E-775B-491A-9B5C-AB26B96505DC}"/>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EFA52465-237E-42E2-8706-DB6DC9B0B987}"/>
    <cellStyle name="40% - Accent2 3 2 5 2 3" xfId="12596" xr:uid="{03C65DA8-47ED-4E06-911B-1707698E89D3}"/>
    <cellStyle name="40% - Accent2 3 2 5 3" xfId="6219" xr:uid="{00000000-0005-0000-0000-0000C3040000}"/>
    <cellStyle name="40% - Accent2 3 2 5 3 2" xfId="14669" xr:uid="{18F45AD2-41D4-446D-8598-0D70E692ADFE}"/>
    <cellStyle name="40% - Accent2 3 2 5 4" xfId="10451" xr:uid="{82A3BCCD-2426-476F-BCC4-870D39E093F0}"/>
    <cellStyle name="40% - Accent2 3 2 6" xfId="2326" xr:uid="{00000000-0005-0000-0000-0000C4040000}"/>
    <cellStyle name="40% - Accent2 3 2 6 2" xfId="6632" xr:uid="{00000000-0005-0000-0000-0000C5040000}"/>
    <cellStyle name="40% - Accent2 3 2 6 2 2" xfId="15082" xr:uid="{B31C5D7A-202A-480C-840F-E4721C59671B}"/>
    <cellStyle name="40% - Accent2 3 2 6 3" xfId="10864" xr:uid="{BEBFDB8B-1793-48E8-9C37-2BAFF71E14BA}"/>
    <cellStyle name="40% - Accent2 3 2 7" xfId="4566" xr:uid="{00000000-0005-0000-0000-0000C6040000}"/>
    <cellStyle name="40% - Accent2 3 2 7 2" xfId="13016" xr:uid="{98A0D742-2135-418C-9FCF-86B1924787D6}"/>
    <cellStyle name="40% - Accent2 3 2 8" xfId="8798" xr:uid="{F3CC42A6-3CE9-4C24-98F9-3002F01A9DDB}"/>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E409C975-7517-4B38-BACB-05391CF668E7}"/>
    <cellStyle name="40% - Accent2 3 3 2 3" xfId="11356" xr:uid="{62ED4818-5A2B-41F9-A898-8B32C8F74484}"/>
    <cellStyle name="40% - Accent2 3 3 3" xfId="4979" xr:uid="{00000000-0005-0000-0000-0000CA040000}"/>
    <cellStyle name="40% - Accent2 3 3 3 2" xfId="13429" xr:uid="{6346EC7C-327A-49F1-8D22-EA9A333EBEC7}"/>
    <cellStyle name="40% - Accent2 3 3 4" xfId="9211" xr:uid="{A2D25BAD-5AAD-40B8-BD23-27FA08E676BF}"/>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CD69C1C5-04B8-4EDF-A6E3-8AA519BADF26}"/>
    <cellStyle name="40% - Accent2 3 4 2 3" xfId="11769" xr:uid="{D0E83571-1CC4-47D6-B57D-351643242EA9}"/>
    <cellStyle name="40% - Accent2 3 4 3" xfId="5392" xr:uid="{00000000-0005-0000-0000-0000CE040000}"/>
    <cellStyle name="40% - Accent2 3 4 3 2" xfId="13842" xr:uid="{7C3E9C78-520B-4CBD-83BA-70D56D0FD97A}"/>
    <cellStyle name="40% - Accent2 3 4 4" xfId="9624" xr:uid="{C01BC51E-6808-43FD-8AF2-104D0A76BEA7}"/>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7A769EA0-863E-4CAD-B2EB-12708FBD54F6}"/>
    <cellStyle name="40% - Accent2 3 5 2 3" xfId="12182" xr:uid="{8E11260D-DC71-4F55-86A1-5C896D2A5FBA}"/>
    <cellStyle name="40% - Accent2 3 5 3" xfId="5805" xr:uid="{00000000-0005-0000-0000-0000D2040000}"/>
    <cellStyle name="40% - Accent2 3 5 3 2" xfId="14255" xr:uid="{53ADB6CA-02D5-4AFA-9057-19A9D55323BD}"/>
    <cellStyle name="40% - Accent2 3 5 4" xfId="10037" xr:uid="{56766008-A7A9-4117-94D1-54DBBE84A5FC}"/>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90BEE5A1-D14F-4DD1-B9D8-1C177E5D18EA}"/>
    <cellStyle name="40% - Accent2 3 6 2 3" xfId="12595" xr:uid="{A331CF01-583C-4E2A-AEE2-CAEEFCF2D949}"/>
    <cellStyle name="40% - Accent2 3 6 3" xfId="6218" xr:uid="{00000000-0005-0000-0000-0000D6040000}"/>
    <cellStyle name="40% - Accent2 3 6 3 2" xfId="14668" xr:uid="{CE0AA4C1-C2F9-42B3-9896-F4D8A4582CB8}"/>
    <cellStyle name="40% - Accent2 3 6 4" xfId="10450" xr:uid="{29E15249-D998-4447-8347-76B308EADA82}"/>
    <cellStyle name="40% - Accent2 3 7" xfId="2325" xr:uid="{00000000-0005-0000-0000-0000D7040000}"/>
    <cellStyle name="40% - Accent2 3 7 2" xfId="6631" xr:uid="{00000000-0005-0000-0000-0000D8040000}"/>
    <cellStyle name="40% - Accent2 3 7 2 2" xfId="15081" xr:uid="{09B2397F-CE6F-4C9A-8CD9-3D9628B02760}"/>
    <cellStyle name="40% - Accent2 3 7 3" xfId="10863" xr:uid="{3320DDF1-E855-4CE3-A441-465648D65D49}"/>
    <cellStyle name="40% - Accent2 3 8" xfId="4565" xr:uid="{00000000-0005-0000-0000-0000D9040000}"/>
    <cellStyle name="40% - Accent2 3 8 2" xfId="13015" xr:uid="{249B250D-60A5-424D-9ED2-3042FDF37971}"/>
    <cellStyle name="40% - Accent2 3 9" xfId="8797" xr:uid="{228EFF22-72EE-499C-A953-313D6DE6B674}"/>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78E120F7-7BAC-4392-AC54-66F5301A1CA5}"/>
    <cellStyle name="40% - Accent2 4 2 2 3" xfId="11358" xr:uid="{719BD876-FBC0-466F-80D1-24513CB54AC3}"/>
    <cellStyle name="40% - Accent2 4 2 3" xfId="4981" xr:uid="{00000000-0005-0000-0000-0000DE040000}"/>
    <cellStyle name="40% - Accent2 4 2 3 2" xfId="13431" xr:uid="{78DEE9FE-84DF-4FEC-922D-EB310B376805}"/>
    <cellStyle name="40% - Accent2 4 2 4" xfId="9213" xr:uid="{BD4FB8E1-0F10-43E3-91A0-A0FC6E39EC94}"/>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8E4B3F9E-AEE4-4ADB-97C2-9FABBD3BC96D}"/>
    <cellStyle name="40% - Accent2 4 3 2 3" xfId="11771" xr:uid="{7E01DC73-C23C-4855-82DB-3E0FAA06FE78}"/>
    <cellStyle name="40% - Accent2 4 3 3" xfId="5394" xr:uid="{00000000-0005-0000-0000-0000E2040000}"/>
    <cellStyle name="40% - Accent2 4 3 3 2" xfId="13844" xr:uid="{D1DFCDA4-5237-49D1-8F44-6D4FEADFB57A}"/>
    <cellStyle name="40% - Accent2 4 3 4" xfId="9626" xr:uid="{6E539C3B-BCC6-49FF-A1E8-784A639D2FF8}"/>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470E6407-FB8D-4905-AC57-31154528657C}"/>
    <cellStyle name="40% - Accent2 4 4 2 3" xfId="12184" xr:uid="{B1BAE7A2-BE8A-4F6C-B7B7-DCDD296BB9B6}"/>
    <cellStyle name="40% - Accent2 4 4 3" xfId="5807" xr:uid="{00000000-0005-0000-0000-0000E6040000}"/>
    <cellStyle name="40% - Accent2 4 4 3 2" xfId="14257" xr:uid="{6CB4D428-8486-43FD-8376-4004C3E46E58}"/>
    <cellStyle name="40% - Accent2 4 4 4" xfId="10039" xr:uid="{C4D93BDC-CE8F-498E-8903-E41A3F7FBEB0}"/>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1669C2E2-8CA9-4BFD-86C7-07B91E26BDB6}"/>
    <cellStyle name="40% - Accent2 4 5 2 3" xfId="12597" xr:uid="{C989AF67-2206-4408-B19F-756CF6F3CE1D}"/>
    <cellStyle name="40% - Accent2 4 5 3" xfId="6220" xr:uid="{00000000-0005-0000-0000-0000EA040000}"/>
    <cellStyle name="40% - Accent2 4 5 3 2" xfId="14670" xr:uid="{EC5CA296-CD51-4F1B-9BE2-C2DAF990BF64}"/>
    <cellStyle name="40% - Accent2 4 5 4" xfId="10452" xr:uid="{31AA012D-B2D0-4C50-B2E0-00FEBA040A3F}"/>
    <cellStyle name="40% - Accent2 4 6" xfId="2327" xr:uid="{00000000-0005-0000-0000-0000EB040000}"/>
    <cellStyle name="40% - Accent2 4 6 2" xfId="6633" xr:uid="{00000000-0005-0000-0000-0000EC040000}"/>
    <cellStyle name="40% - Accent2 4 6 2 2" xfId="15083" xr:uid="{3A477FC8-0BD8-4910-83FD-6DD63837B0CA}"/>
    <cellStyle name="40% - Accent2 4 6 3" xfId="10865" xr:uid="{5ACB4E8D-6384-4560-97D1-F3100067EBEF}"/>
    <cellStyle name="40% - Accent2 4 7" xfId="4567" xr:uid="{00000000-0005-0000-0000-0000ED040000}"/>
    <cellStyle name="40% - Accent2 4 7 2" xfId="13017" xr:uid="{67167011-3F42-4E23-8461-0C346A1B2227}"/>
    <cellStyle name="40% - Accent2 4 8" xfId="8799" xr:uid="{48943D88-AE83-4BB5-9196-BBA5305BDB8E}"/>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989B5995-0075-4943-AF05-F2FBB847DD23}"/>
    <cellStyle name="40% - Accent2 5 2 3" xfId="11351" xr:uid="{89FFD737-AD91-4BB5-9924-79C14AA20248}"/>
    <cellStyle name="40% - Accent2 5 3" xfId="4974" xr:uid="{00000000-0005-0000-0000-0000F1040000}"/>
    <cellStyle name="40% - Accent2 5 3 2" xfId="13424" xr:uid="{2E2982DA-D98C-4B24-B81D-CD3E6C76E9AF}"/>
    <cellStyle name="40% - Accent2 5 4" xfId="9206" xr:uid="{41621813-07EF-4D63-87FD-7B00024EFAC4}"/>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2987473E-F98E-43DD-A0BB-6DE42ACEC0EC}"/>
    <cellStyle name="40% - Accent2 6 2 3" xfId="11764" xr:uid="{AA89CC9E-98F0-4457-AE30-B03749C93277}"/>
    <cellStyle name="40% - Accent2 6 3" xfId="5387" xr:uid="{00000000-0005-0000-0000-0000F5040000}"/>
    <cellStyle name="40% - Accent2 6 3 2" xfId="13837" xr:uid="{C5787027-08A6-4E5A-8144-DC422C33909E}"/>
    <cellStyle name="40% - Accent2 6 4" xfId="9619" xr:uid="{E41FCA93-CB90-45E2-A298-2416771B6D05}"/>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F62A1F0C-6B7D-4EB9-BF11-A5B27EC70FAE}"/>
    <cellStyle name="40% - Accent2 7 2 3" xfId="12177" xr:uid="{38438D5C-A82F-4659-B4B6-A932A53BC8D6}"/>
    <cellStyle name="40% - Accent2 7 3" xfId="5800" xr:uid="{00000000-0005-0000-0000-0000F9040000}"/>
    <cellStyle name="40% - Accent2 7 3 2" xfId="14250" xr:uid="{4D7BD882-E91A-4597-8C77-94739B0A360A}"/>
    <cellStyle name="40% - Accent2 7 4" xfId="10032" xr:uid="{F91DBF07-FB5F-4C3E-84FD-61D1ABA83F86}"/>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A8E7ED1A-F798-409D-ACA5-CF7EC52AF43F}"/>
    <cellStyle name="40% - Accent2 8 2 3" xfId="12590" xr:uid="{7CF629B3-E27C-4BF4-81C4-86E33E3FCDA1}"/>
    <cellStyle name="40% - Accent2 8 3" xfId="6213" xr:uid="{00000000-0005-0000-0000-0000FD040000}"/>
    <cellStyle name="40% - Accent2 8 3 2" xfId="14663" xr:uid="{24330D7E-F1F4-4BFF-A2FA-FD79118F9DBD}"/>
    <cellStyle name="40% - Accent2 8 4" xfId="10445" xr:uid="{7B4D451A-28F8-4C19-9EA5-A3DBFF603F7C}"/>
    <cellStyle name="40% - Accent2 9" xfId="2320" xr:uid="{00000000-0005-0000-0000-0000FE040000}"/>
    <cellStyle name="40% - Accent2 9 2" xfId="6626" xr:uid="{00000000-0005-0000-0000-0000FF040000}"/>
    <cellStyle name="40% - Accent2 9 2 2" xfId="15076" xr:uid="{8D50ED24-3950-4E17-803D-4C46FC3944E2}"/>
    <cellStyle name="40% - Accent2 9 3" xfId="10858" xr:uid="{095431AD-DC64-424D-8342-8F995447D8A5}"/>
    <cellStyle name="40% - Accent3" xfId="65" builtinId="39" customBuiltin="1"/>
    <cellStyle name="40% - Accent3 10" xfId="4568" xr:uid="{00000000-0005-0000-0000-000001050000}"/>
    <cellStyle name="40% - Accent3 10 2" xfId="13018" xr:uid="{88407254-3655-403B-AD07-32BA0DF050FD}"/>
    <cellStyle name="40% - Accent3 11" xfId="8800" xr:uid="{FD8C8EF9-429F-45F2-BD46-3D75E637607D}"/>
    <cellStyle name="40% - Accent3 2" xfId="66" xr:uid="{00000000-0005-0000-0000-000002050000}"/>
    <cellStyle name="40% - Accent3 2 10" xfId="8801" xr:uid="{8D8FFA52-50BE-44A3-85C7-2DABBF08449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2DB88C0-3090-4971-B78D-6D1208BA0418}"/>
    <cellStyle name="40% - Accent3 2 2 2 2 2 3" xfId="11362" xr:uid="{52D78022-EDDD-4631-AE78-819BF882B71A}"/>
    <cellStyle name="40% - Accent3 2 2 2 2 3" xfId="4985" xr:uid="{00000000-0005-0000-0000-000008050000}"/>
    <cellStyle name="40% - Accent3 2 2 2 2 3 2" xfId="13435" xr:uid="{1F966313-CAC7-41E3-8419-9B547121E18A}"/>
    <cellStyle name="40% - Accent3 2 2 2 2 4" xfId="9217" xr:uid="{BF939EF4-661A-4646-BEC7-DE20C575E47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D1A53EE6-EAF6-4B9F-B1FE-2EA36C5C5383}"/>
    <cellStyle name="40% - Accent3 2 2 2 3 2 3" xfId="11775" xr:uid="{5F49BA66-7940-44F0-A7B2-EA1C3567381E}"/>
    <cellStyle name="40% - Accent3 2 2 2 3 3" xfId="5398" xr:uid="{00000000-0005-0000-0000-00000C050000}"/>
    <cellStyle name="40% - Accent3 2 2 2 3 3 2" xfId="13848" xr:uid="{465E460C-652D-433C-BF98-F46918F31499}"/>
    <cellStyle name="40% - Accent3 2 2 2 3 4" xfId="9630" xr:uid="{BF40BADE-6FC5-4B8E-A8A1-825DABF7975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7CADFDA3-CA0B-4D0A-B04B-D7D39B8C79BF}"/>
    <cellStyle name="40% - Accent3 2 2 2 4 2 3" xfId="12188" xr:uid="{82B35A35-96F3-4E1A-A353-8182478C6100}"/>
    <cellStyle name="40% - Accent3 2 2 2 4 3" xfId="5811" xr:uid="{00000000-0005-0000-0000-000010050000}"/>
    <cellStyle name="40% - Accent3 2 2 2 4 3 2" xfId="14261" xr:uid="{118B01E4-4DA4-44F8-9375-AC6F0CC4E612}"/>
    <cellStyle name="40% - Accent3 2 2 2 4 4" xfId="10043" xr:uid="{140CB5E5-BE2F-4B1B-B263-E8CAFED7E35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C0AC5A04-2B25-49E4-9C36-FB1F5F7E4A1C}"/>
    <cellStyle name="40% - Accent3 2 2 2 5 2 3" xfId="12601" xr:uid="{A5C40867-771A-42C2-93BF-1F73F02BE381}"/>
    <cellStyle name="40% - Accent3 2 2 2 5 3" xfId="6224" xr:uid="{00000000-0005-0000-0000-000014050000}"/>
    <cellStyle name="40% - Accent3 2 2 2 5 3 2" xfId="14674" xr:uid="{2C82CC44-6497-49B2-A57D-BA17C47F1293}"/>
    <cellStyle name="40% - Accent3 2 2 2 5 4" xfId="10456" xr:uid="{8039A06C-E2D5-4A0C-9CE3-8357BD540E71}"/>
    <cellStyle name="40% - Accent3 2 2 2 6" xfId="2331" xr:uid="{00000000-0005-0000-0000-000015050000}"/>
    <cellStyle name="40% - Accent3 2 2 2 6 2" xfId="6637" xr:uid="{00000000-0005-0000-0000-000016050000}"/>
    <cellStyle name="40% - Accent3 2 2 2 6 2 2" xfId="15087" xr:uid="{6BB68B9A-D903-43F2-B042-682A4B341D5B}"/>
    <cellStyle name="40% - Accent3 2 2 2 6 3" xfId="10869" xr:uid="{FC5E3FBB-E74B-443B-932E-C0BC75A4E639}"/>
    <cellStyle name="40% - Accent3 2 2 2 7" xfId="4571" xr:uid="{00000000-0005-0000-0000-000017050000}"/>
    <cellStyle name="40% - Accent3 2 2 2 7 2" xfId="13021" xr:uid="{934F845A-6AEE-4EE0-9203-B0816CEFC525}"/>
    <cellStyle name="40% - Accent3 2 2 2 8" xfId="8803" xr:uid="{2105E58A-DCF7-49B7-8FCA-4324C919C0B5}"/>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D0BDA831-A28B-4A29-81D4-C7BBFD1B2CF7}"/>
    <cellStyle name="40% - Accent3 2 2 3 2 3" xfId="11361" xr:uid="{3EB7DCA0-7A79-490C-B726-AB892740B5A3}"/>
    <cellStyle name="40% - Accent3 2 2 3 3" xfId="4984" xr:uid="{00000000-0005-0000-0000-00001B050000}"/>
    <cellStyle name="40% - Accent3 2 2 3 3 2" xfId="13434" xr:uid="{E835B3DB-9C19-4643-9E58-7D89615657A9}"/>
    <cellStyle name="40% - Accent3 2 2 3 4" xfId="9216" xr:uid="{9EBF4897-46AF-483C-A555-7642487B78BF}"/>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99ADFC04-CED8-405A-BEB8-22A6A7D27414}"/>
    <cellStyle name="40% - Accent3 2 2 4 2 3" xfId="11774" xr:uid="{66D5F982-EDF5-4C9C-9CE8-11D2DE3D6249}"/>
    <cellStyle name="40% - Accent3 2 2 4 3" xfId="5397" xr:uid="{00000000-0005-0000-0000-00001F050000}"/>
    <cellStyle name="40% - Accent3 2 2 4 3 2" xfId="13847" xr:uid="{6209F6AA-C5B8-4106-804D-63D2C1EA4A7A}"/>
    <cellStyle name="40% - Accent3 2 2 4 4" xfId="9629" xr:uid="{3F4AD6BF-E5E7-46C7-95DE-CC65E57BDF9A}"/>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5CF96A7-2538-419A-97ED-15ADC9ADA97E}"/>
    <cellStyle name="40% - Accent3 2 2 5 2 3" xfId="12187" xr:uid="{A497250F-545F-4FCF-A0FB-6A86F7BDEEA1}"/>
    <cellStyle name="40% - Accent3 2 2 5 3" xfId="5810" xr:uid="{00000000-0005-0000-0000-000023050000}"/>
    <cellStyle name="40% - Accent3 2 2 5 3 2" xfId="14260" xr:uid="{71D73E30-D082-4433-86C2-BAC6FD6B87E2}"/>
    <cellStyle name="40% - Accent3 2 2 5 4" xfId="10042" xr:uid="{6C80CF6E-448F-4F33-9F53-37E655D0C51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DC0C0052-CD92-44A4-A273-49E6B0A2D701}"/>
    <cellStyle name="40% - Accent3 2 2 6 2 3" xfId="12600" xr:uid="{5425B6CB-A6C5-44F3-BD72-D76A7DAB4C18}"/>
    <cellStyle name="40% - Accent3 2 2 6 3" xfId="6223" xr:uid="{00000000-0005-0000-0000-000027050000}"/>
    <cellStyle name="40% - Accent3 2 2 6 3 2" xfId="14673" xr:uid="{3BDEB03D-396F-4995-ACA4-29DE55139766}"/>
    <cellStyle name="40% - Accent3 2 2 6 4" xfId="10455" xr:uid="{E94AA2E4-8994-4F42-9F46-D4EECB0FE6CA}"/>
    <cellStyle name="40% - Accent3 2 2 7" xfId="2330" xr:uid="{00000000-0005-0000-0000-000028050000}"/>
    <cellStyle name="40% - Accent3 2 2 7 2" xfId="6636" xr:uid="{00000000-0005-0000-0000-000029050000}"/>
    <cellStyle name="40% - Accent3 2 2 7 2 2" xfId="15086" xr:uid="{0D647F48-E97B-4639-8A57-4D1CB01BCD1E}"/>
    <cellStyle name="40% - Accent3 2 2 7 3" xfId="10868" xr:uid="{5203FF4E-0900-430B-BDBE-3559C3557CD7}"/>
    <cellStyle name="40% - Accent3 2 2 8" xfId="4570" xr:uid="{00000000-0005-0000-0000-00002A050000}"/>
    <cellStyle name="40% - Accent3 2 2 8 2" xfId="13020" xr:uid="{7A0FD7B8-8D20-4CAC-A2E5-04B9AD10F65F}"/>
    <cellStyle name="40% - Accent3 2 2 9" xfId="8802" xr:uid="{8EC9CA55-B004-466E-901A-9E1355E2E33E}"/>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DFF9E1CF-F342-40B7-9A47-9B36FDABEA1F}"/>
    <cellStyle name="40% - Accent3 2 3 2 2 3" xfId="11363" xr:uid="{F6D790FE-265C-4068-8BC5-C2E2D138E5EC}"/>
    <cellStyle name="40% - Accent3 2 3 2 3" xfId="4986" xr:uid="{00000000-0005-0000-0000-00002F050000}"/>
    <cellStyle name="40% - Accent3 2 3 2 3 2" xfId="13436" xr:uid="{989C429D-9A25-420A-9113-F6A9567A7D1C}"/>
    <cellStyle name="40% - Accent3 2 3 2 4" xfId="9218" xr:uid="{66FE52A1-E1CD-4BD2-ACB9-81C2EDBCB9E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F378E063-4E83-4E9B-8295-A9ED3A906686}"/>
    <cellStyle name="40% - Accent3 2 3 3 2 3" xfId="11776" xr:uid="{C5FAFB01-FB7B-4382-A9C8-B87952BAB85A}"/>
    <cellStyle name="40% - Accent3 2 3 3 3" xfId="5399" xr:uid="{00000000-0005-0000-0000-000033050000}"/>
    <cellStyle name="40% - Accent3 2 3 3 3 2" xfId="13849" xr:uid="{4D0D8263-61A3-4BB9-8DE9-B4D56F382014}"/>
    <cellStyle name="40% - Accent3 2 3 3 4" xfId="9631" xr:uid="{1918E2C4-CA30-4467-8394-70AE762F6776}"/>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2DD65508-7D0F-47DA-B983-C7906AF9A9CB}"/>
    <cellStyle name="40% - Accent3 2 3 4 2 3" xfId="12189" xr:uid="{4E9338FD-C692-448A-A671-DAD08EDDD686}"/>
    <cellStyle name="40% - Accent3 2 3 4 3" xfId="5812" xr:uid="{00000000-0005-0000-0000-000037050000}"/>
    <cellStyle name="40% - Accent3 2 3 4 3 2" xfId="14262" xr:uid="{C02F9B87-49D7-488A-9FFB-41BB39868F68}"/>
    <cellStyle name="40% - Accent3 2 3 4 4" xfId="10044" xr:uid="{7D500154-1E14-4839-981D-79655F01C690}"/>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14198709-7EB0-4DF0-84DD-987A79C8B202}"/>
    <cellStyle name="40% - Accent3 2 3 5 2 3" xfId="12602" xr:uid="{3545FF58-641E-4E92-A860-1036F31C394E}"/>
    <cellStyle name="40% - Accent3 2 3 5 3" xfId="6225" xr:uid="{00000000-0005-0000-0000-00003B050000}"/>
    <cellStyle name="40% - Accent3 2 3 5 3 2" xfId="14675" xr:uid="{F2293A2C-5102-4EA5-902B-2BDD91308162}"/>
    <cellStyle name="40% - Accent3 2 3 5 4" xfId="10457" xr:uid="{0C58A4FB-B926-4F6C-8EFF-C19E1C5A8241}"/>
    <cellStyle name="40% - Accent3 2 3 6" xfId="2332" xr:uid="{00000000-0005-0000-0000-00003C050000}"/>
    <cellStyle name="40% - Accent3 2 3 6 2" xfId="6638" xr:uid="{00000000-0005-0000-0000-00003D050000}"/>
    <cellStyle name="40% - Accent3 2 3 6 2 2" xfId="15088" xr:uid="{25F0EC79-0306-476A-A8A5-FD9ABC678D8D}"/>
    <cellStyle name="40% - Accent3 2 3 6 3" xfId="10870" xr:uid="{1E7BE859-592A-407C-8F09-6FEEE1DEE0AF}"/>
    <cellStyle name="40% - Accent3 2 3 7" xfId="4572" xr:uid="{00000000-0005-0000-0000-00003E050000}"/>
    <cellStyle name="40% - Accent3 2 3 7 2" xfId="13022" xr:uid="{2995FCBC-1312-4730-AD78-CD11E67DFA00}"/>
    <cellStyle name="40% - Accent3 2 3 8" xfId="8804" xr:uid="{9AE7A724-C08D-49DC-9B12-FC8B74C821B8}"/>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26F1EFC2-81DA-4653-92E6-C8A758AC7BB2}"/>
    <cellStyle name="40% - Accent3 2 4 2 3" xfId="11360" xr:uid="{6E832B99-0735-4DB3-BB05-607BB17FD03D}"/>
    <cellStyle name="40% - Accent3 2 4 3" xfId="4983" xr:uid="{00000000-0005-0000-0000-000042050000}"/>
    <cellStyle name="40% - Accent3 2 4 3 2" xfId="13433" xr:uid="{670CC9AC-4F44-4BA9-A8FC-F31D61889023}"/>
    <cellStyle name="40% - Accent3 2 4 4" xfId="9215" xr:uid="{BCDC785E-630D-43AC-AFC8-09287B6F5259}"/>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BEB2069B-40AC-4D15-A14F-93FA7EE875F7}"/>
    <cellStyle name="40% - Accent3 2 5 2 3" xfId="11773" xr:uid="{90815A46-520A-457B-BE64-A7250BB068BE}"/>
    <cellStyle name="40% - Accent3 2 5 3" xfId="5396" xr:uid="{00000000-0005-0000-0000-000046050000}"/>
    <cellStyle name="40% - Accent3 2 5 3 2" xfId="13846" xr:uid="{D3728175-CF77-4F72-80BB-AE7A8550AD80}"/>
    <cellStyle name="40% - Accent3 2 5 4" xfId="9628" xr:uid="{90FD9D3D-09E7-468B-B331-059D16536967}"/>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CB63EB03-9D2D-4446-A3A2-6E2FD6D656D9}"/>
    <cellStyle name="40% - Accent3 2 6 2 3" xfId="12186" xr:uid="{91A33416-8002-40C7-A9FF-A5CC267E9FEA}"/>
    <cellStyle name="40% - Accent3 2 6 3" xfId="5809" xr:uid="{00000000-0005-0000-0000-00004A050000}"/>
    <cellStyle name="40% - Accent3 2 6 3 2" xfId="14259" xr:uid="{6AFE0E31-8E67-471E-BF87-3A3A818ABEFE}"/>
    <cellStyle name="40% - Accent3 2 6 4" xfId="10041" xr:uid="{47E696B5-5A1F-4AC3-BE1A-850F5A5E6C20}"/>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9782808C-83A5-4697-891A-98F8489E12CE}"/>
    <cellStyle name="40% - Accent3 2 7 2 3" xfId="12599" xr:uid="{6C52A1F8-C16D-44E1-B301-82A1158750BD}"/>
    <cellStyle name="40% - Accent3 2 7 3" xfId="6222" xr:uid="{00000000-0005-0000-0000-00004E050000}"/>
    <cellStyle name="40% - Accent3 2 7 3 2" xfId="14672" xr:uid="{B82BD3E6-E41F-47D7-B200-38FBC276CA15}"/>
    <cellStyle name="40% - Accent3 2 7 4" xfId="10454" xr:uid="{92B85563-B4EC-404A-B026-158BD0B0D0EB}"/>
    <cellStyle name="40% - Accent3 2 8" xfId="2329" xr:uid="{00000000-0005-0000-0000-00004F050000}"/>
    <cellStyle name="40% - Accent3 2 8 2" xfId="6635" xr:uid="{00000000-0005-0000-0000-000050050000}"/>
    <cellStyle name="40% - Accent3 2 8 2 2" xfId="15085" xr:uid="{797AC5B2-DE02-410B-BF50-16DDDE345611}"/>
    <cellStyle name="40% - Accent3 2 8 3" xfId="10867" xr:uid="{8CB0E665-A470-4EBD-884C-0BD5FCE776DF}"/>
    <cellStyle name="40% - Accent3 2 9" xfId="4569" xr:uid="{00000000-0005-0000-0000-000051050000}"/>
    <cellStyle name="40% - Accent3 2 9 2" xfId="13019" xr:uid="{698BDDA0-7FD3-40EA-BA99-8E23689E97B6}"/>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A3DED601-500A-4E99-AE38-885B433ECBEF}"/>
    <cellStyle name="40% - Accent3 3 2 2 2 3" xfId="11365" xr:uid="{307F0357-4B26-4EA6-B1B4-C0D5F18DB902}"/>
    <cellStyle name="40% - Accent3 3 2 2 3" xfId="4988" xr:uid="{00000000-0005-0000-0000-000057050000}"/>
    <cellStyle name="40% - Accent3 3 2 2 3 2" xfId="13438" xr:uid="{E1A410BB-84D6-4EB3-AD9F-BCD46C190328}"/>
    <cellStyle name="40% - Accent3 3 2 2 4" xfId="9220" xr:uid="{0ED7E5EB-BB4A-4F09-9E42-5E52AF484C52}"/>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2700E3F3-8224-40F7-9926-62A0D42A8EEC}"/>
    <cellStyle name="40% - Accent3 3 2 3 2 3" xfId="11778" xr:uid="{4C8C10C6-29E0-47B4-9F32-BAFA9025001A}"/>
    <cellStyle name="40% - Accent3 3 2 3 3" xfId="5401" xr:uid="{00000000-0005-0000-0000-00005B050000}"/>
    <cellStyle name="40% - Accent3 3 2 3 3 2" xfId="13851" xr:uid="{636A2D2C-8A60-4946-8F86-C00BA5AD100D}"/>
    <cellStyle name="40% - Accent3 3 2 3 4" xfId="9633" xr:uid="{03D996F1-67C0-4874-9984-A09D3ED293D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ADAD73C7-4FAD-4CFE-8082-B09CEFD0ADE0}"/>
    <cellStyle name="40% - Accent3 3 2 4 2 3" xfId="12191" xr:uid="{08CBD6CC-ABC0-4DCC-812A-4FE8BBF18F20}"/>
    <cellStyle name="40% - Accent3 3 2 4 3" xfId="5814" xr:uid="{00000000-0005-0000-0000-00005F050000}"/>
    <cellStyle name="40% - Accent3 3 2 4 3 2" xfId="14264" xr:uid="{9E502225-79DA-40D8-9594-2DF7BA20421D}"/>
    <cellStyle name="40% - Accent3 3 2 4 4" xfId="10046" xr:uid="{A1C1987F-3EF1-4A02-A326-846ACDEB9BAF}"/>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DA2E0199-D13C-4801-89DF-864758683655}"/>
    <cellStyle name="40% - Accent3 3 2 5 2 3" xfId="12604" xr:uid="{F97109F9-71E0-4671-9773-BA197180E0DF}"/>
    <cellStyle name="40% - Accent3 3 2 5 3" xfId="6227" xr:uid="{00000000-0005-0000-0000-000063050000}"/>
    <cellStyle name="40% - Accent3 3 2 5 3 2" xfId="14677" xr:uid="{6F07F623-636D-4452-ABFD-DD3CCBD5750B}"/>
    <cellStyle name="40% - Accent3 3 2 5 4" xfId="10459" xr:uid="{553B9DBB-4FFE-4A5A-9A2F-65A3EE758023}"/>
    <cellStyle name="40% - Accent3 3 2 6" xfId="2334" xr:uid="{00000000-0005-0000-0000-000064050000}"/>
    <cellStyle name="40% - Accent3 3 2 6 2" xfId="6640" xr:uid="{00000000-0005-0000-0000-000065050000}"/>
    <cellStyle name="40% - Accent3 3 2 6 2 2" xfId="15090" xr:uid="{69265BC4-0D6D-4FA7-AB0A-EE3300F16BEA}"/>
    <cellStyle name="40% - Accent3 3 2 6 3" xfId="10872" xr:uid="{536569E6-29FB-427A-B5AE-A7E87AE315E6}"/>
    <cellStyle name="40% - Accent3 3 2 7" xfId="4574" xr:uid="{00000000-0005-0000-0000-000066050000}"/>
    <cellStyle name="40% - Accent3 3 2 7 2" xfId="13024" xr:uid="{E51ED9C5-8711-4F53-B772-003F549EF3BD}"/>
    <cellStyle name="40% - Accent3 3 2 8" xfId="8806" xr:uid="{305996A9-CDFF-44E3-824D-4403C1615BE5}"/>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CCF5D1EA-DE40-45A1-98AD-F8852D2A72FF}"/>
    <cellStyle name="40% - Accent3 3 3 2 3" xfId="11364" xr:uid="{49495582-C4CC-4BDD-9866-91D0412265AC}"/>
    <cellStyle name="40% - Accent3 3 3 3" xfId="4987" xr:uid="{00000000-0005-0000-0000-00006A050000}"/>
    <cellStyle name="40% - Accent3 3 3 3 2" xfId="13437" xr:uid="{38B8B7F1-C6AE-4452-90AD-604724465A33}"/>
    <cellStyle name="40% - Accent3 3 3 4" xfId="9219" xr:uid="{983F5E10-90A0-4BCD-A209-D13CFA2409DE}"/>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7882FD0F-CEEB-4AA9-AF7D-FA28A6AECA10}"/>
    <cellStyle name="40% - Accent3 3 4 2 3" xfId="11777" xr:uid="{57DBE639-29B1-41E2-ACD2-CC9B33F3A76A}"/>
    <cellStyle name="40% - Accent3 3 4 3" xfId="5400" xr:uid="{00000000-0005-0000-0000-00006E050000}"/>
    <cellStyle name="40% - Accent3 3 4 3 2" xfId="13850" xr:uid="{1954D473-5E56-4A7F-BD71-86AAFCF0F7EC}"/>
    <cellStyle name="40% - Accent3 3 4 4" xfId="9632" xr:uid="{335E7FA0-0FC0-4DFB-992E-B7679D8A344C}"/>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5F7348CA-630C-48E8-BDE0-8FB632DAFAA7}"/>
    <cellStyle name="40% - Accent3 3 5 2 3" xfId="12190" xr:uid="{360A4A00-6DE6-47FE-AD5F-C86A5FD84E13}"/>
    <cellStyle name="40% - Accent3 3 5 3" xfId="5813" xr:uid="{00000000-0005-0000-0000-000072050000}"/>
    <cellStyle name="40% - Accent3 3 5 3 2" xfId="14263" xr:uid="{1AB0DB80-43CF-4D60-A9E7-CB093283F3A9}"/>
    <cellStyle name="40% - Accent3 3 5 4" xfId="10045" xr:uid="{CF983A21-5114-408D-A3A7-65F8DB30CB12}"/>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5D57D464-493B-4997-8E63-24DD1ABEE769}"/>
    <cellStyle name="40% - Accent3 3 6 2 3" xfId="12603" xr:uid="{2259FC63-2E1F-43AC-A8A2-4B68A8CAB5D6}"/>
    <cellStyle name="40% - Accent3 3 6 3" xfId="6226" xr:uid="{00000000-0005-0000-0000-000076050000}"/>
    <cellStyle name="40% - Accent3 3 6 3 2" xfId="14676" xr:uid="{D304AAB1-A38B-4F11-99A0-8274812285B3}"/>
    <cellStyle name="40% - Accent3 3 6 4" xfId="10458" xr:uid="{CB38DCEE-F8AB-4CF0-A211-3C6077597C67}"/>
    <cellStyle name="40% - Accent3 3 7" xfId="2333" xr:uid="{00000000-0005-0000-0000-000077050000}"/>
    <cellStyle name="40% - Accent3 3 7 2" xfId="6639" xr:uid="{00000000-0005-0000-0000-000078050000}"/>
    <cellStyle name="40% - Accent3 3 7 2 2" xfId="15089" xr:uid="{24DEC905-B5C8-48FA-B09E-F224039BB902}"/>
    <cellStyle name="40% - Accent3 3 7 3" xfId="10871" xr:uid="{73451614-556A-4CBB-AEDF-C536CB452056}"/>
    <cellStyle name="40% - Accent3 3 8" xfId="4573" xr:uid="{00000000-0005-0000-0000-000079050000}"/>
    <cellStyle name="40% - Accent3 3 8 2" xfId="13023" xr:uid="{CB6B3436-311C-427D-950B-22F21C2ABD67}"/>
    <cellStyle name="40% - Accent3 3 9" xfId="8805" xr:uid="{774B9BD8-09C4-4A81-B0CC-CBB26E257695}"/>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8AEBE9D2-40BE-4CDD-BFCC-25807D2728E4}"/>
    <cellStyle name="40% - Accent3 4 2 2 3" xfId="11366" xr:uid="{D4AAEC1B-ECB2-4934-9DDD-905E53BE5C25}"/>
    <cellStyle name="40% - Accent3 4 2 3" xfId="4989" xr:uid="{00000000-0005-0000-0000-00007E050000}"/>
    <cellStyle name="40% - Accent3 4 2 3 2" xfId="13439" xr:uid="{88F0716D-C249-4CD6-9F6F-CB18A508880D}"/>
    <cellStyle name="40% - Accent3 4 2 4" xfId="9221" xr:uid="{DB8BF22D-BB73-47AC-B9C2-B084950545EB}"/>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7C6BEFE9-DE9D-4258-9CED-7294FF7F0998}"/>
    <cellStyle name="40% - Accent3 4 3 2 3" xfId="11779" xr:uid="{CE624688-5940-47A0-A25F-5F80C0BCD0B3}"/>
    <cellStyle name="40% - Accent3 4 3 3" xfId="5402" xr:uid="{00000000-0005-0000-0000-000082050000}"/>
    <cellStyle name="40% - Accent3 4 3 3 2" xfId="13852" xr:uid="{025DF75F-5D4C-402D-AD68-5E479AA9EC7A}"/>
    <cellStyle name="40% - Accent3 4 3 4" xfId="9634" xr:uid="{6B2067CD-6FAF-45EA-98EC-F4DBB3B7F927}"/>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05C0716B-BD70-4501-8B08-5DD31856E4F1}"/>
    <cellStyle name="40% - Accent3 4 4 2 3" xfId="12192" xr:uid="{29EB4878-4BDE-4529-88CD-D5DB135B9EA3}"/>
    <cellStyle name="40% - Accent3 4 4 3" xfId="5815" xr:uid="{00000000-0005-0000-0000-000086050000}"/>
    <cellStyle name="40% - Accent3 4 4 3 2" xfId="14265" xr:uid="{C7B7D516-F981-4734-93E7-B15CE2E86ABF}"/>
    <cellStyle name="40% - Accent3 4 4 4" xfId="10047" xr:uid="{E7652C67-FBBC-4CE7-AA40-CF52D3A2EC04}"/>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2AB9A3DC-A2DE-436F-AFC1-CC1C26A76110}"/>
    <cellStyle name="40% - Accent3 4 5 2 3" xfId="12605" xr:uid="{BF144939-BBA6-44D6-85E4-B98957FD8232}"/>
    <cellStyle name="40% - Accent3 4 5 3" xfId="6228" xr:uid="{00000000-0005-0000-0000-00008A050000}"/>
    <cellStyle name="40% - Accent3 4 5 3 2" xfId="14678" xr:uid="{FB53473B-E70B-420A-912F-3F82B96277FB}"/>
    <cellStyle name="40% - Accent3 4 5 4" xfId="10460" xr:uid="{A9439493-E555-4822-A082-114B1C15F96B}"/>
    <cellStyle name="40% - Accent3 4 6" xfId="2335" xr:uid="{00000000-0005-0000-0000-00008B050000}"/>
    <cellStyle name="40% - Accent3 4 6 2" xfId="6641" xr:uid="{00000000-0005-0000-0000-00008C050000}"/>
    <cellStyle name="40% - Accent3 4 6 2 2" xfId="15091" xr:uid="{061B41F5-A2DE-4D5E-8B95-01F65A1F5346}"/>
    <cellStyle name="40% - Accent3 4 6 3" xfId="10873" xr:uid="{37B2EFAB-9B71-4F66-B253-C23D93670A26}"/>
    <cellStyle name="40% - Accent3 4 7" xfId="4575" xr:uid="{00000000-0005-0000-0000-00008D050000}"/>
    <cellStyle name="40% - Accent3 4 7 2" xfId="13025" xr:uid="{D930A401-9213-4F67-BB1B-8BF72515ACA6}"/>
    <cellStyle name="40% - Accent3 4 8" xfId="8807" xr:uid="{F7F70698-34ED-4C28-BB3D-4CE8D6B14833}"/>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EBD6E3C4-8397-42F0-BD18-17CA09BC5BD9}"/>
    <cellStyle name="40% - Accent3 5 2 3" xfId="11359" xr:uid="{0127D27E-8E6A-4069-AFC5-F0FA48409D14}"/>
    <cellStyle name="40% - Accent3 5 3" xfId="4982" xr:uid="{00000000-0005-0000-0000-000091050000}"/>
    <cellStyle name="40% - Accent3 5 3 2" xfId="13432" xr:uid="{86F6EE41-A8CA-43FF-B529-5BB9089C7F8D}"/>
    <cellStyle name="40% - Accent3 5 4" xfId="9214" xr:uid="{41D7A49F-5C7B-419F-8491-E03A74A5B849}"/>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692385CE-CD6F-490C-BB41-8633FE01F478}"/>
    <cellStyle name="40% - Accent3 6 2 3" xfId="11772" xr:uid="{ACCA3BFA-4341-4E1D-AC05-FB7DF6F95E6F}"/>
    <cellStyle name="40% - Accent3 6 3" xfId="5395" xr:uid="{00000000-0005-0000-0000-000095050000}"/>
    <cellStyle name="40% - Accent3 6 3 2" xfId="13845" xr:uid="{94120C3B-72FF-4F71-91D9-217C582A2F23}"/>
    <cellStyle name="40% - Accent3 6 4" xfId="9627" xr:uid="{DCA4BCB6-D8A2-4F8E-9509-2072D8624589}"/>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13F002E2-A8CA-4DCF-B8E6-EE3B72867218}"/>
    <cellStyle name="40% - Accent3 7 2 3" xfId="12185" xr:uid="{300B9E63-2D49-4871-9F49-363A12ADDEE1}"/>
    <cellStyle name="40% - Accent3 7 3" xfId="5808" xr:uid="{00000000-0005-0000-0000-000099050000}"/>
    <cellStyle name="40% - Accent3 7 3 2" xfId="14258" xr:uid="{01147B87-BC42-4ABE-B03F-A9D86A18F598}"/>
    <cellStyle name="40% - Accent3 7 4" xfId="10040" xr:uid="{84C135DF-C161-4182-A442-7091E993ECD1}"/>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09F8B07F-CDCC-444D-B7D9-14CC8016CD85}"/>
    <cellStyle name="40% - Accent3 8 2 3" xfId="12598" xr:uid="{971E613C-E20C-4DCC-960D-88AC47AFA84B}"/>
    <cellStyle name="40% - Accent3 8 3" xfId="6221" xr:uid="{00000000-0005-0000-0000-00009D050000}"/>
    <cellStyle name="40% - Accent3 8 3 2" xfId="14671" xr:uid="{2FCCEC22-4DB6-489B-BBD3-3293A039251E}"/>
    <cellStyle name="40% - Accent3 8 4" xfId="10453" xr:uid="{E5705549-1099-44D5-89DB-47C2751340CC}"/>
    <cellStyle name="40% - Accent3 9" xfId="2328" xr:uid="{00000000-0005-0000-0000-00009E050000}"/>
    <cellStyle name="40% - Accent3 9 2" xfId="6634" xr:uid="{00000000-0005-0000-0000-00009F050000}"/>
    <cellStyle name="40% - Accent3 9 2 2" xfId="15084" xr:uid="{F4E76269-F522-440F-B75B-1E855021BC64}"/>
    <cellStyle name="40% - Accent3 9 3" xfId="10866" xr:uid="{D15ADD6A-08CE-47FE-90BD-AB51D336D486}"/>
    <cellStyle name="40% - Accent4" xfId="73" builtinId="43" customBuiltin="1"/>
    <cellStyle name="40% - Accent4 10" xfId="4576" xr:uid="{00000000-0005-0000-0000-0000A1050000}"/>
    <cellStyle name="40% - Accent4 10 2" xfId="13026" xr:uid="{8B193D7F-F74D-45B2-9249-ADF0D34E3367}"/>
    <cellStyle name="40% - Accent4 11" xfId="8808" xr:uid="{6410920E-633D-4149-AD7A-E625F34ABDC7}"/>
    <cellStyle name="40% - Accent4 2" xfId="74" xr:uid="{00000000-0005-0000-0000-0000A2050000}"/>
    <cellStyle name="40% - Accent4 2 10" xfId="8809" xr:uid="{6A885353-59A3-4F9B-8985-A1FF25330AD3}"/>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20E85E24-6F2B-40BB-A1F6-F56F548CD0D7}"/>
    <cellStyle name="40% - Accent4 2 2 2 2 2 3" xfId="11370" xr:uid="{4FB9930A-4E45-4054-93D4-BBE67BA8F067}"/>
    <cellStyle name="40% - Accent4 2 2 2 2 3" xfId="4993" xr:uid="{00000000-0005-0000-0000-0000A8050000}"/>
    <cellStyle name="40% - Accent4 2 2 2 2 3 2" xfId="13443" xr:uid="{EE67F74E-E7E2-4D09-8A6D-B27091ED65B4}"/>
    <cellStyle name="40% - Accent4 2 2 2 2 4" xfId="9225" xr:uid="{C0F1CD1F-0D34-4106-AEEC-B769BC68610F}"/>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0D885193-7BF1-4566-80CA-251B1B530FB6}"/>
    <cellStyle name="40% - Accent4 2 2 2 3 2 3" xfId="11783" xr:uid="{AFAC42DF-6BE0-4C74-8C7A-3E6B26E696E7}"/>
    <cellStyle name="40% - Accent4 2 2 2 3 3" xfId="5406" xr:uid="{00000000-0005-0000-0000-0000AC050000}"/>
    <cellStyle name="40% - Accent4 2 2 2 3 3 2" xfId="13856" xr:uid="{A987C572-A082-49E5-BF49-65D40A433C07}"/>
    <cellStyle name="40% - Accent4 2 2 2 3 4" xfId="9638" xr:uid="{2EB8C934-8640-4069-9D15-5F500C1897A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98F53D09-931E-44EF-8C6E-BE8EE245D05B}"/>
    <cellStyle name="40% - Accent4 2 2 2 4 2 3" xfId="12196" xr:uid="{0AD21AE4-5A97-45C2-9A64-6F33D77A1DD1}"/>
    <cellStyle name="40% - Accent4 2 2 2 4 3" xfId="5819" xr:uid="{00000000-0005-0000-0000-0000B0050000}"/>
    <cellStyle name="40% - Accent4 2 2 2 4 3 2" xfId="14269" xr:uid="{31BA0953-5146-433A-938F-759E6E005E04}"/>
    <cellStyle name="40% - Accent4 2 2 2 4 4" xfId="10051" xr:uid="{F37441B7-384F-41CE-81EF-C941ECF3B9FC}"/>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0A7C5920-0C0E-4236-B435-B3513CE01A02}"/>
    <cellStyle name="40% - Accent4 2 2 2 5 2 3" xfId="12609" xr:uid="{33A4E512-90F4-412F-940E-B8A8DECEB9D1}"/>
    <cellStyle name="40% - Accent4 2 2 2 5 3" xfId="6232" xr:uid="{00000000-0005-0000-0000-0000B4050000}"/>
    <cellStyle name="40% - Accent4 2 2 2 5 3 2" xfId="14682" xr:uid="{9C522ADA-F3C0-45E9-9EB3-D0B1A3D3EB21}"/>
    <cellStyle name="40% - Accent4 2 2 2 5 4" xfId="10464" xr:uid="{0BA75542-5447-4F75-B80E-4049299D07C9}"/>
    <cellStyle name="40% - Accent4 2 2 2 6" xfId="2339" xr:uid="{00000000-0005-0000-0000-0000B5050000}"/>
    <cellStyle name="40% - Accent4 2 2 2 6 2" xfId="6645" xr:uid="{00000000-0005-0000-0000-0000B6050000}"/>
    <cellStyle name="40% - Accent4 2 2 2 6 2 2" xfId="15095" xr:uid="{30E2352C-7C9E-496A-AF0E-FD4EE8C1F110}"/>
    <cellStyle name="40% - Accent4 2 2 2 6 3" xfId="10877" xr:uid="{D59A86C3-2B8C-442C-892E-E3194CFBCE0D}"/>
    <cellStyle name="40% - Accent4 2 2 2 7" xfId="4579" xr:uid="{00000000-0005-0000-0000-0000B7050000}"/>
    <cellStyle name="40% - Accent4 2 2 2 7 2" xfId="13029" xr:uid="{51BFEE5F-D097-4B20-A39D-F6AB075A24A3}"/>
    <cellStyle name="40% - Accent4 2 2 2 8" xfId="8811" xr:uid="{52959BA4-A8E7-4522-82D0-CECDFDF1BD0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A62A28E3-9E76-44D1-A06F-F16648E651C9}"/>
    <cellStyle name="40% - Accent4 2 2 3 2 3" xfId="11369" xr:uid="{851AE3B1-2E36-4FDC-A45D-28C47E0773D7}"/>
    <cellStyle name="40% - Accent4 2 2 3 3" xfId="4992" xr:uid="{00000000-0005-0000-0000-0000BB050000}"/>
    <cellStyle name="40% - Accent4 2 2 3 3 2" xfId="13442" xr:uid="{60575396-6C2B-444C-A8CD-4CF7DFA1E497}"/>
    <cellStyle name="40% - Accent4 2 2 3 4" xfId="9224" xr:uid="{7A39739D-51D8-4D41-9C28-E73E06FE898C}"/>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099C5E72-7AA7-4DA1-A3E1-F1042B2794C8}"/>
    <cellStyle name="40% - Accent4 2 2 4 2 3" xfId="11782" xr:uid="{5DBBF1E7-18AC-4887-ABBC-01D03B46E68E}"/>
    <cellStyle name="40% - Accent4 2 2 4 3" xfId="5405" xr:uid="{00000000-0005-0000-0000-0000BF050000}"/>
    <cellStyle name="40% - Accent4 2 2 4 3 2" xfId="13855" xr:uid="{A34D1729-0F89-4A64-BB9F-9E43D05D0101}"/>
    <cellStyle name="40% - Accent4 2 2 4 4" xfId="9637" xr:uid="{F2701EE4-3909-414E-96AA-1B8062DA109A}"/>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99055CD0-FC66-46D8-A554-A6B7FE871A74}"/>
    <cellStyle name="40% - Accent4 2 2 5 2 3" xfId="12195" xr:uid="{4EF076CC-224A-4084-A54F-CA5386AE231C}"/>
    <cellStyle name="40% - Accent4 2 2 5 3" xfId="5818" xr:uid="{00000000-0005-0000-0000-0000C3050000}"/>
    <cellStyle name="40% - Accent4 2 2 5 3 2" xfId="14268" xr:uid="{F701C47C-570E-4808-87B6-C89EE54E96AC}"/>
    <cellStyle name="40% - Accent4 2 2 5 4" xfId="10050" xr:uid="{01F024C5-861E-4A7B-BDAC-80CEB54FA4EC}"/>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7FE5BB52-18DC-4978-8936-1DE60C3A063B}"/>
    <cellStyle name="40% - Accent4 2 2 6 2 3" xfId="12608" xr:uid="{CFAEEDC8-A848-47D8-98DB-4CDAF2B4FF9D}"/>
    <cellStyle name="40% - Accent4 2 2 6 3" xfId="6231" xr:uid="{00000000-0005-0000-0000-0000C7050000}"/>
    <cellStyle name="40% - Accent4 2 2 6 3 2" xfId="14681" xr:uid="{6A5A3C4B-86B4-4596-9824-875776BD29F8}"/>
    <cellStyle name="40% - Accent4 2 2 6 4" xfId="10463" xr:uid="{82E5F9FC-C577-49BC-9985-D3DCF9AD2060}"/>
    <cellStyle name="40% - Accent4 2 2 7" xfId="2338" xr:uid="{00000000-0005-0000-0000-0000C8050000}"/>
    <cellStyle name="40% - Accent4 2 2 7 2" xfId="6644" xr:uid="{00000000-0005-0000-0000-0000C9050000}"/>
    <cellStyle name="40% - Accent4 2 2 7 2 2" xfId="15094" xr:uid="{3CC17381-E805-4279-B1E5-F94B324F15D4}"/>
    <cellStyle name="40% - Accent4 2 2 7 3" xfId="10876" xr:uid="{05393EE7-AC22-4004-964F-E686A9C739E2}"/>
    <cellStyle name="40% - Accent4 2 2 8" xfId="4578" xr:uid="{00000000-0005-0000-0000-0000CA050000}"/>
    <cellStyle name="40% - Accent4 2 2 8 2" xfId="13028" xr:uid="{22F6038D-3C6D-4C14-99FD-7586FFAFD006}"/>
    <cellStyle name="40% - Accent4 2 2 9" xfId="8810" xr:uid="{BA689E66-77F3-4EC0-9C30-D213DD391E3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F661C45C-18C9-42FD-B5F5-C9D66646C3DB}"/>
    <cellStyle name="40% - Accent4 2 3 2 2 3" xfId="11371" xr:uid="{7A1C9AFD-67F4-4FB2-BB39-2954784413ED}"/>
    <cellStyle name="40% - Accent4 2 3 2 3" xfId="4994" xr:uid="{00000000-0005-0000-0000-0000CF050000}"/>
    <cellStyle name="40% - Accent4 2 3 2 3 2" xfId="13444" xr:uid="{1126029A-E240-4E4E-A46A-A2F86276DAA0}"/>
    <cellStyle name="40% - Accent4 2 3 2 4" xfId="9226" xr:uid="{1BB9D427-3984-4A2F-9D87-D7D251F7913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DD456A2D-48C4-4462-871B-06464E618850}"/>
    <cellStyle name="40% - Accent4 2 3 3 2 3" xfId="11784" xr:uid="{7A1FBAF1-EF04-488F-A25C-13573AD776C8}"/>
    <cellStyle name="40% - Accent4 2 3 3 3" xfId="5407" xr:uid="{00000000-0005-0000-0000-0000D3050000}"/>
    <cellStyle name="40% - Accent4 2 3 3 3 2" xfId="13857" xr:uid="{B4AE80D6-E063-418C-A207-89B797A97278}"/>
    <cellStyle name="40% - Accent4 2 3 3 4" xfId="9639" xr:uid="{72CBD868-CDC3-40C5-9B90-26C4EC65A9E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BF3969CD-762C-4C30-8F9E-63F6B7FE371C}"/>
    <cellStyle name="40% - Accent4 2 3 4 2 3" xfId="12197" xr:uid="{93E61DEF-CE99-4948-8A69-CF904782D378}"/>
    <cellStyle name="40% - Accent4 2 3 4 3" xfId="5820" xr:uid="{00000000-0005-0000-0000-0000D7050000}"/>
    <cellStyle name="40% - Accent4 2 3 4 3 2" xfId="14270" xr:uid="{EA0CB3DF-F1D7-4600-A338-E662D3A60382}"/>
    <cellStyle name="40% - Accent4 2 3 4 4" xfId="10052" xr:uid="{D7E73089-9D13-41DE-8D6B-3F2C1D7B8679}"/>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34249A1C-BADD-4273-A027-1607A419588C}"/>
    <cellStyle name="40% - Accent4 2 3 5 2 3" xfId="12610" xr:uid="{5872A125-F08D-4F68-809F-36181B72A594}"/>
    <cellStyle name="40% - Accent4 2 3 5 3" xfId="6233" xr:uid="{00000000-0005-0000-0000-0000DB050000}"/>
    <cellStyle name="40% - Accent4 2 3 5 3 2" xfId="14683" xr:uid="{45F4A2F3-3E03-4B3C-A136-B59F8A48B6C8}"/>
    <cellStyle name="40% - Accent4 2 3 5 4" xfId="10465" xr:uid="{37D1273D-3514-46B5-B0F4-84BFA52145BB}"/>
    <cellStyle name="40% - Accent4 2 3 6" xfId="2340" xr:uid="{00000000-0005-0000-0000-0000DC050000}"/>
    <cellStyle name="40% - Accent4 2 3 6 2" xfId="6646" xr:uid="{00000000-0005-0000-0000-0000DD050000}"/>
    <cellStyle name="40% - Accent4 2 3 6 2 2" xfId="15096" xr:uid="{4BC3FBE8-36E4-4933-BEE9-4A8E5DB97A02}"/>
    <cellStyle name="40% - Accent4 2 3 6 3" xfId="10878" xr:uid="{31F228C4-BAB2-4983-AB00-4AFE08195EF2}"/>
    <cellStyle name="40% - Accent4 2 3 7" xfId="4580" xr:uid="{00000000-0005-0000-0000-0000DE050000}"/>
    <cellStyle name="40% - Accent4 2 3 7 2" xfId="13030" xr:uid="{0A428378-0463-4183-8E4A-FDA7ADFD22F2}"/>
    <cellStyle name="40% - Accent4 2 3 8" xfId="8812" xr:uid="{DE55012C-D154-4C4D-8D7B-5ADE5BA746AD}"/>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6E8A228D-C483-4E32-AB43-794E05B43697}"/>
    <cellStyle name="40% - Accent4 2 4 2 3" xfId="11368" xr:uid="{CE720D45-8C19-4BD4-BCA0-A34F09C82551}"/>
    <cellStyle name="40% - Accent4 2 4 3" xfId="4991" xr:uid="{00000000-0005-0000-0000-0000E2050000}"/>
    <cellStyle name="40% - Accent4 2 4 3 2" xfId="13441" xr:uid="{9B784431-D34E-498D-97E2-3717F790075C}"/>
    <cellStyle name="40% - Accent4 2 4 4" xfId="9223" xr:uid="{CE474316-B40A-428A-9E9C-5B314C4B3085}"/>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00D0A35B-8FB5-486E-BC63-D35AA45EC0D2}"/>
    <cellStyle name="40% - Accent4 2 5 2 3" xfId="11781" xr:uid="{A367E4FC-179A-41A8-8F5C-715EA63B8214}"/>
    <cellStyle name="40% - Accent4 2 5 3" xfId="5404" xr:uid="{00000000-0005-0000-0000-0000E6050000}"/>
    <cellStyle name="40% - Accent4 2 5 3 2" xfId="13854" xr:uid="{32739422-825F-490B-A3AA-66C306014256}"/>
    <cellStyle name="40% - Accent4 2 5 4" xfId="9636" xr:uid="{2292B173-49E6-44A8-B504-B13821A54F5D}"/>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B7F00C65-D3F8-4AED-8A3A-AB4DC1AD1C67}"/>
    <cellStyle name="40% - Accent4 2 6 2 3" xfId="12194" xr:uid="{7BBA8FB5-9EEC-4216-857E-CA9B39D56DF6}"/>
    <cellStyle name="40% - Accent4 2 6 3" xfId="5817" xr:uid="{00000000-0005-0000-0000-0000EA050000}"/>
    <cellStyle name="40% - Accent4 2 6 3 2" xfId="14267" xr:uid="{FF944514-E34D-4C95-B696-D457309FC62F}"/>
    <cellStyle name="40% - Accent4 2 6 4" xfId="10049" xr:uid="{9B9F4F6F-500D-46A1-ABEB-335BA04E8D33}"/>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B5FD695C-BA1C-4D12-9612-2E2D1B11BDD8}"/>
    <cellStyle name="40% - Accent4 2 7 2 3" xfId="12607" xr:uid="{463F34C2-9E88-4234-8969-5EA8AA68F7CD}"/>
    <cellStyle name="40% - Accent4 2 7 3" xfId="6230" xr:uid="{00000000-0005-0000-0000-0000EE050000}"/>
    <cellStyle name="40% - Accent4 2 7 3 2" xfId="14680" xr:uid="{7B536368-9C16-44B8-87C6-804DB956A93D}"/>
    <cellStyle name="40% - Accent4 2 7 4" xfId="10462" xr:uid="{08C9DD82-8EA1-49BF-A372-DFC448F4ADE9}"/>
    <cellStyle name="40% - Accent4 2 8" xfId="2337" xr:uid="{00000000-0005-0000-0000-0000EF050000}"/>
    <cellStyle name="40% - Accent4 2 8 2" xfId="6643" xr:uid="{00000000-0005-0000-0000-0000F0050000}"/>
    <cellStyle name="40% - Accent4 2 8 2 2" xfId="15093" xr:uid="{DBF3DECE-964C-4806-B409-596609CBDDC0}"/>
    <cellStyle name="40% - Accent4 2 8 3" xfId="10875" xr:uid="{0C0BBA9E-981B-4786-A7CB-F2CD458E43E1}"/>
    <cellStyle name="40% - Accent4 2 9" xfId="4577" xr:uid="{00000000-0005-0000-0000-0000F1050000}"/>
    <cellStyle name="40% - Accent4 2 9 2" xfId="13027" xr:uid="{DE46AD87-A0AA-43A1-8B16-6E7A83FCAB9E}"/>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71DB1D73-BA11-4ECC-B562-3FD87265D1B6}"/>
    <cellStyle name="40% - Accent4 3 2 2 2 3" xfId="11373" xr:uid="{58EA0920-466C-4AEE-BD88-B9E219F9657A}"/>
    <cellStyle name="40% - Accent4 3 2 2 3" xfId="4996" xr:uid="{00000000-0005-0000-0000-0000F7050000}"/>
    <cellStyle name="40% - Accent4 3 2 2 3 2" xfId="13446" xr:uid="{FE365007-6DC3-4E17-B64F-FDEF4DE67E16}"/>
    <cellStyle name="40% - Accent4 3 2 2 4" xfId="9228" xr:uid="{8E5F282B-2F52-454C-8182-050FCE2BF089}"/>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213B479A-BD8E-4ED0-80B0-AD38A222CC86}"/>
    <cellStyle name="40% - Accent4 3 2 3 2 3" xfId="11786" xr:uid="{2C77A299-E106-4F3C-847A-E9F2DB4DB07F}"/>
    <cellStyle name="40% - Accent4 3 2 3 3" xfId="5409" xr:uid="{00000000-0005-0000-0000-0000FB050000}"/>
    <cellStyle name="40% - Accent4 3 2 3 3 2" xfId="13859" xr:uid="{ED6AD452-AE10-4403-B551-27340520812B}"/>
    <cellStyle name="40% - Accent4 3 2 3 4" xfId="9641" xr:uid="{3FC8F00B-9153-4454-AD97-BC0194C5966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9112078D-BA7E-4BF4-9D66-96E3A31DDA85}"/>
    <cellStyle name="40% - Accent4 3 2 4 2 3" xfId="12199" xr:uid="{6E192059-7CEE-417D-B013-B889CF474D75}"/>
    <cellStyle name="40% - Accent4 3 2 4 3" xfId="5822" xr:uid="{00000000-0005-0000-0000-0000FF050000}"/>
    <cellStyle name="40% - Accent4 3 2 4 3 2" xfId="14272" xr:uid="{033C987A-C74D-48DC-BEEE-715A287C4DD6}"/>
    <cellStyle name="40% - Accent4 3 2 4 4" xfId="10054" xr:uid="{61FCEB15-7E86-4C0A-AB90-6C5946816027}"/>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220A29D1-3C8B-426F-AC2F-6FB1AC321F72}"/>
    <cellStyle name="40% - Accent4 3 2 5 2 3" xfId="12612" xr:uid="{6175DF4E-B28C-46AC-9567-0664163F1B3A}"/>
    <cellStyle name="40% - Accent4 3 2 5 3" xfId="6235" xr:uid="{00000000-0005-0000-0000-000003060000}"/>
    <cellStyle name="40% - Accent4 3 2 5 3 2" xfId="14685" xr:uid="{CA645EDD-333C-4E83-8E75-E23087B5EEBB}"/>
    <cellStyle name="40% - Accent4 3 2 5 4" xfId="10467" xr:uid="{07077880-D28F-41B4-850E-904434A71F75}"/>
    <cellStyle name="40% - Accent4 3 2 6" xfId="2342" xr:uid="{00000000-0005-0000-0000-000004060000}"/>
    <cellStyle name="40% - Accent4 3 2 6 2" xfId="6648" xr:uid="{00000000-0005-0000-0000-000005060000}"/>
    <cellStyle name="40% - Accent4 3 2 6 2 2" xfId="15098" xr:uid="{4F66C919-7626-4976-BC45-9D2BCD4DEE9C}"/>
    <cellStyle name="40% - Accent4 3 2 6 3" xfId="10880" xr:uid="{D38BDEA7-A462-4577-918C-334C8BE1C6C9}"/>
    <cellStyle name="40% - Accent4 3 2 7" xfId="4582" xr:uid="{00000000-0005-0000-0000-000006060000}"/>
    <cellStyle name="40% - Accent4 3 2 7 2" xfId="13032" xr:uid="{12310C9D-5C19-4252-84D4-A379CE1D1032}"/>
    <cellStyle name="40% - Accent4 3 2 8" xfId="8814" xr:uid="{BB1344B3-B24A-4AEC-9E1B-9CF08DC902F6}"/>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20B4CE37-0442-46E4-A0D5-EFD14D330525}"/>
    <cellStyle name="40% - Accent4 3 3 2 3" xfId="11372" xr:uid="{C79CF387-CD06-41DE-9C9F-A9E44A8713C5}"/>
    <cellStyle name="40% - Accent4 3 3 3" xfId="4995" xr:uid="{00000000-0005-0000-0000-00000A060000}"/>
    <cellStyle name="40% - Accent4 3 3 3 2" xfId="13445" xr:uid="{5AD326BF-1D5E-4307-AEF4-5E03B7FB736A}"/>
    <cellStyle name="40% - Accent4 3 3 4" xfId="9227" xr:uid="{BEA265E0-C396-437F-BDC3-559EAF470C39}"/>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50132AE1-80F6-4334-A021-1C270DA5DC59}"/>
    <cellStyle name="40% - Accent4 3 4 2 3" xfId="11785" xr:uid="{C763C28C-8051-4BEC-9642-4E4F545F4CBB}"/>
    <cellStyle name="40% - Accent4 3 4 3" xfId="5408" xr:uid="{00000000-0005-0000-0000-00000E060000}"/>
    <cellStyle name="40% - Accent4 3 4 3 2" xfId="13858" xr:uid="{E5C0F2A9-BC7C-42B0-9437-E965AB4DA01A}"/>
    <cellStyle name="40% - Accent4 3 4 4" xfId="9640" xr:uid="{23842D58-912A-4055-8D2B-410FFA4D345A}"/>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74F4954E-EE02-41AE-96A0-43445C23C94E}"/>
    <cellStyle name="40% - Accent4 3 5 2 3" xfId="12198" xr:uid="{304C0644-7F83-434B-80D4-D9042A71165B}"/>
    <cellStyle name="40% - Accent4 3 5 3" xfId="5821" xr:uid="{00000000-0005-0000-0000-000012060000}"/>
    <cellStyle name="40% - Accent4 3 5 3 2" xfId="14271" xr:uid="{4A2F2E42-C2BF-40C3-B6CC-53CD5C02B98D}"/>
    <cellStyle name="40% - Accent4 3 5 4" xfId="10053" xr:uid="{8184AEAF-FACE-43C6-968E-FECFC04B2364}"/>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3F0E667E-3C33-4EFF-A8EF-679BD196C2A9}"/>
    <cellStyle name="40% - Accent4 3 6 2 3" xfId="12611" xr:uid="{FD013B3F-E181-4FBB-A787-F43E1D31C85C}"/>
    <cellStyle name="40% - Accent4 3 6 3" xfId="6234" xr:uid="{00000000-0005-0000-0000-000016060000}"/>
    <cellStyle name="40% - Accent4 3 6 3 2" xfId="14684" xr:uid="{6177967F-2B21-4D24-8592-CC2FDB6BD8A7}"/>
    <cellStyle name="40% - Accent4 3 6 4" xfId="10466" xr:uid="{B8395872-803F-4D38-84D6-2A77B26A8799}"/>
    <cellStyle name="40% - Accent4 3 7" xfId="2341" xr:uid="{00000000-0005-0000-0000-000017060000}"/>
    <cellStyle name="40% - Accent4 3 7 2" xfId="6647" xr:uid="{00000000-0005-0000-0000-000018060000}"/>
    <cellStyle name="40% - Accent4 3 7 2 2" xfId="15097" xr:uid="{5C4965D2-9709-4C07-B132-0625B3F444F0}"/>
    <cellStyle name="40% - Accent4 3 7 3" xfId="10879" xr:uid="{F874A9CE-A79E-4E15-9D51-E0305C9728B3}"/>
    <cellStyle name="40% - Accent4 3 8" xfId="4581" xr:uid="{00000000-0005-0000-0000-000019060000}"/>
    <cellStyle name="40% - Accent4 3 8 2" xfId="13031" xr:uid="{BDCBEA26-05C7-46AA-8488-21BAB4FE9591}"/>
    <cellStyle name="40% - Accent4 3 9" xfId="8813" xr:uid="{2D1213CF-03A1-44AC-A92C-3F18CEF2931E}"/>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5E90E81E-1542-41C5-A24D-05DCB8472124}"/>
    <cellStyle name="40% - Accent4 4 2 2 3" xfId="11374" xr:uid="{549193D4-D8D6-415F-9F0F-04FA80E7F0B0}"/>
    <cellStyle name="40% - Accent4 4 2 3" xfId="4997" xr:uid="{00000000-0005-0000-0000-00001E060000}"/>
    <cellStyle name="40% - Accent4 4 2 3 2" xfId="13447" xr:uid="{B328CAD6-4DF4-4E7E-8C1D-F024379AA42C}"/>
    <cellStyle name="40% - Accent4 4 2 4" xfId="9229" xr:uid="{6D702483-14B7-47E6-864B-D3056F459E8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43162D17-C03C-4250-BC88-949622C4C45E}"/>
    <cellStyle name="40% - Accent4 4 3 2 3" xfId="11787" xr:uid="{ABC695C0-C6CC-442C-A9F4-E1607298CEF2}"/>
    <cellStyle name="40% - Accent4 4 3 3" xfId="5410" xr:uid="{00000000-0005-0000-0000-000022060000}"/>
    <cellStyle name="40% - Accent4 4 3 3 2" xfId="13860" xr:uid="{A495B51A-0A58-41F7-9E8C-6D7F3178E9E4}"/>
    <cellStyle name="40% - Accent4 4 3 4" xfId="9642" xr:uid="{F12999AD-F868-4C44-B3D7-E03F84BB428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A130C93C-F173-4B6D-ABCD-05FB17F7CB73}"/>
    <cellStyle name="40% - Accent4 4 4 2 3" xfId="12200" xr:uid="{EB35600A-F787-4903-B7DA-126C3DDF09C0}"/>
    <cellStyle name="40% - Accent4 4 4 3" xfId="5823" xr:uid="{00000000-0005-0000-0000-000026060000}"/>
    <cellStyle name="40% - Accent4 4 4 3 2" xfId="14273" xr:uid="{52E31EDE-4C9F-4AE6-A169-00ADCDAB0560}"/>
    <cellStyle name="40% - Accent4 4 4 4" xfId="10055" xr:uid="{2C6C74F8-748A-4B28-93B5-DDFFAD239E99}"/>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13D5C4F6-B55B-4EF3-9CFA-51A770DBB657}"/>
    <cellStyle name="40% - Accent4 4 5 2 3" xfId="12613" xr:uid="{8671CE84-0229-47E9-8E9A-5F2E31FA8D06}"/>
    <cellStyle name="40% - Accent4 4 5 3" xfId="6236" xr:uid="{00000000-0005-0000-0000-00002A060000}"/>
    <cellStyle name="40% - Accent4 4 5 3 2" xfId="14686" xr:uid="{A463843F-2D55-49E8-B7C0-AD37D471418A}"/>
    <cellStyle name="40% - Accent4 4 5 4" xfId="10468" xr:uid="{BE97BB5F-FBDE-4551-A981-95B073EBA9B4}"/>
    <cellStyle name="40% - Accent4 4 6" xfId="2343" xr:uid="{00000000-0005-0000-0000-00002B060000}"/>
    <cellStyle name="40% - Accent4 4 6 2" xfId="6649" xr:uid="{00000000-0005-0000-0000-00002C060000}"/>
    <cellStyle name="40% - Accent4 4 6 2 2" xfId="15099" xr:uid="{1F059594-EF29-407F-9442-8258CA5C40D3}"/>
    <cellStyle name="40% - Accent4 4 6 3" xfId="10881" xr:uid="{F1E0471B-5221-4AA0-A6E2-09D0A5FC388D}"/>
    <cellStyle name="40% - Accent4 4 7" xfId="4583" xr:uid="{00000000-0005-0000-0000-00002D060000}"/>
    <cellStyle name="40% - Accent4 4 7 2" xfId="13033" xr:uid="{86D8D4B0-0E86-4447-B238-0B5C66505203}"/>
    <cellStyle name="40% - Accent4 4 8" xfId="8815" xr:uid="{7A026F47-4C4A-43DC-B9E2-AC2961D7FE58}"/>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3DB7EB3F-7404-4B96-9077-C133769937C6}"/>
    <cellStyle name="40% - Accent4 5 2 3" xfId="11367" xr:uid="{1BA31627-57EA-4822-AA5A-701C1FF02A13}"/>
    <cellStyle name="40% - Accent4 5 3" xfId="4990" xr:uid="{00000000-0005-0000-0000-000031060000}"/>
    <cellStyle name="40% - Accent4 5 3 2" xfId="13440" xr:uid="{D6C1E9A1-A80F-422E-9EAC-C53B6D00BE0D}"/>
    <cellStyle name="40% - Accent4 5 4" xfId="9222" xr:uid="{D34964D8-09AD-422E-A5F5-2CFBE2ABE00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74348624-557E-4F77-9130-E3804A2723E4}"/>
    <cellStyle name="40% - Accent4 6 2 3" xfId="11780" xr:uid="{EC4E7CA8-2917-4AC2-BDF6-37357010EC29}"/>
    <cellStyle name="40% - Accent4 6 3" xfId="5403" xr:uid="{00000000-0005-0000-0000-000035060000}"/>
    <cellStyle name="40% - Accent4 6 3 2" xfId="13853" xr:uid="{246E4690-36E0-4B4F-9E05-A93C22305B98}"/>
    <cellStyle name="40% - Accent4 6 4" xfId="9635" xr:uid="{732AE7D1-6BBE-431B-8A87-7D1E9C81E9E4}"/>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DC19AFC8-41E5-4BFC-8080-B4DF599F190A}"/>
    <cellStyle name="40% - Accent4 7 2 3" xfId="12193" xr:uid="{B4056D5F-7CF2-482F-AA2B-1089A54B2A57}"/>
    <cellStyle name="40% - Accent4 7 3" xfId="5816" xr:uid="{00000000-0005-0000-0000-000039060000}"/>
    <cellStyle name="40% - Accent4 7 3 2" xfId="14266" xr:uid="{91A7C7CD-E384-4A84-867D-9224B84C4547}"/>
    <cellStyle name="40% - Accent4 7 4" xfId="10048" xr:uid="{17C99254-59E6-4A4E-A974-BDE0A57345DE}"/>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3A016D4F-B4D8-48D0-A752-903F65891397}"/>
    <cellStyle name="40% - Accent4 8 2 3" xfId="12606" xr:uid="{98460219-D32A-4D3E-96C5-155EDA3FE0BE}"/>
    <cellStyle name="40% - Accent4 8 3" xfId="6229" xr:uid="{00000000-0005-0000-0000-00003D060000}"/>
    <cellStyle name="40% - Accent4 8 3 2" xfId="14679" xr:uid="{824D21DF-E352-4D14-8176-2909891C69EB}"/>
    <cellStyle name="40% - Accent4 8 4" xfId="10461" xr:uid="{F84F1CA5-8F5D-4C2C-B0AE-6093F7248067}"/>
    <cellStyle name="40% - Accent4 9" xfId="2336" xr:uid="{00000000-0005-0000-0000-00003E060000}"/>
    <cellStyle name="40% - Accent4 9 2" xfId="6642" xr:uid="{00000000-0005-0000-0000-00003F060000}"/>
    <cellStyle name="40% - Accent4 9 2 2" xfId="15092" xr:uid="{3A8DCC49-D86A-411C-848A-D8861C899362}"/>
    <cellStyle name="40% - Accent4 9 3" xfId="10874" xr:uid="{63FCBB27-0015-42C0-97F5-6A0EB3E8F0A8}"/>
    <cellStyle name="40% - Accent5" xfId="81" builtinId="47" customBuiltin="1"/>
    <cellStyle name="40% - Accent5 10" xfId="4584" xr:uid="{00000000-0005-0000-0000-000041060000}"/>
    <cellStyle name="40% - Accent5 10 2" xfId="13034" xr:uid="{1C31BAC5-6FF2-4A56-B811-0A8209289CA0}"/>
    <cellStyle name="40% - Accent5 11" xfId="8816" xr:uid="{FD7CC6C6-956C-479F-9ED2-256CEC4CCC1A}"/>
    <cellStyle name="40% - Accent5 2" xfId="82" xr:uid="{00000000-0005-0000-0000-000042060000}"/>
    <cellStyle name="40% - Accent5 2 10" xfId="8817" xr:uid="{F646A086-A573-42DE-832B-D8F7B3DF648C}"/>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4AB267F4-B169-4C01-AE76-DF985C96E863}"/>
    <cellStyle name="40% - Accent5 2 2 2 2 2 3" xfId="11378" xr:uid="{61493F46-7DA3-4874-B135-67F28449DE4E}"/>
    <cellStyle name="40% - Accent5 2 2 2 2 3" xfId="5001" xr:uid="{00000000-0005-0000-0000-000048060000}"/>
    <cellStyle name="40% - Accent5 2 2 2 2 3 2" xfId="13451" xr:uid="{47A07F71-D00B-4D38-9E7A-79BB6C47FD2C}"/>
    <cellStyle name="40% - Accent5 2 2 2 2 4" xfId="9233" xr:uid="{5FD9E1C8-C885-4A11-9136-F478950A536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39257D03-24AF-4129-B350-30B07370E997}"/>
    <cellStyle name="40% - Accent5 2 2 2 3 2 3" xfId="11791" xr:uid="{E8DFC888-EFB6-4E69-B31C-A0033E0E08BF}"/>
    <cellStyle name="40% - Accent5 2 2 2 3 3" xfId="5414" xr:uid="{00000000-0005-0000-0000-00004C060000}"/>
    <cellStyle name="40% - Accent5 2 2 2 3 3 2" xfId="13864" xr:uid="{C8CE2FCD-3E22-4B69-B17B-55F6D93FFEDA}"/>
    <cellStyle name="40% - Accent5 2 2 2 3 4" xfId="9646" xr:uid="{EB405636-75E4-4218-BA89-9D6665817735}"/>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74877695-1556-4C8F-A34A-9EA3E5B9CC97}"/>
    <cellStyle name="40% - Accent5 2 2 2 4 2 3" xfId="12204" xr:uid="{B82A8334-391B-4C9A-B650-5B6F48407A7F}"/>
    <cellStyle name="40% - Accent5 2 2 2 4 3" xfId="5827" xr:uid="{00000000-0005-0000-0000-000050060000}"/>
    <cellStyle name="40% - Accent5 2 2 2 4 3 2" xfId="14277" xr:uid="{BDBDA1C5-AFD9-4868-8952-5A75EBFD1DB9}"/>
    <cellStyle name="40% - Accent5 2 2 2 4 4" xfId="10059" xr:uid="{FD66A602-67CA-4B41-9EA7-EC3AA3887D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AF963B00-BC37-4E5A-85F5-AFB96E5229F6}"/>
    <cellStyle name="40% - Accent5 2 2 2 5 2 3" xfId="12617" xr:uid="{6FA6EE38-119B-45B1-A1E5-0D7512D0B331}"/>
    <cellStyle name="40% - Accent5 2 2 2 5 3" xfId="6240" xr:uid="{00000000-0005-0000-0000-000054060000}"/>
    <cellStyle name="40% - Accent5 2 2 2 5 3 2" xfId="14690" xr:uid="{3C413C1E-B1F6-4C20-B947-86AD2804004F}"/>
    <cellStyle name="40% - Accent5 2 2 2 5 4" xfId="10472" xr:uid="{8A89CCCE-6F3C-4868-B619-C167E0813628}"/>
    <cellStyle name="40% - Accent5 2 2 2 6" xfId="2347" xr:uid="{00000000-0005-0000-0000-000055060000}"/>
    <cellStyle name="40% - Accent5 2 2 2 6 2" xfId="6653" xr:uid="{00000000-0005-0000-0000-000056060000}"/>
    <cellStyle name="40% - Accent5 2 2 2 6 2 2" xfId="15103" xr:uid="{99CB36FD-990C-40BF-ABC0-C3A7427BB951}"/>
    <cellStyle name="40% - Accent5 2 2 2 6 3" xfId="10885" xr:uid="{076D32B6-9131-43A7-95B6-756CDF283185}"/>
    <cellStyle name="40% - Accent5 2 2 2 7" xfId="4587" xr:uid="{00000000-0005-0000-0000-000057060000}"/>
    <cellStyle name="40% - Accent5 2 2 2 7 2" xfId="13037" xr:uid="{6166916D-2245-4942-A730-212FA4E58FB7}"/>
    <cellStyle name="40% - Accent5 2 2 2 8" xfId="8819" xr:uid="{60AF7FCE-F0D4-4849-BF0E-BC190924108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65E60938-B8CE-46B8-B20F-4B10A2DFAD04}"/>
    <cellStyle name="40% - Accent5 2 2 3 2 3" xfId="11377" xr:uid="{F7BF340B-6DE6-4A9C-B30F-ABE163E221F7}"/>
    <cellStyle name="40% - Accent5 2 2 3 3" xfId="5000" xr:uid="{00000000-0005-0000-0000-00005B060000}"/>
    <cellStyle name="40% - Accent5 2 2 3 3 2" xfId="13450" xr:uid="{CF8CBBE3-431C-4D87-825E-CB5C3D4FBBFC}"/>
    <cellStyle name="40% - Accent5 2 2 3 4" xfId="9232" xr:uid="{F5003218-F383-4945-A56B-4C81970B2346}"/>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E7EB6FF1-1CC1-43AA-BB74-E97A47F064A4}"/>
    <cellStyle name="40% - Accent5 2 2 4 2 3" xfId="11790" xr:uid="{AA3EF3FA-451F-4567-8EDC-5CB0744AE440}"/>
    <cellStyle name="40% - Accent5 2 2 4 3" xfId="5413" xr:uid="{00000000-0005-0000-0000-00005F060000}"/>
    <cellStyle name="40% - Accent5 2 2 4 3 2" xfId="13863" xr:uid="{F69CA27F-0DC3-485D-8CFF-3C370B96D521}"/>
    <cellStyle name="40% - Accent5 2 2 4 4" xfId="9645" xr:uid="{339DD752-B93B-4191-971A-72ED9AC6C48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79A51CA7-CA5C-436A-B39D-458E75459D56}"/>
    <cellStyle name="40% - Accent5 2 2 5 2 3" xfId="12203" xr:uid="{9B36B25D-5C13-4C88-ABCF-76BACCAAF883}"/>
    <cellStyle name="40% - Accent5 2 2 5 3" xfId="5826" xr:uid="{00000000-0005-0000-0000-000063060000}"/>
    <cellStyle name="40% - Accent5 2 2 5 3 2" xfId="14276" xr:uid="{CBFA76DC-E793-4B37-9F6C-787A94D42381}"/>
    <cellStyle name="40% - Accent5 2 2 5 4" xfId="10058" xr:uid="{04362E49-7645-4CCC-B782-C59D72714A9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2B58BC70-1B06-41DA-B852-1430CF6CE7BB}"/>
    <cellStyle name="40% - Accent5 2 2 6 2 3" xfId="12616" xr:uid="{DBF7D929-26E0-4472-83E4-FF7F4E4A25F7}"/>
    <cellStyle name="40% - Accent5 2 2 6 3" xfId="6239" xr:uid="{00000000-0005-0000-0000-000067060000}"/>
    <cellStyle name="40% - Accent5 2 2 6 3 2" xfId="14689" xr:uid="{8E67850D-2979-4C5C-9885-1F36E8646483}"/>
    <cellStyle name="40% - Accent5 2 2 6 4" xfId="10471" xr:uid="{3608E1C0-7413-44CA-9599-8163C2C1933F}"/>
    <cellStyle name="40% - Accent5 2 2 7" xfId="2346" xr:uid="{00000000-0005-0000-0000-000068060000}"/>
    <cellStyle name="40% - Accent5 2 2 7 2" xfId="6652" xr:uid="{00000000-0005-0000-0000-000069060000}"/>
    <cellStyle name="40% - Accent5 2 2 7 2 2" xfId="15102" xr:uid="{02D28A0E-0EA0-46B6-BA88-6BBC2FAA073F}"/>
    <cellStyle name="40% - Accent5 2 2 7 3" xfId="10884" xr:uid="{9A28C1A8-78E6-4636-8B21-26204272763C}"/>
    <cellStyle name="40% - Accent5 2 2 8" xfId="4586" xr:uid="{00000000-0005-0000-0000-00006A060000}"/>
    <cellStyle name="40% - Accent5 2 2 8 2" xfId="13036" xr:uid="{5E1C46A0-8D4E-4619-847B-7CD0D706FEE0}"/>
    <cellStyle name="40% - Accent5 2 2 9" xfId="8818" xr:uid="{1BAD3AE7-AF61-4C0A-BB55-8672B89793D6}"/>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FB0CEC25-0A32-4E40-83D0-10C43D945861}"/>
    <cellStyle name="40% - Accent5 2 3 2 2 3" xfId="11379" xr:uid="{3FAF9801-6521-49BB-B50C-F8E77A1D3675}"/>
    <cellStyle name="40% - Accent5 2 3 2 3" xfId="5002" xr:uid="{00000000-0005-0000-0000-00006F060000}"/>
    <cellStyle name="40% - Accent5 2 3 2 3 2" xfId="13452" xr:uid="{A4581153-4672-46BF-8E16-DE0745F08867}"/>
    <cellStyle name="40% - Accent5 2 3 2 4" xfId="9234" xr:uid="{162F8BEB-EF9D-4175-A8A5-6CAC388A9AD3}"/>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3C1A7E79-890F-4DE3-8A90-1E532740D340}"/>
    <cellStyle name="40% - Accent5 2 3 3 2 3" xfId="11792" xr:uid="{A06A987C-998D-40E7-8B9B-21701EA2BD84}"/>
    <cellStyle name="40% - Accent5 2 3 3 3" xfId="5415" xr:uid="{00000000-0005-0000-0000-000073060000}"/>
    <cellStyle name="40% - Accent5 2 3 3 3 2" xfId="13865" xr:uid="{CC0F0E70-7D51-45E0-9F47-0AB9F1FD9733}"/>
    <cellStyle name="40% - Accent5 2 3 3 4" xfId="9647" xr:uid="{B98CD31E-610F-4138-833C-269C72401F4C}"/>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928AB3E8-6C9B-44F9-8069-3428343BF8D0}"/>
    <cellStyle name="40% - Accent5 2 3 4 2 3" xfId="12205" xr:uid="{5E2B95AB-1669-44E5-B2A0-3D9615649C94}"/>
    <cellStyle name="40% - Accent5 2 3 4 3" xfId="5828" xr:uid="{00000000-0005-0000-0000-000077060000}"/>
    <cellStyle name="40% - Accent5 2 3 4 3 2" xfId="14278" xr:uid="{3A233633-8747-4CEA-B4E1-714B663B4B12}"/>
    <cellStyle name="40% - Accent5 2 3 4 4" xfId="10060" xr:uid="{D7051954-A7F6-4CD2-9E24-5251F144B764}"/>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62DD3D30-7F62-4876-8154-4214DD0625A8}"/>
    <cellStyle name="40% - Accent5 2 3 5 2 3" xfId="12618" xr:uid="{A51E65C5-FA33-4FEB-B7D4-BBB2398EF443}"/>
    <cellStyle name="40% - Accent5 2 3 5 3" xfId="6241" xr:uid="{00000000-0005-0000-0000-00007B060000}"/>
    <cellStyle name="40% - Accent5 2 3 5 3 2" xfId="14691" xr:uid="{13FFCD13-F801-4B4A-974E-7BFA3C2A9D88}"/>
    <cellStyle name="40% - Accent5 2 3 5 4" xfId="10473" xr:uid="{291A2A05-10B9-4C3A-987C-3F8A5E090C42}"/>
    <cellStyle name="40% - Accent5 2 3 6" xfId="2348" xr:uid="{00000000-0005-0000-0000-00007C060000}"/>
    <cellStyle name="40% - Accent5 2 3 6 2" xfId="6654" xr:uid="{00000000-0005-0000-0000-00007D060000}"/>
    <cellStyle name="40% - Accent5 2 3 6 2 2" xfId="15104" xr:uid="{A1C3559A-C120-494F-85B2-F3F21A172906}"/>
    <cellStyle name="40% - Accent5 2 3 6 3" xfId="10886" xr:uid="{94763ADA-1D40-4170-B4AD-4E8CF40BFC4D}"/>
    <cellStyle name="40% - Accent5 2 3 7" xfId="4588" xr:uid="{00000000-0005-0000-0000-00007E060000}"/>
    <cellStyle name="40% - Accent5 2 3 7 2" xfId="13038" xr:uid="{6C8B0931-84AD-4FB1-BF47-80FD7203E2B6}"/>
    <cellStyle name="40% - Accent5 2 3 8" xfId="8820" xr:uid="{50E044BF-2B2D-4EA4-8965-FF18B6C58458}"/>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025AF2CD-3C53-4949-9EE4-02201A12F967}"/>
    <cellStyle name="40% - Accent5 2 4 2 3" xfId="11376" xr:uid="{3CD08467-87AA-4347-967B-FC79EA9AECDA}"/>
    <cellStyle name="40% - Accent5 2 4 3" xfId="4999" xr:uid="{00000000-0005-0000-0000-000082060000}"/>
    <cellStyle name="40% - Accent5 2 4 3 2" xfId="13449" xr:uid="{6ADCF8C0-6E5E-4095-B52A-F48DDEA5657B}"/>
    <cellStyle name="40% - Accent5 2 4 4" xfId="9231" xr:uid="{0FFFD187-A25F-464C-9421-1AA2E6E0AD42}"/>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D79C79DA-D132-4DBC-87A6-2516334DE594}"/>
    <cellStyle name="40% - Accent5 2 5 2 3" xfId="11789" xr:uid="{F472FA5A-EE12-4E9C-8537-77FE54BFEF99}"/>
    <cellStyle name="40% - Accent5 2 5 3" xfId="5412" xr:uid="{00000000-0005-0000-0000-000086060000}"/>
    <cellStyle name="40% - Accent5 2 5 3 2" xfId="13862" xr:uid="{04830BDB-2ADD-49DE-8DE6-FAD9E23E131A}"/>
    <cellStyle name="40% - Accent5 2 5 4" xfId="9644" xr:uid="{148A05ED-51CA-4E15-B59B-171FC8099BBD}"/>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37CCF555-5F3A-4A3A-B73E-7D32B4E6A502}"/>
    <cellStyle name="40% - Accent5 2 6 2 3" xfId="12202" xr:uid="{408DC69F-2C8F-4B4F-B51B-1DE82240718F}"/>
    <cellStyle name="40% - Accent5 2 6 3" xfId="5825" xr:uid="{00000000-0005-0000-0000-00008A060000}"/>
    <cellStyle name="40% - Accent5 2 6 3 2" xfId="14275" xr:uid="{EDA2D2F1-19E3-4B53-A4F7-82822658B00F}"/>
    <cellStyle name="40% - Accent5 2 6 4" xfId="10057" xr:uid="{5D590D81-3B03-44FD-BA1A-75A49877345E}"/>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2820C64C-2E8B-4A82-AF3D-B0FD715D7034}"/>
    <cellStyle name="40% - Accent5 2 7 2 3" xfId="12615" xr:uid="{DBD7E8A5-2A70-4D73-AEA0-4903DFF1AE7A}"/>
    <cellStyle name="40% - Accent5 2 7 3" xfId="6238" xr:uid="{00000000-0005-0000-0000-00008E060000}"/>
    <cellStyle name="40% - Accent5 2 7 3 2" xfId="14688" xr:uid="{0CF4287E-1C96-4864-ABF1-BDFFF05CEA6E}"/>
    <cellStyle name="40% - Accent5 2 7 4" xfId="10470" xr:uid="{9F0131FF-836C-47ED-92C1-B46226191477}"/>
    <cellStyle name="40% - Accent5 2 8" xfId="2345" xr:uid="{00000000-0005-0000-0000-00008F060000}"/>
    <cellStyle name="40% - Accent5 2 8 2" xfId="6651" xr:uid="{00000000-0005-0000-0000-000090060000}"/>
    <cellStyle name="40% - Accent5 2 8 2 2" xfId="15101" xr:uid="{022734EE-E2F9-40F5-92DA-6AD2EDEBA8BB}"/>
    <cellStyle name="40% - Accent5 2 8 3" xfId="10883" xr:uid="{34EB0B02-9222-4738-9929-738DA2498DE9}"/>
    <cellStyle name="40% - Accent5 2 9" xfId="4585" xr:uid="{00000000-0005-0000-0000-000091060000}"/>
    <cellStyle name="40% - Accent5 2 9 2" xfId="13035" xr:uid="{CF0371A3-8D56-4920-AEF2-1A0179C767E9}"/>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976058D2-9465-40C0-A444-E69243B3132D}"/>
    <cellStyle name="40% - Accent5 3 2 2 2 3" xfId="11381" xr:uid="{213839C5-90F8-4F05-AECA-C9B582BF1215}"/>
    <cellStyle name="40% - Accent5 3 2 2 3" xfId="5004" xr:uid="{00000000-0005-0000-0000-000097060000}"/>
    <cellStyle name="40% - Accent5 3 2 2 3 2" xfId="13454" xr:uid="{404D0461-F190-471A-A6A0-AFF57A6CEA42}"/>
    <cellStyle name="40% - Accent5 3 2 2 4" xfId="9236" xr:uid="{148D199E-DDD1-4733-B05C-AE78F1ACB45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A380BB4D-3F65-483D-BD02-1CA8A2C3DD00}"/>
    <cellStyle name="40% - Accent5 3 2 3 2 3" xfId="11794" xr:uid="{CE8500DD-8BEE-45AB-ABCA-E0EDAEA7C015}"/>
    <cellStyle name="40% - Accent5 3 2 3 3" xfId="5417" xr:uid="{00000000-0005-0000-0000-00009B060000}"/>
    <cellStyle name="40% - Accent5 3 2 3 3 2" xfId="13867" xr:uid="{52A58199-7E89-41D7-AEE7-95281345F808}"/>
    <cellStyle name="40% - Accent5 3 2 3 4" xfId="9649" xr:uid="{F79952E5-4041-4F52-9A44-C33F9C789FBA}"/>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B9823D64-F5F8-4D5F-9B9C-FC80C71B935D}"/>
    <cellStyle name="40% - Accent5 3 2 4 2 3" xfId="12207" xr:uid="{D6019F97-E19F-47BA-A68F-594AA4816439}"/>
    <cellStyle name="40% - Accent5 3 2 4 3" xfId="5830" xr:uid="{00000000-0005-0000-0000-00009F060000}"/>
    <cellStyle name="40% - Accent5 3 2 4 3 2" xfId="14280" xr:uid="{0AE60D67-F00B-44F9-8BA1-B9EEDE55F7B1}"/>
    <cellStyle name="40% - Accent5 3 2 4 4" xfId="10062" xr:uid="{CB7FC90E-7726-4DF9-BB73-B35DCF3E4941}"/>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FCD9B34E-D671-47C2-AEA2-EC13AC659135}"/>
    <cellStyle name="40% - Accent5 3 2 5 2 3" xfId="12620" xr:uid="{A0AC98B3-8236-4DCB-8EA4-4BF510B79E72}"/>
    <cellStyle name="40% - Accent5 3 2 5 3" xfId="6243" xr:uid="{00000000-0005-0000-0000-0000A3060000}"/>
    <cellStyle name="40% - Accent5 3 2 5 3 2" xfId="14693" xr:uid="{88DBE5D2-96FF-4423-920D-D962B9EFCA4D}"/>
    <cellStyle name="40% - Accent5 3 2 5 4" xfId="10475" xr:uid="{D2114214-B53A-413C-8556-32C11EE79055}"/>
    <cellStyle name="40% - Accent5 3 2 6" xfId="2350" xr:uid="{00000000-0005-0000-0000-0000A4060000}"/>
    <cellStyle name="40% - Accent5 3 2 6 2" xfId="6656" xr:uid="{00000000-0005-0000-0000-0000A5060000}"/>
    <cellStyle name="40% - Accent5 3 2 6 2 2" xfId="15106" xr:uid="{3C48E4DC-C1BA-4C05-9795-426E972868BC}"/>
    <cellStyle name="40% - Accent5 3 2 6 3" xfId="10888" xr:uid="{1AB34E24-6E21-4446-A4A6-06B12CE6C26B}"/>
    <cellStyle name="40% - Accent5 3 2 7" xfId="4590" xr:uid="{00000000-0005-0000-0000-0000A6060000}"/>
    <cellStyle name="40% - Accent5 3 2 7 2" xfId="13040" xr:uid="{FBDAD7FA-DF7E-40BC-8355-DAAE588C0113}"/>
    <cellStyle name="40% - Accent5 3 2 8" xfId="8822" xr:uid="{3937B063-D3BA-4020-A941-D86C78AAB490}"/>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B99C2EAF-0338-41A0-8CB4-9D5CEC5DD592}"/>
    <cellStyle name="40% - Accent5 3 3 2 3" xfId="11380" xr:uid="{1E565945-5EDE-4A16-B247-02F6AB184251}"/>
    <cellStyle name="40% - Accent5 3 3 3" xfId="5003" xr:uid="{00000000-0005-0000-0000-0000AA060000}"/>
    <cellStyle name="40% - Accent5 3 3 3 2" xfId="13453" xr:uid="{60D9F7D5-842C-4A30-9A6F-E7C18DFBE64B}"/>
    <cellStyle name="40% - Accent5 3 3 4" xfId="9235" xr:uid="{D285974F-6586-4FD6-92C9-297D170B214B}"/>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A013E684-AAF7-4F5C-9F99-53AD67F6142F}"/>
    <cellStyle name="40% - Accent5 3 4 2 3" xfId="11793" xr:uid="{FF70B1A0-24D3-4944-A740-ECFE3CAC5F9E}"/>
    <cellStyle name="40% - Accent5 3 4 3" xfId="5416" xr:uid="{00000000-0005-0000-0000-0000AE060000}"/>
    <cellStyle name="40% - Accent5 3 4 3 2" xfId="13866" xr:uid="{B98DEA4B-8819-44E2-8EC8-E8DEEAE44153}"/>
    <cellStyle name="40% - Accent5 3 4 4" xfId="9648" xr:uid="{A34CEE57-EBB4-4D45-A86C-0474AB4AA6D6}"/>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E500D705-8785-4053-91ED-FDE811B01E17}"/>
    <cellStyle name="40% - Accent5 3 5 2 3" xfId="12206" xr:uid="{94BA4C5E-BED5-422D-970E-3A753992FCD3}"/>
    <cellStyle name="40% - Accent5 3 5 3" xfId="5829" xr:uid="{00000000-0005-0000-0000-0000B2060000}"/>
    <cellStyle name="40% - Accent5 3 5 3 2" xfId="14279" xr:uid="{480BAAF6-3060-4C86-B1C2-C0D251F339C8}"/>
    <cellStyle name="40% - Accent5 3 5 4" xfId="10061" xr:uid="{7A8C2D94-3541-49DA-AEC6-1AE45071458A}"/>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2C5D9C60-3F2C-4996-A091-60E93AA55FC9}"/>
    <cellStyle name="40% - Accent5 3 6 2 3" xfId="12619" xr:uid="{4EDD7BA6-003E-4C51-8647-38AECD9D9B77}"/>
    <cellStyle name="40% - Accent5 3 6 3" xfId="6242" xr:uid="{00000000-0005-0000-0000-0000B6060000}"/>
    <cellStyle name="40% - Accent5 3 6 3 2" xfId="14692" xr:uid="{74CED917-4643-4B36-BBF2-8D390D8BC2C5}"/>
    <cellStyle name="40% - Accent5 3 6 4" xfId="10474" xr:uid="{14057E33-EAFE-476E-9C63-F434BB081056}"/>
    <cellStyle name="40% - Accent5 3 7" xfId="2349" xr:uid="{00000000-0005-0000-0000-0000B7060000}"/>
    <cellStyle name="40% - Accent5 3 7 2" xfId="6655" xr:uid="{00000000-0005-0000-0000-0000B8060000}"/>
    <cellStyle name="40% - Accent5 3 7 2 2" xfId="15105" xr:uid="{09815516-8824-4A95-A620-89A98F5AFC49}"/>
    <cellStyle name="40% - Accent5 3 7 3" xfId="10887" xr:uid="{DA0D96F9-4C46-4489-92A9-B88C1C90AFED}"/>
    <cellStyle name="40% - Accent5 3 8" xfId="4589" xr:uid="{00000000-0005-0000-0000-0000B9060000}"/>
    <cellStyle name="40% - Accent5 3 8 2" xfId="13039" xr:uid="{BFA20B41-D7A7-4F62-AEAB-C5ACA3556952}"/>
    <cellStyle name="40% - Accent5 3 9" xfId="8821" xr:uid="{8F3894BE-0B21-4F1F-B8D7-782E14CFCF2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CFF32EFE-F327-4D31-8848-17CFF0C2CB18}"/>
    <cellStyle name="40% - Accent5 4 2 2 3" xfId="11382" xr:uid="{A36627D6-0A79-4717-98D0-0F132848BA3C}"/>
    <cellStyle name="40% - Accent5 4 2 3" xfId="5005" xr:uid="{00000000-0005-0000-0000-0000BE060000}"/>
    <cellStyle name="40% - Accent5 4 2 3 2" xfId="13455" xr:uid="{A9EDA09F-AF29-4DCD-92C5-9A33710323D2}"/>
    <cellStyle name="40% - Accent5 4 2 4" xfId="9237" xr:uid="{B3F1D989-6949-4752-9277-A029ADE5986A}"/>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78A634DE-7D4B-47E5-B74C-062083BB9394}"/>
    <cellStyle name="40% - Accent5 4 3 2 3" xfId="11795" xr:uid="{9D3A56CB-DB37-476A-87E8-ACC2D9FF554D}"/>
    <cellStyle name="40% - Accent5 4 3 3" xfId="5418" xr:uid="{00000000-0005-0000-0000-0000C2060000}"/>
    <cellStyle name="40% - Accent5 4 3 3 2" xfId="13868" xr:uid="{EA78C423-218B-4567-AA80-FA9900BE4516}"/>
    <cellStyle name="40% - Accent5 4 3 4" xfId="9650" xr:uid="{2FAF6119-553A-4FD3-B0A7-B107FCA72FE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0585E5DC-B3F5-45DF-9CF3-6CF30DA83CD7}"/>
    <cellStyle name="40% - Accent5 4 4 2 3" xfId="12208" xr:uid="{21D92A50-DEDC-467A-BF0C-F78CBCBF88A0}"/>
    <cellStyle name="40% - Accent5 4 4 3" xfId="5831" xr:uid="{00000000-0005-0000-0000-0000C6060000}"/>
    <cellStyle name="40% - Accent5 4 4 3 2" xfId="14281" xr:uid="{08D6354C-1B28-4482-9B28-95402BE893CD}"/>
    <cellStyle name="40% - Accent5 4 4 4" xfId="10063" xr:uid="{E3F6F6E3-93B0-4FD1-88CB-B162D3E91AF9}"/>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24D5E4A7-E7DC-4A3F-AEF1-2E55B4D74249}"/>
    <cellStyle name="40% - Accent5 4 5 2 3" xfId="12621" xr:uid="{80DF961C-C173-4E1B-98DE-D5DAFEE77295}"/>
    <cellStyle name="40% - Accent5 4 5 3" xfId="6244" xr:uid="{00000000-0005-0000-0000-0000CA060000}"/>
    <cellStyle name="40% - Accent5 4 5 3 2" xfId="14694" xr:uid="{830CA8F9-BCC3-48B5-B0C3-AF94C51A1580}"/>
    <cellStyle name="40% - Accent5 4 5 4" xfId="10476" xr:uid="{8789F61D-C7D4-4F4D-9B55-1A363F65E832}"/>
    <cellStyle name="40% - Accent5 4 6" xfId="2351" xr:uid="{00000000-0005-0000-0000-0000CB060000}"/>
    <cellStyle name="40% - Accent5 4 6 2" xfId="6657" xr:uid="{00000000-0005-0000-0000-0000CC060000}"/>
    <cellStyle name="40% - Accent5 4 6 2 2" xfId="15107" xr:uid="{7AE7497C-F6F8-46BE-8CBF-03D85E42CCCD}"/>
    <cellStyle name="40% - Accent5 4 6 3" xfId="10889" xr:uid="{9909F278-36BB-4E20-86BC-E67024797097}"/>
    <cellStyle name="40% - Accent5 4 7" xfId="4591" xr:uid="{00000000-0005-0000-0000-0000CD060000}"/>
    <cellStyle name="40% - Accent5 4 7 2" xfId="13041" xr:uid="{BAA997AB-767B-4A2F-A77C-4A1FE0033607}"/>
    <cellStyle name="40% - Accent5 4 8" xfId="8823" xr:uid="{BD52F3A0-2251-430C-8095-F8115FE1EBF9}"/>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5FAA91A4-8E10-4616-BEC9-87043121268B}"/>
    <cellStyle name="40% - Accent5 5 2 3" xfId="11375" xr:uid="{9503C38F-5EBF-4073-AC00-308FE86DEA44}"/>
    <cellStyle name="40% - Accent5 5 3" xfId="4998" xr:uid="{00000000-0005-0000-0000-0000D1060000}"/>
    <cellStyle name="40% - Accent5 5 3 2" xfId="13448" xr:uid="{A94B2013-2E70-4805-83D0-F2F81F9DA5F4}"/>
    <cellStyle name="40% - Accent5 5 4" xfId="9230" xr:uid="{81AE356F-0714-46E0-A3C1-82422522CD2F}"/>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DEDD9D56-8D74-4F2D-AED8-AC72EA538508}"/>
    <cellStyle name="40% - Accent5 6 2 3" xfId="11788" xr:uid="{8EEB68AE-2FB6-4FC8-8D1A-33E356184A69}"/>
    <cellStyle name="40% - Accent5 6 3" xfId="5411" xr:uid="{00000000-0005-0000-0000-0000D5060000}"/>
    <cellStyle name="40% - Accent5 6 3 2" xfId="13861" xr:uid="{28987600-E31C-49B7-816A-BAC0D4F0B1C5}"/>
    <cellStyle name="40% - Accent5 6 4" xfId="9643" xr:uid="{B91E3CF5-A0EF-4116-B23F-03A6073E6164}"/>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930E5135-978C-4CA9-9A4E-16A98A48F3B2}"/>
    <cellStyle name="40% - Accent5 7 2 3" xfId="12201" xr:uid="{01425B7C-91D4-417B-A30C-C7F334C36D79}"/>
    <cellStyle name="40% - Accent5 7 3" xfId="5824" xr:uid="{00000000-0005-0000-0000-0000D9060000}"/>
    <cellStyle name="40% - Accent5 7 3 2" xfId="14274" xr:uid="{A6FF5D49-BE34-466A-83A0-128C497238D0}"/>
    <cellStyle name="40% - Accent5 7 4" xfId="10056" xr:uid="{B23337C8-9C04-47C8-ACC4-2319EF1774DF}"/>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19406A8F-9EA5-4516-BA10-93474EEC862F}"/>
    <cellStyle name="40% - Accent5 8 2 3" xfId="12614" xr:uid="{C6D22C99-5E19-4196-A027-7CFAA88C729A}"/>
    <cellStyle name="40% - Accent5 8 3" xfId="6237" xr:uid="{00000000-0005-0000-0000-0000DD060000}"/>
    <cellStyle name="40% - Accent5 8 3 2" xfId="14687" xr:uid="{623D30A4-8D05-4CB1-B94C-D6CDA66EB8C6}"/>
    <cellStyle name="40% - Accent5 8 4" xfId="10469" xr:uid="{94D8DD05-C139-42F1-80CB-92B422DACA7F}"/>
    <cellStyle name="40% - Accent5 9" xfId="2344" xr:uid="{00000000-0005-0000-0000-0000DE060000}"/>
    <cellStyle name="40% - Accent5 9 2" xfId="6650" xr:uid="{00000000-0005-0000-0000-0000DF060000}"/>
    <cellStyle name="40% - Accent5 9 2 2" xfId="15100" xr:uid="{A0228923-19A3-42E5-AED0-0222E9C880EA}"/>
    <cellStyle name="40% - Accent5 9 3" xfId="10882" xr:uid="{7BE3AD11-D6DB-4E38-85BE-EC02E3F47255}"/>
    <cellStyle name="40% - Accent6" xfId="89" builtinId="51" customBuiltin="1"/>
    <cellStyle name="40% - Accent6 10" xfId="4592" xr:uid="{00000000-0005-0000-0000-0000E1060000}"/>
    <cellStyle name="40% - Accent6 10 2" xfId="13042" xr:uid="{9ABD449D-0B16-4669-A755-915EE48465C9}"/>
    <cellStyle name="40% - Accent6 11" xfId="8824" xr:uid="{D51A8EF0-7BAE-4998-A3A9-A8E29A0013AA}"/>
    <cellStyle name="40% - Accent6 2" xfId="90" xr:uid="{00000000-0005-0000-0000-0000E2060000}"/>
    <cellStyle name="40% - Accent6 2 10" xfId="8825" xr:uid="{52B91A69-EE90-4C42-A4AE-2167925BB19D}"/>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CD12C2B7-AF96-4B92-B73D-2272873E1A0D}"/>
    <cellStyle name="40% - Accent6 2 2 2 2 2 3" xfId="11386" xr:uid="{3A747916-57E5-439E-8277-4A86464B1572}"/>
    <cellStyle name="40% - Accent6 2 2 2 2 3" xfId="5009" xr:uid="{00000000-0005-0000-0000-0000E8060000}"/>
    <cellStyle name="40% - Accent6 2 2 2 2 3 2" xfId="13459" xr:uid="{0D855445-2F72-474D-9416-7A9119473488}"/>
    <cellStyle name="40% - Accent6 2 2 2 2 4" xfId="9241" xr:uid="{57666691-3F2E-40C4-B69F-B3C0CC142157}"/>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95C0D7EC-6933-4D28-A12A-2CF58658C5AD}"/>
    <cellStyle name="40% - Accent6 2 2 2 3 2 3" xfId="11799" xr:uid="{26E3CFA6-0CE7-4C94-9B21-78F8F3DE80BF}"/>
    <cellStyle name="40% - Accent6 2 2 2 3 3" xfId="5422" xr:uid="{00000000-0005-0000-0000-0000EC060000}"/>
    <cellStyle name="40% - Accent6 2 2 2 3 3 2" xfId="13872" xr:uid="{7168C0B0-C31C-4506-922D-3AEFB063403E}"/>
    <cellStyle name="40% - Accent6 2 2 2 3 4" xfId="9654" xr:uid="{F9ACE3FA-8F22-4914-A760-F3420BB75491}"/>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F0A23CC0-E068-41A8-B2CE-6B311F3C0E2C}"/>
    <cellStyle name="40% - Accent6 2 2 2 4 2 3" xfId="12212" xr:uid="{228C94B5-17B4-46E6-9668-5E77B1C6FD07}"/>
    <cellStyle name="40% - Accent6 2 2 2 4 3" xfId="5835" xr:uid="{00000000-0005-0000-0000-0000F0060000}"/>
    <cellStyle name="40% - Accent6 2 2 2 4 3 2" xfId="14285" xr:uid="{E39ADA97-1471-4CE0-9AC6-BF8A333EB46E}"/>
    <cellStyle name="40% - Accent6 2 2 2 4 4" xfId="10067" xr:uid="{2701DCB2-ED2C-4C5D-838E-50ADB03B34E3}"/>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EC9DF47E-F617-4FF2-857A-720684E04947}"/>
    <cellStyle name="40% - Accent6 2 2 2 5 2 3" xfId="12625" xr:uid="{1C652B73-0C82-4A0B-8549-4B18B1DA8FE2}"/>
    <cellStyle name="40% - Accent6 2 2 2 5 3" xfId="6248" xr:uid="{00000000-0005-0000-0000-0000F4060000}"/>
    <cellStyle name="40% - Accent6 2 2 2 5 3 2" xfId="14698" xr:uid="{02E00E2E-823D-43C4-8A7B-1AC964537347}"/>
    <cellStyle name="40% - Accent6 2 2 2 5 4" xfId="10480" xr:uid="{EE891DE4-48D7-417D-87CB-86FCDC2AFEEA}"/>
    <cellStyle name="40% - Accent6 2 2 2 6" xfId="2355" xr:uid="{00000000-0005-0000-0000-0000F5060000}"/>
    <cellStyle name="40% - Accent6 2 2 2 6 2" xfId="6661" xr:uid="{00000000-0005-0000-0000-0000F6060000}"/>
    <cellStyle name="40% - Accent6 2 2 2 6 2 2" xfId="15111" xr:uid="{D4BE4C47-0BCE-44B6-A22B-7550CC9D2919}"/>
    <cellStyle name="40% - Accent6 2 2 2 6 3" xfId="10893" xr:uid="{5B078CED-10EF-4C39-832D-0752D0BE150E}"/>
    <cellStyle name="40% - Accent6 2 2 2 7" xfId="4595" xr:uid="{00000000-0005-0000-0000-0000F7060000}"/>
    <cellStyle name="40% - Accent6 2 2 2 7 2" xfId="13045" xr:uid="{1CD33F99-47D9-46A2-AD8A-909A59246BF0}"/>
    <cellStyle name="40% - Accent6 2 2 2 8" xfId="8827" xr:uid="{48F8DD15-03A0-4BCC-9985-8908228C1805}"/>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21E4600D-30E0-4FEB-A667-5F967E4424C0}"/>
    <cellStyle name="40% - Accent6 2 2 3 2 3" xfId="11385" xr:uid="{9B0834F8-A602-4026-9509-1BC354B343D5}"/>
    <cellStyle name="40% - Accent6 2 2 3 3" xfId="5008" xr:uid="{00000000-0005-0000-0000-0000FB060000}"/>
    <cellStyle name="40% - Accent6 2 2 3 3 2" xfId="13458" xr:uid="{9A02530E-6484-4722-AA97-412E92F133E4}"/>
    <cellStyle name="40% - Accent6 2 2 3 4" xfId="9240" xr:uid="{109FF22D-307C-47C6-A7A5-954F6D47DE31}"/>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BD5FDBF7-50BD-48AD-96AA-D1B4D83C014B}"/>
    <cellStyle name="40% - Accent6 2 2 4 2 3" xfId="11798" xr:uid="{400DDE5C-0A44-4AD2-88AC-F29226EC7544}"/>
    <cellStyle name="40% - Accent6 2 2 4 3" xfId="5421" xr:uid="{00000000-0005-0000-0000-0000FF060000}"/>
    <cellStyle name="40% - Accent6 2 2 4 3 2" xfId="13871" xr:uid="{1C3EAB9E-412E-4959-AB6E-519D2626B258}"/>
    <cellStyle name="40% - Accent6 2 2 4 4" xfId="9653" xr:uid="{DF7274C3-486C-4B76-98AA-4701CE66CA54}"/>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75DD7095-ED09-4D08-B1D3-EA8FE2D36604}"/>
    <cellStyle name="40% - Accent6 2 2 5 2 3" xfId="12211" xr:uid="{1D4F60EA-F068-4966-B24F-B8015EDFE6E7}"/>
    <cellStyle name="40% - Accent6 2 2 5 3" xfId="5834" xr:uid="{00000000-0005-0000-0000-000003070000}"/>
    <cellStyle name="40% - Accent6 2 2 5 3 2" xfId="14284" xr:uid="{A39ED743-BB9F-4478-9075-356F136810BC}"/>
    <cellStyle name="40% - Accent6 2 2 5 4" xfId="10066" xr:uid="{DF7351AA-64DE-4094-B920-C872F6D05272}"/>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3DB5FB40-7DC3-4B08-B0E6-ECFDC5B83668}"/>
    <cellStyle name="40% - Accent6 2 2 6 2 3" xfId="12624" xr:uid="{1809513B-2632-467C-BCD9-8B96E12AEACE}"/>
    <cellStyle name="40% - Accent6 2 2 6 3" xfId="6247" xr:uid="{00000000-0005-0000-0000-000007070000}"/>
    <cellStyle name="40% - Accent6 2 2 6 3 2" xfId="14697" xr:uid="{2F9BCA9B-3100-4C0C-BA29-854C983D698A}"/>
    <cellStyle name="40% - Accent6 2 2 6 4" xfId="10479" xr:uid="{0F62B785-3CDA-4DDF-B721-6703E09ACFDE}"/>
    <cellStyle name="40% - Accent6 2 2 7" xfId="2354" xr:uid="{00000000-0005-0000-0000-000008070000}"/>
    <cellStyle name="40% - Accent6 2 2 7 2" xfId="6660" xr:uid="{00000000-0005-0000-0000-000009070000}"/>
    <cellStyle name="40% - Accent6 2 2 7 2 2" xfId="15110" xr:uid="{4226F2C4-D269-4AC5-8EBC-7E9872310901}"/>
    <cellStyle name="40% - Accent6 2 2 7 3" xfId="10892" xr:uid="{4C5EB429-67A8-4E50-9983-CD594299D897}"/>
    <cellStyle name="40% - Accent6 2 2 8" xfId="4594" xr:uid="{00000000-0005-0000-0000-00000A070000}"/>
    <cellStyle name="40% - Accent6 2 2 8 2" xfId="13044" xr:uid="{1F9B4ACB-E28E-4EC1-BA0F-BCEB4255A639}"/>
    <cellStyle name="40% - Accent6 2 2 9" xfId="8826" xr:uid="{3D9F3501-A81C-44B6-8C43-193DCC6D11CF}"/>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E687DEB9-EC40-4D35-9673-FC457EB01407}"/>
    <cellStyle name="40% - Accent6 2 3 2 2 3" xfId="11387" xr:uid="{9B427389-8526-4DC0-9219-93DA8D90416B}"/>
    <cellStyle name="40% - Accent6 2 3 2 3" xfId="5010" xr:uid="{00000000-0005-0000-0000-00000F070000}"/>
    <cellStyle name="40% - Accent6 2 3 2 3 2" xfId="13460" xr:uid="{80531311-8C23-428C-9A29-8D28B2D7F718}"/>
    <cellStyle name="40% - Accent6 2 3 2 4" xfId="9242" xr:uid="{775D774C-F3AB-495A-85AF-2E0DD947AEF7}"/>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95FF6F68-0A52-4E4F-B3C0-32F0777FA6B4}"/>
    <cellStyle name="40% - Accent6 2 3 3 2 3" xfId="11800" xr:uid="{541B254C-408B-4694-9EB0-5A7445CE0554}"/>
    <cellStyle name="40% - Accent6 2 3 3 3" xfId="5423" xr:uid="{00000000-0005-0000-0000-000013070000}"/>
    <cellStyle name="40% - Accent6 2 3 3 3 2" xfId="13873" xr:uid="{B1FDD1D1-376B-4BB3-B5D9-74D747BF0C77}"/>
    <cellStyle name="40% - Accent6 2 3 3 4" xfId="9655" xr:uid="{23CAF157-D7B3-4E8C-81D7-D3410898C3FD}"/>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22F19AE2-FE0A-4360-A2F3-A8EF566EEC5B}"/>
    <cellStyle name="40% - Accent6 2 3 4 2 3" xfId="12213" xr:uid="{B5B53CD0-CC7C-41B4-910A-E60278CCF431}"/>
    <cellStyle name="40% - Accent6 2 3 4 3" xfId="5836" xr:uid="{00000000-0005-0000-0000-000017070000}"/>
    <cellStyle name="40% - Accent6 2 3 4 3 2" xfId="14286" xr:uid="{37588B63-AAD7-4F8E-9B81-4F95D4313416}"/>
    <cellStyle name="40% - Accent6 2 3 4 4" xfId="10068" xr:uid="{7CF42ADB-70CA-43C0-A3F9-0173A1EB4AC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1BE57F6D-8D20-4DE1-9C73-87D1D88FEFFF}"/>
    <cellStyle name="40% - Accent6 2 3 5 2 3" xfId="12626" xr:uid="{EF4AA756-AD4F-4DB9-8DFD-3AC5B2B3ADFB}"/>
    <cellStyle name="40% - Accent6 2 3 5 3" xfId="6249" xr:uid="{00000000-0005-0000-0000-00001B070000}"/>
    <cellStyle name="40% - Accent6 2 3 5 3 2" xfId="14699" xr:uid="{AE12E4BD-2BAA-450D-BC4B-F94498572C2E}"/>
    <cellStyle name="40% - Accent6 2 3 5 4" xfId="10481" xr:uid="{1E440F90-95FE-4CDE-B6CA-827C9E7D0328}"/>
    <cellStyle name="40% - Accent6 2 3 6" xfId="2356" xr:uid="{00000000-0005-0000-0000-00001C070000}"/>
    <cellStyle name="40% - Accent6 2 3 6 2" xfId="6662" xr:uid="{00000000-0005-0000-0000-00001D070000}"/>
    <cellStyle name="40% - Accent6 2 3 6 2 2" xfId="15112" xr:uid="{EBF40F9F-E8AD-4CE3-B2E2-86D19197D1B8}"/>
    <cellStyle name="40% - Accent6 2 3 6 3" xfId="10894" xr:uid="{D04DE64A-0F95-4F5C-BC9E-9F2278DB84E6}"/>
    <cellStyle name="40% - Accent6 2 3 7" xfId="4596" xr:uid="{00000000-0005-0000-0000-00001E070000}"/>
    <cellStyle name="40% - Accent6 2 3 7 2" xfId="13046" xr:uid="{7C36CF27-20F7-402F-8A79-7940DA936F9D}"/>
    <cellStyle name="40% - Accent6 2 3 8" xfId="8828" xr:uid="{BA4399F5-4793-4363-8B2A-90480B9E1E9E}"/>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94A058F7-3383-4633-B830-D7B5B6A08AF7}"/>
    <cellStyle name="40% - Accent6 2 4 2 3" xfId="11384" xr:uid="{87DEA8C5-4B78-4E4D-8B7D-61AF460B637D}"/>
    <cellStyle name="40% - Accent6 2 4 3" xfId="5007" xr:uid="{00000000-0005-0000-0000-000022070000}"/>
    <cellStyle name="40% - Accent6 2 4 3 2" xfId="13457" xr:uid="{5AF59374-D474-4AF3-B12A-9B9130D7B399}"/>
    <cellStyle name="40% - Accent6 2 4 4" xfId="9239" xr:uid="{0391B318-B24B-42F6-A617-60D12359339F}"/>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BDD87A4C-7942-4C0A-8765-1DEF2A816874}"/>
    <cellStyle name="40% - Accent6 2 5 2 3" xfId="11797" xr:uid="{64F9B46F-9C1E-4BAA-B0A1-F1E2EC6F1BE6}"/>
    <cellStyle name="40% - Accent6 2 5 3" xfId="5420" xr:uid="{00000000-0005-0000-0000-000026070000}"/>
    <cellStyle name="40% - Accent6 2 5 3 2" xfId="13870" xr:uid="{86D939F4-1D37-49CD-A409-9F7476DEF97E}"/>
    <cellStyle name="40% - Accent6 2 5 4" xfId="9652" xr:uid="{90211AEA-7DF8-489E-8F92-7C5E7B4AABEE}"/>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455EE469-3D44-4BF6-8BFF-06E5F87E59D2}"/>
    <cellStyle name="40% - Accent6 2 6 2 3" xfId="12210" xr:uid="{22DFE5B4-F53D-4B77-AAC3-18724EA3A04F}"/>
    <cellStyle name="40% - Accent6 2 6 3" xfId="5833" xr:uid="{00000000-0005-0000-0000-00002A070000}"/>
    <cellStyle name="40% - Accent6 2 6 3 2" xfId="14283" xr:uid="{EBDDA83A-8956-48B4-A92F-5F8D32720F9D}"/>
    <cellStyle name="40% - Accent6 2 6 4" xfId="10065" xr:uid="{B9C177A2-B175-4C7A-9B42-CCB7D10FFB9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E060377A-F359-467D-A86C-989C8068A7D7}"/>
    <cellStyle name="40% - Accent6 2 7 2 3" xfId="12623" xr:uid="{4E011E45-912C-4CD0-84EC-79B4D05142D1}"/>
    <cellStyle name="40% - Accent6 2 7 3" xfId="6246" xr:uid="{00000000-0005-0000-0000-00002E070000}"/>
    <cellStyle name="40% - Accent6 2 7 3 2" xfId="14696" xr:uid="{6680F976-AC0E-428E-AC17-1585583F08C6}"/>
    <cellStyle name="40% - Accent6 2 7 4" xfId="10478" xr:uid="{30800996-3D62-48BE-97A9-070C87016364}"/>
    <cellStyle name="40% - Accent6 2 8" xfId="2353" xr:uid="{00000000-0005-0000-0000-00002F070000}"/>
    <cellStyle name="40% - Accent6 2 8 2" xfId="6659" xr:uid="{00000000-0005-0000-0000-000030070000}"/>
    <cellStyle name="40% - Accent6 2 8 2 2" xfId="15109" xr:uid="{B3743B6C-D833-46BF-8E12-22C1D745C30B}"/>
    <cellStyle name="40% - Accent6 2 8 3" xfId="10891" xr:uid="{1DBCF239-8E68-4A4F-8635-15FFAE0789D4}"/>
    <cellStyle name="40% - Accent6 2 9" xfId="4593" xr:uid="{00000000-0005-0000-0000-000031070000}"/>
    <cellStyle name="40% - Accent6 2 9 2" xfId="13043" xr:uid="{AE19436B-74FB-488F-B66A-7E1D1D1CB39C}"/>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C6896747-87F6-4651-B4A6-9FF1415CAE0D}"/>
    <cellStyle name="40% - Accent6 3 2 2 2 3" xfId="11389" xr:uid="{40E17EDD-C81C-48FC-A46E-B5EBA0CCC24E}"/>
    <cellStyle name="40% - Accent6 3 2 2 3" xfId="5012" xr:uid="{00000000-0005-0000-0000-000037070000}"/>
    <cellStyle name="40% - Accent6 3 2 2 3 2" xfId="13462" xr:uid="{738B2484-C897-4E14-8FEF-318AD71BFCA6}"/>
    <cellStyle name="40% - Accent6 3 2 2 4" xfId="9244" xr:uid="{D05CEA2E-416E-4532-909E-553D0EF020C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0ED6CEE6-BF02-4868-9557-636AE2CBDB40}"/>
    <cellStyle name="40% - Accent6 3 2 3 2 3" xfId="11802" xr:uid="{130CDBD1-79D4-4719-A5F8-33E77EE48666}"/>
    <cellStyle name="40% - Accent6 3 2 3 3" xfId="5425" xr:uid="{00000000-0005-0000-0000-00003B070000}"/>
    <cellStyle name="40% - Accent6 3 2 3 3 2" xfId="13875" xr:uid="{E230C20F-9A4B-4B73-BEE6-5229DC06DE8E}"/>
    <cellStyle name="40% - Accent6 3 2 3 4" xfId="9657" xr:uid="{93C276C9-AD9E-42D9-8DA8-64604888E335}"/>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AA2600CD-64CB-497E-993C-5D49165EE30E}"/>
    <cellStyle name="40% - Accent6 3 2 4 2 3" xfId="12215" xr:uid="{2B94AEE1-7337-4259-AE18-E1D997FE122A}"/>
    <cellStyle name="40% - Accent6 3 2 4 3" xfId="5838" xr:uid="{00000000-0005-0000-0000-00003F070000}"/>
    <cellStyle name="40% - Accent6 3 2 4 3 2" xfId="14288" xr:uid="{69CE44B5-8F56-47A2-B701-16E8EE4609D0}"/>
    <cellStyle name="40% - Accent6 3 2 4 4" xfId="10070" xr:uid="{A84B6AD6-E214-436F-B104-D2CADAD23EC2}"/>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62FAD4C2-81A9-4C51-ADA4-7ED359B86176}"/>
    <cellStyle name="40% - Accent6 3 2 5 2 3" xfId="12628" xr:uid="{8236C73F-F864-4B96-B5DC-BBDB28D747F9}"/>
    <cellStyle name="40% - Accent6 3 2 5 3" xfId="6251" xr:uid="{00000000-0005-0000-0000-000043070000}"/>
    <cellStyle name="40% - Accent6 3 2 5 3 2" xfId="14701" xr:uid="{8A3B858B-A0D1-466A-A888-5E9DFA20B595}"/>
    <cellStyle name="40% - Accent6 3 2 5 4" xfId="10483" xr:uid="{2D6B1C99-62A6-4D9B-B1FC-EA0CA6E5B8B5}"/>
    <cellStyle name="40% - Accent6 3 2 6" xfId="2358" xr:uid="{00000000-0005-0000-0000-000044070000}"/>
    <cellStyle name="40% - Accent6 3 2 6 2" xfId="6664" xr:uid="{00000000-0005-0000-0000-000045070000}"/>
    <cellStyle name="40% - Accent6 3 2 6 2 2" xfId="15114" xr:uid="{CFAB3408-AB1A-4318-9B25-C6483DB98B40}"/>
    <cellStyle name="40% - Accent6 3 2 6 3" xfId="10896" xr:uid="{E1798BA3-08DC-4014-826C-46BF204243D5}"/>
    <cellStyle name="40% - Accent6 3 2 7" xfId="4598" xr:uid="{00000000-0005-0000-0000-000046070000}"/>
    <cellStyle name="40% - Accent6 3 2 7 2" xfId="13048" xr:uid="{1BA1D6F5-8987-4238-8DEF-9A99E99FDC74}"/>
    <cellStyle name="40% - Accent6 3 2 8" xfId="8830" xr:uid="{CC74F38E-DA86-40E1-A20E-08422CE5ECD4}"/>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9018F74F-0081-4E5A-8605-668340029079}"/>
    <cellStyle name="40% - Accent6 3 3 2 3" xfId="11388" xr:uid="{AB28037D-5BD4-4BA2-B9CE-5D0A60CB0B32}"/>
    <cellStyle name="40% - Accent6 3 3 3" xfId="5011" xr:uid="{00000000-0005-0000-0000-00004A070000}"/>
    <cellStyle name="40% - Accent6 3 3 3 2" xfId="13461" xr:uid="{5A75E4AE-2185-4F41-B7A8-578D27791DF8}"/>
    <cellStyle name="40% - Accent6 3 3 4" xfId="9243" xr:uid="{860B28B3-D4A3-4213-A5AF-9B75CF4B822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7DEB23B2-2603-437A-AD30-3F005E1EF179}"/>
    <cellStyle name="40% - Accent6 3 4 2 3" xfId="11801" xr:uid="{49032F38-96C0-4522-A168-9C6487B790A1}"/>
    <cellStyle name="40% - Accent6 3 4 3" xfId="5424" xr:uid="{00000000-0005-0000-0000-00004E070000}"/>
    <cellStyle name="40% - Accent6 3 4 3 2" xfId="13874" xr:uid="{5B70EE7D-D02F-4A81-9AB8-EF5308FA16A7}"/>
    <cellStyle name="40% - Accent6 3 4 4" xfId="9656" xr:uid="{DD94CEF2-C2B9-4E31-8C2A-3D1F773BDF9E}"/>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AEF282E3-9554-49E4-B0B0-B44FE6B60D62}"/>
    <cellStyle name="40% - Accent6 3 5 2 3" xfId="12214" xr:uid="{D370F233-B4C5-413F-8A38-2E5D5B1C97A8}"/>
    <cellStyle name="40% - Accent6 3 5 3" xfId="5837" xr:uid="{00000000-0005-0000-0000-000052070000}"/>
    <cellStyle name="40% - Accent6 3 5 3 2" xfId="14287" xr:uid="{EBA672FB-17C0-4025-9A65-272AEA015B6D}"/>
    <cellStyle name="40% - Accent6 3 5 4" xfId="10069" xr:uid="{5B4CC4B0-773E-4CD0-8C59-27B0761AA845}"/>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4EAFF7F7-4384-4AAC-8311-F397B3A3B588}"/>
    <cellStyle name="40% - Accent6 3 6 2 3" xfId="12627" xr:uid="{BE6E1D10-C555-412A-BA36-C71BBF6D9A70}"/>
    <cellStyle name="40% - Accent6 3 6 3" xfId="6250" xr:uid="{00000000-0005-0000-0000-000056070000}"/>
    <cellStyle name="40% - Accent6 3 6 3 2" xfId="14700" xr:uid="{2211C124-1394-486B-BCD7-C971EC37766A}"/>
    <cellStyle name="40% - Accent6 3 6 4" xfId="10482" xr:uid="{FA26E749-D5F6-44E5-BB4F-2ED52A1FF20B}"/>
    <cellStyle name="40% - Accent6 3 7" xfId="2357" xr:uid="{00000000-0005-0000-0000-000057070000}"/>
    <cellStyle name="40% - Accent6 3 7 2" xfId="6663" xr:uid="{00000000-0005-0000-0000-000058070000}"/>
    <cellStyle name="40% - Accent6 3 7 2 2" xfId="15113" xr:uid="{ECF452FC-1036-4653-A9D7-EC8F6C2FC511}"/>
    <cellStyle name="40% - Accent6 3 7 3" xfId="10895" xr:uid="{4FFDDD6A-0DDA-4905-BBC8-C9D121C1F0DE}"/>
    <cellStyle name="40% - Accent6 3 8" xfId="4597" xr:uid="{00000000-0005-0000-0000-000059070000}"/>
    <cellStyle name="40% - Accent6 3 8 2" xfId="13047" xr:uid="{5071239D-7959-41DF-87A0-E6B6537778F5}"/>
    <cellStyle name="40% - Accent6 3 9" xfId="8829" xr:uid="{89B57FC2-1A35-4747-9F2E-80EF422D3264}"/>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9B2770B0-9E06-4E27-947B-CA195D5E0D9B}"/>
    <cellStyle name="40% - Accent6 4 2 2 3" xfId="11390" xr:uid="{F672EB5B-025E-4C50-85E5-192137F948CE}"/>
    <cellStyle name="40% - Accent6 4 2 3" xfId="5013" xr:uid="{00000000-0005-0000-0000-00005E070000}"/>
    <cellStyle name="40% - Accent6 4 2 3 2" xfId="13463" xr:uid="{08A9AB78-11F4-423B-B4D4-36F7751FAC3D}"/>
    <cellStyle name="40% - Accent6 4 2 4" xfId="9245" xr:uid="{F0ED229A-2E73-4658-9843-F1C2EEF8B15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8588F1D1-1131-4F08-9D7F-CDEA2070A70F}"/>
    <cellStyle name="40% - Accent6 4 3 2 3" xfId="11803" xr:uid="{C24A7357-1506-4E3E-B393-681819E3AB04}"/>
    <cellStyle name="40% - Accent6 4 3 3" xfId="5426" xr:uid="{00000000-0005-0000-0000-000062070000}"/>
    <cellStyle name="40% - Accent6 4 3 3 2" xfId="13876" xr:uid="{AD15A44C-90BD-44C3-8837-67A3A9A4E267}"/>
    <cellStyle name="40% - Accent6 4 3 4" xfId="9658" xr:uid="{4FDF75A7-E469-4B47-BD12-2B44BB5A03B0}"/>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1E8B825F-1232-45AD-96E4-71BB42C507BB}"/>
    <cellStyle name="40% - Accent6 4 4 2 3" xfId="12216" xr:uid="{85F6CF00-06B7-4F99-9EA8-9A9A48CC8D37}"/>
    <cellStyle name="40% - Accent6 4 4 3" xfId="5839" xr:uid="{00000000-0005-0000-0000-000066070000}"/>
    <cellStyle name="40% - Accent6 4 4 3 2" xfId="14289" xr:uid="{FCA846C9-C3FA-4FD9-8C50-87EE65E0F386}"/>
    <cellStyle name="40% - Accent6 4 4 4" xfId="10071" xr:uid="{E53668EE-09C1-4783-AAC9-F908829F94CC}"/>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06995CAF-BFE2-432D-8C7B-D5D88669565B}"/>
    <cellStyle name="40% - Accent6 4 5 2 3" xfId="12629" xr:uid="{A9941989-EDB9-4DC4-8FD1-3D315C949A24}"/>
    <cellStyle name="40% - Accent6 4 5 3" xfId="6252" xr:uid="{00000000-0005-0000-0000-00006A070000}"/>
    <cellStyle name="40% - Accent6 4 5 3 2" xfId="14702" xr:uid="{E12B7E76-2812-41CA-8E72-37FC7F6C837D}"/>
    <cellStyle name="40% - Accent6 4 5 4" xfId="10484" xr:uid="{6C54B51E-AE1C-4BA3-BA62-FE53F27630B1}"/>
    <cellStyle name="40% - Accent6 4 6" xfId="2359" xr:uid="{00000000-0005-0000-0000-00006B070000}"/>
    <cellStyle name="40% - Accent6 4 6 2" xfId="6665" xr:uid="{00000000-0005-0000-0000-00006C070000}"/>
    <cellStyle name="40% - Accent6 4 6 2 2" xfId="15115" xr:uid="{A60B486F-52F5-46C6-BA3D-5EE342AD2F79}"/>
    <cellStyle name="40% - Accent6 4 6 3" xfId="10897" xr:uid="{24B9A554-B422-4736-983E-9F1CB85FF6A6}"/>
    <cellStyle name="40% - Accent6 4 7" xfId="4599" xr:uid="{00000000-0005-0000-0000-00006D070000}"/>
    <cellStyle name="40% - Accent6 4 7 2" xfId="13049" xr:uid="{D685418B-5558-4E22-A8D1-D6246AC241FF}"/>
    <cellStyle name="40% - Accent6 4 8" xfId="8831" xr:uid="{07D171FD-52D1-4D9A-B73B-FBCAF0209E4B}"/>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8CCC8880-6A28-4E78-8D54-DAD93BA1F4BD}"/>
    <cellStyle name="40% - Accent6 5 2 3" xfId="11383" xr:uid="{1D6D24B2-352A-4D87-A466-666CBC48E600}"/>
    <cellStyle name="40% - Accent6 5 3" xfId="5006" xr:uid="{00000000-0005-0000-0000-000071070000}"/>
    <cellStyle name="40% - Accent6 5 3 2" xfId="13456" xr:uid="{494736E6-04BF-40A6-9E73-AA9A6343C47D}"/>
    <cellStyle name="40% - Accent6 5 4" xfId="9238" xr:uid="{AA16D955-EEE8-43D3-BE4F-4AC4AEC4ED88}"/>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411125A3-33D9-404E-9A9C-116C309E9481}"/>
    <cellStyle name="40% - Accent6 6 2 3" xfId="11796" xr:uid="{514CEF45-6242-4986-A581-EDF88D0BCAEF}"/>
    <cellStyle name="40% - Accent6 6 3" xfId="5419" xr:uid="{00000000-0005-0000-0000-000075070000}"/>
    <cellStyle name="40% - Accent6 6 3 2" xfId="13869" xr:uid="{AEA362C5-F109-4CE4-8FD1-0798BBA939FE}"/>
    <cellStyle name="40% - Accent6 6 4" xfId="9651" xr:uid="{E3D5326E-CFD0-473E-B30C-62D4C1A82340}"/>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F4385580-118D-4737-AE4C-18C5401C029F}"/>
    <cellStyle name="40% - Accent6 7 2 3" xfId="12209" xr:uid="{0CBCEEAF-1D89-4248-BC44-B089FF3B6DB5}"/>
    <cellStyle name="40% - Accent6 7 3" xfId="5832" xr:uid="{00000000-0005-0000-0000-000079070000}"/>
    <cellStyle name="40% - Accent6 7 3 2" xfId="14282" xr:uid="{A34FF463-C69F-4949-9970-D0A6EF7E52C8}"/>
    <cellStyle name="40% - Accent6 7 4" xfId="10064" xr:uid="{88318AF5-69DE-4BA7-97E4-E01AADF66882}"/>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4A130935-4BC2-45F7-A837-B410C9E7C6E6}"/>
    <cellStyle name="40% - Accent6 8 2 3" xfId="12622" xr:uid="{3FBB4AE0-9CB5-4060-BFDE-4F87AE734E16}"/>
    <cellStyle name="40% - Accent6 8 3" xfId="6245" xr:uid="{00000000-0005-0000-0000-00007D070000}"/>
    <cellStyle name="40% - Accent6 8 3 2" xfId="14695" xr:uid="{C33A7842-83ED-43CA-B21B-B99F5297D35F}"/>
    <cellStyle name="40% - Accent6 8 4" xfId="10477" xr:uid="{0C8EEE0D-D263-4257-B4FF-B8FA61C7A620}"/>
    <cellStyle name="40% - Accent6 9" xfId="2352" xr:uid="{00000000-0005-0000-0000-00007E070000}"/>
    <cellStyle name="40% - Accent6 9 2" xfId="6658" xr:uid="{00000000-0005-0000-0000-00007F070000}"/>
    <cellStyle name="40% - Accent6 9 2 2" xfId="15108" xr:uid="{DB02E197-E2FC-488A-9826-23230B03C800}"/>
    <cellStyle name="40% - Accent6 9 3" xfId="10890" xr:uid="{3C980815-CEFE-4D4A-9C4B-0E565295FD3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19E5716D-E8A4-4AE1-90B3-770C0924CA70}"/>
    <cellStyle name="Comma 4 2 2 2 10 3" xfId="11215" xr:uid="{02A57ABE-4CDE-4A6C-B19C-3D83BB4D79E9}"/>
    <cellStyle name="Comma 4 2 2 2 11" xfId="4600" xr:uid="{00000000-0005-0000-0000-0000A3070000}"/>
    <cellStyle name="Comma 4 2 2 2 11 2" xfId="13050" xr:uid="{900328D5-6D96-4734-A362-5FBAFDAF8F86}"/>
    <cellStyle name="Comma 4 2 2 2 12" xfId="8832" xr:uid="{C5868A72-30FD-456D-BDD5-66FC7598CD18}"/>
    <cellStyle name="Comma 4 2 2 2 2" xfId="129" xr:uid="{00000000-0005-0000-0000-0000A4070000}"/>
    <cellStyle name="Comma 4 2 2 2 2 10" xfId="4601" xr:uid="{00000000-0005-0000-0000-0000A5070000}"/>
    <cellStyle name="Comma 4 2 2 2 2 10 2" xfId="13051" xr:uid="{F4F9F6D6-3B9D-472B-AD1E-79B391EC6503}"/>
    <cellStyle name="Comma 4 2 2 2 2 11" xfId="8833" xr:uid="{0DAFE956-33D9-47B9-BC1A-55A2A4EF2C6B}"/>
    <cellStyle name="Comma 4 2 2 2 2 2" xfId="130" xr:uid="{00000000-0005-0000-0000-0000A6070000}"/>
    <cellStyle name="Comma 4 2 2 2 2 2 10" xfId="8834" xr:uid="{9B32D29D-1493-4348-92F2-B2D623A90BF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C401F50E-6769-4110-8152-3CE446199420}"/>
    <cellStyle name="Comma 4 2 2 2 2 2 2 2 3" xfId="11393" xr:uid="{4D4FC75B-8718-4B92-9C6A-F39E8BA84397}"/>
    <cellStyle name="Comma 4 2 2 2 2 2 2 3" xfId="5016" xr:uid="{00000000-0005-0000-0000-0000AA070000}"/>
    <cellStyle name="Comma 4 2 2 2 2 2 2 3 2" xfId="13466" xr:uid="{ECB3FE56-67D4-4587-A886-44F419CA2F1D}"/>
    <cellStyle name="Comma 4 2 2 2 2 2 2 4" xfId="9248" xr:uid="{CE013F89-0164-40AD-9ABC-9DAA2AE5354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3F7253CC-B7F4-4B02-B227-60DB2A8CADAB}"/>
    <cellStyle name="Comma 4 2 2 2 2 2 3 2 3" xfId="11806" xr:uid="{FECD2241-8411-40E2-B320-5075BDF86713}"/>
    <cellStyle name="Comma 4 2 2 2 2 2 3 3" xfId="5429" xr:uid="{00000000-0005-0000-0000-0000AE070000}"/>
    <cellStyle name="Comma 4 2 2 2 2 2 3 3 2" xfId="13879" xr:uid="{1CD09F04-00EB-49DA-8857-E168C0FE3D27}"/>
    <cellStyle name="Comma 4 2 2 2 2 2 3 4" xfId="9661" xr:uid="{7E6BBCF2-8144-4C93-9D23-CF2292290FDA}"/>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34CE695A-4344-43BE-A129-86E7557E497B}"/>
    <cellStyle name="Comma 4 2 2 2 2 2 4 2 3" xfId="12219" xr:uid="{36ADBDC5-6222-4DEE-8900-5CC4F3C50ABB}"/>
    <cellStyle name="Comma 4 2 2 2 2 2 4 3" xfId="5842" xr:uid="{00000000-0005-0000-0000-0000B2070000}"/>
    <cellStyle name="Comma 4 2 2 2 2 2 4 3 2" xfId="14292" xr:uid="{73046F5D-49EC-4224-9189-63238B5988F1}"/>
    <cellStyle name="Comma 4 2 2 2 2 2 4 4" xfId="10074" xr:uid="{04B5A968-7820-45E9-B7DF-E766BC0D749E}"/>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5E5991DA-3FF8-427F-B77C-EE822E462947}"/>
    <cellStyle name="Comma 4 2 2 2 2 2 5 2 3" xfId="12632" xr:uid="{B14951CC-17C4-4FAD-81B0-D4A0E60AAF8C}"/>
    <cellStyle name="Comma 4 2 2 2 2 2 5 3" xfId="6255" xr:uid="{00000000-0005-0000-0000-0000B6070000}"/>
    <cellStyle name="Comma 4 2 2 2 2 2 5 3 2" xfId="14705" xr:uid="{B9655076-0215-464D-A326-FF4E54AA513E}"/>
    <cellStyle name="Comma 4 2 2 2 2 2 5 4" xfId="10487" xr:uid="{47623843-9244-4AFA-BF8B-1F9007E109B3}"/>
    <cellStyle name="Comma 4 2 2 2 2 2 6" xfId="2384" xr:uid="{00000000-0005-0000-0000-0000B7070000}"/>
    <cellStyle name="Comma 4 2 2 2 2 2 6 2" xfId="6668" xr:uid="{00000000-0005-0000-0000-0000B8070000}"/>
    <cellStyle name="Comma 4 2 2 2 2 2 6 2 2" xfId="15118" xr:uid="{45553067-669C-4A9A-B66D-8BD48AEA1902}"/>
    <cellStyle name="Comma 4 2 2 2 2 2 6 3" xfId="10900" xr:uid="{212FA86D-8F6C-473B-B295-B3FB95534D66}"/>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AAE39B42-C438-422F-9D96-CDAF50D042F6}"/>
    <cellStyle name="Comma 4 2 2 2 2 2 8 3" xfId="11217" xr:uid="{A4FE8546-E8D2-464C-80E9-AAA7320FC23D}"/>
    <cellStyle name="Comma 4 2 2 2 2 2 9" xfId="4602" xr:uid="{00000000-0005-0000-0000-0000BC070000}"/>
    <cellStyle name="Comma 4 2 2 2 2 2 9 2" xfId="13052" xr:uid="{1D50BF36-F1D0-45C3-AC9B-C67592E89081}"/>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C153C9A6-43CE-427F-AEFF-00FEA6CF4B89}"/>
    <cellStyle name="Comma 4 2 2 2 2 3 2 3" xfId="11392" xr:uid="{DA6279B2-C168-4FBD-9DD0-464D5AE8BD46}"/>
    <cellStyle name="Comma 4 2 2 2 2 3 3" xfId="5015" xr:uid="{00000000-0005-0000-0000-0000C0070000}"/>
    <cellStyle name="Comma 4 2 2 2 2 3 3 2" xfId="13465" xr:uid="{D2765AD9-2FF6-473D-8400-E07762708CD3}"/>
    <cellStyle name="Comma 4 2 2 2 2 3 4" xfId="9247" xr:uid="{2374CC08-5EFC-4256-B6DA-FB23BA236EC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DEA3FFFE-D5D3-4EFA-B685-7F79C6C32CFB}"/>
    <cellStyle name="Comma 4 2 2 2 2 4 2 3" xfId="11805" xr:uid="{2A5A05E0-26C5-40AB-9EE2-62127F291528}"/>
    <cellStyle name="Comma 4 2 2 2 2 4 3" xfId="5428" xr:uid="{00000000-0005-0000-0000-0000C4070000}"/>
    <cellStyle name="Comma 4 2 2 2 2 4 3 2" xfId="13878" xr:uid="{27E842C9-E8D3-44CF-8186-8D8540E6C230}"/>
    <cellStyle name="Comma 4 2 2 2 2 4 4" xfId="9660" xr:uid="{2CEDC816-3B59-4A4F-8BAD-CBBF43EC7590}"/>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2D838722-DE5B-4CF0-B3C3-29B7DFF9BA2C}"/>
    <cellStyle name="Comma 4 2 2 2 2 5 2 3" xfId="12218" xr:uid="{751C5A17-51C2-4640-A660-F8CCCDEBC85F}"/>
    <cellStyle name="Comma 4 2 2 2 2 5 3" xfId="5841" xr:uid="{00000000-0005-0000-0000-0000C8070000}"/>
    <cellStyle name="Comma 4 2 2 2 2 5 3 2" xfId="14291" xr:uid="{0B6F324B-F201-4410-AC13-BEA18345EA90}"/>
    <cellStyle name="Comma 4 2 2 2 2 5 4" xfId="10073" xr:uid="{1993485E-EF0E-431C-92BB-6D906D1AD06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CCE08D5F-54FB-4450-883C-3159E32C5274}"/>
    <cellStyle name="Comma 4 2 2 2 2 6 2 3" xfId="12631" xr:uid="{7BC97A37-301C-47F4-A9B0-A8743CA78DC0}"/>
    <cellStyle name="Comma 4 2 2 2 2 6 3" xfId="6254" xr:uid="{00000000-0005-0000-0000-0000CC070000}"/>
    <cellStyle name="Comma 4 2 2 2 2 6 3 2" xfId="14704" xr:uid="{8A9D38A6-63EE-4E99-AB03-E1C401716175}"/>
    <cellStyle name="Comma 4 2 2 2 2 6 4" xfId="10486" xr:uid="{A377CC2C-16A4-4B45-A523-CCEE561E1CFD}"/>
    <cellStyle name="Comma 4 2 2 2 2 7" xfId="2383" xr:uid="{00000000-0005-0000-0000-0000CD070000}"/>
    <cellStyle name="Comma 4 2 2 2 2 7 2" xfId="6667" xr:uid="{00000000-0005-0000-0000-0000CE070000}"/>
    <cellStyle name="Comma 4 2 2 2 2 7 2 2" xfId="15117" xr:uid="{A4217162-9364-4161-9700-688589E39F0F}"/>
    <cellStyle name="Comma 4 2 2 2 2 7 3" xfId="10899" xr:uid="{4A0BA067-CF91-4876-9577-EDAB0D472923}"/>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E1F541AB-C99B-44DA-90F9-B962AA9C4DA2}"/>
    <cellStyle name="Comma 4 2 2 2 2 9 3" xfId="11216" xr:uid="{518685A1-5019-4125-8DE2-E283B19C641B}"/>
    <cellStyle name="Comma 4 2 2 2 3" xfId="131" xr:uid="{00000000-0005-0000-0000-0000D2070000}"/>
    <cellStyle name="Comma 4 2 2 2 3 10" xfId="8835" xr:uid="{2B4DA7A5-33B1-42A0-8AB7-809941925F46}"/>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D141BE4-AFEB-40E1-BF1D-FC6C080718DC}"/>
    <cellStyle name="Comma 4 2 2 2 3 2 2 3" xfId="11394" xr:uid="{3DAAA601-AE2B-49AB-BB80-D57EA0875517}"/>
    <cellStyle name="Comma 4 2 2 2 3 2 3" xfId="5017" xr:uid="{00000000-0005-0000-0000-0000D6070000}"/>
    <cellStyle name="Comma 4 2 2 2 3 2 3 2" xfId="13467" xr:uid="{EEC45308-F916-4516-B1E2-8892300C0298}"/>
    <cellStyle name="Comma 4 2 2 2 3 2 4" xfId="9249" xr:uid="{C0541A73-6473-484D-AA41-464C81F1F86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E4124C72-2B20-460A-8497-D17053DE57C1}"/>
    <cellStyle name="Comma 4 2 2 2 3 3 2 3" xfId="11807" xr:uid="{7C2EBFA3-49D7-4BAE-AEC3-A6775983E76E}"/>
    <cellStyle name="Comma 4 2 2 2 3 3 3" xfId="5430" xr:uid="{00000000-0005-0000-0000-0000DA070000}"/>
    <cellStyle name="Comma 4 2 2 2 3 3 3 2" xfId="13880" xr:uid="{A17A31FA-42B1-4553-AA82-8644C10068B0}"/>
    <cellStyle name="Comma 4 2 2 2 3 3 4" xfId="9662" xr:uid="{7D192D02-951D-4EFC-AC2F-7B1AD755D98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044793B5-1769-4975-A674-42DE2D0E4767}"/>
    <cellStyle name="Comma 4 2 2 2 3 4 2 3" xfId="12220" xr:uid="{A299E62E-DBF8-4B15-8105-7FB3ACFED9F8}"/>
    <cellStyle name="Comma 4 2 2 2 3 4 3" xfId="5843" xr:uid="{00000000-0005-0000-0000-0000DE070000}"/>
    <cellStyle name="Comma 4 2 2 2 3 4 3 2" xfId="14293" xr:uid="{5F187C7A-4463-4FAC-ABFE-B98CA279ABD6}"/>
    <cellStyle name="Comma 4 2 2 2 3 4 4" xfId="10075" xr:uid="{562A85AC-08C1-4267-B836-5370F66B6BC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1629D56D-9D81-45B0-AB29-C8A1109472AF}"/>
    <cellStyle name="Comma 4 2 2 2 3 5 2 3" xfId="12633" xr:uid="{1B4D12D9-D76C-4CFC-A417-C4B01F20B35A}"/>
    <cellStyle name="Comma 4 2 2 2 3 5 3" xfId="6256" xr:uid="{00000000-0005-0000-0000-0000E2070000}"/>
    <cellStyle name="Comma 4 2 2 2 3 5 3 2" xfId="14706" xr:uid="{CF5DDDFE-2AE7-4A8D-ADC0-EB140E0BE959}"/>
    <cellStyle name="Comma 4 2 2 2 3 5 4" xfId="10488" xr:uid="{685DE719-EADC-4E60-8DE4-2006EF20A685}"/>
    <cellStyle name="Comma 4 2 2 2 3 6" xfId="2385" xr:uid="{00000000-0005-0000-0000-0000E3070000}"/>
    <cellStyle name="Comma 4 2 2 2 3 6 2" xfId="6669" xr:uid="{00000000-0005-0000-0000-0000E4070000}"/>
    <cellStyle name="Comma 4 2 2 2 3 6 2 2" xfId="15119" xr:uid="{A99C4761-C1BB-417E-B80F-994727DD3232}"/>
    <cellStyle name="Comma 4 2 2 2 3 6 3" xfId="10901" xr:uid="{31073F73-024C-4172-88EA-B110B0DA2B4D}"/>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6DECBF77-D34A-4B1D-B56B-7AAEF40BE23F}"/>
    <cellStyle name="Comma 4 2 2 2 3 8 3" xfId="11218" xr:uid="{20CF1405-F835-48A8-BB45-9A90575015D0}"/>
    <cellStyle name="Comma 4 2 2 2 3 9" xfId="4603" xr:uid="{00000000-0005-0000-0000-0000E8070000}"/>
    <cellStyle name="Comma 4 2 2 2 3 9 2" xfId="13053" xr:uid="{4586CB30-5BB3-453C-984B-A0A7E5F6B5C3}"/>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33F6A4DF-3153-40C1-B54A-A6B36090F77A}"/>
    <cellStyle name="Comma 4 2 2 2 4 2 3" xfId="11391" xr:uid="{FF2C9776-B4F1-427E-98FF-4A8958D53BC9}"/>
    <cellStyle name="Comma 4 2 2 2 4 3" xfId="5014" xr:uid="{00000000-0005-0000-0000-0000EC070000}"/>
    <cellStyle name="Comma 4 2 2 2 4 3 2" xfId="13464" xr:uid="{7D8E6042-91E9-4137-932C-127E2FBCE578}"/>
    <cellStyle name="Comma 4 2 2 2 4 4" xfId="9246" xr:uid="{E03E424C-A9F6-480E-867E-921942730E74}"/>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1B715A27-C102-4603-9467-66B7A2B27B68}"/>
    <cellStyle name="Comma 4 2 2 2 5 2 3" xfId="11804" xr:uid="{C1DE8EB5-E853-4943-9605-752467702CFE}"/>
    <cellStyle name="Comma 4 2 2 2 5 3" xfId="5427" xr:uid="{00000000-0005-0000-0000-0000F0070000}"/>
    <cellStyle name="Comma 4 2 2 2 5 3 2" xfId="13877" xr:uid="{B5A0685D-8D82-41E5-8129-8D2651022196}"/>
    <cellStyle name="Comma 4 2 2 2 5 4" xfId="9659" xr:uid="{2DD5C8D9-B01D-4799-A3AF-1410F95C3E93}"/>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F6A83277-F3B4-4489-B820-3B2944C3333E}"/>
    <cellStyle name="Comma 4 2 2 2 6 2 3" xfId="12217" xr:uid="{ED2226B4-B3E7-4F63-AC9F-66BF3E7930B2}"/>
    <cellStyle name="Comma 4 2 2 2 6 3" xfId="5840" xr:uid="{00000000-0005-0000-0000-0000F4070000}"/>
    <cellStyle name="Comma 4 2 2 2 6 3 2" xfId="14290" xr:uid="{B5E77800-485A-49C2-BE90-48CF8798294B}"/>
    <cellStyle name="Comma 4 2 2 2 6 4" xfId="10072" xr:uid="{AA625542-A7A5-458A-91A6-6E5B7506C5DD}"/>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BA6E1AB0-5FC7-42B5-8E82-E087FC38D2A6}"/>
    <cellStyle name="Comma 4 2 2 2 7 2 3" xfId="12630" xr:uid="{7ED320F7-A39A-40FA-B5FD-B1C66AA528B5}"/>
    <cellStyle name="Comma 4 2 2 2 7 3" xfId="6253" xr:uid="{00000000-0005-0000-0000-0000F8070000}"/>
    <cellStyle name="Comma 4 2 2 2 7 3 2" xfId="14703" xr:uid="{0593796C-F668-43AD-AFB3-D4A7FEF58AEB}"/>
    <cellStyle name="Comma 4 2 2 2 7 4" xfId="10485" xr:uid="{8E942471-5BCB-485D-96D5-5A9B7B381343}"/>
    <cellStyle name="Comma 4 2 2 2 8" xfId="2382" xr:uid="{00000000-0005-0000-0000-0000F9070000}"/>
    <cellStyle name="Comma 4 2 2 2 8 2" xfId="6666" xr:uid="{00000000-0005-0000-0000-0000FA070000}"/>
    <cellStyle name="Comma 4 2 2 2 8 2 2" xfId="15116" xr:uid="{CDE9CCB1-3EFD-4083-AB73-C0785410AB44}"/>
    <cellStyle name="Comma 4 2 2 2 8 3" xfId="10898" xr:uid="{8E594B46-7F35-4D69-B027-788734068F33}"/>
    <cellStyle name="Comma 4 2 2 2 9" xfId="2381" xr:uid="{00000000-0005-0000-0000-0000FB070000}"/>
    <cellStyle name="Comma 4 2 2 3" xfId="132" xr:uid="{00000000-0005-0000-0000-0000FC070000}"/>
    <cellStyle name="Comma 4 2 2 3 10" xfId="4604" xr:uid="{00000000-0005-0000-0000-0000FD070000}"/>
    <cellStyle name="Comma 4 2 2 3 10 2" xfId="13054" xr:uid="{481CD09D-768E-4311-9AC6-1C670C044BF8}"/>
    <cellStyle name="Comma 4 2 2 3 11" xfId="8836" xr:uid="{DC37B98A-82DF-4496-8EAF-B01966FCF265}"/>
    <cellStyle name="Comma 4 2 2 3 2" xfId="133" xr:uid="{00000000-0005-0000-0000-0000FE070000}"/>
    <cellStyle name="Comma 4 2 2 3 2 10" xfId="8837" xr:uid="{E6E896C6-82EE-4A7E-9B58-79F6B77209C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0050E775-3A2A-4366-ABFE-B81C8F4A616A}"/>
    <cellStyle name="Comma 4 2 2 3 2 2 2 3" xfId="11396" xr:uid="{56D12A54-78CA-4FE0-8015-056594BC19D9}"/>
    <cellStyle name="Comma 4 2 2 3 2 2 3" xfId="5019" xr:uid="{00000000-0005-0000-0000-000002080000}"/>
    <cellStyle name="Comma 4 2 2 3 2 2 3 2" xfId="13469" xr:uid="{1B8E8FCC-B33F-4052-A628-75FD5FCD0976}"/>
    <cellStyle name="Comma 4 2 2 3 2 2 4" xfId="9251" xr:uid="{EA4A0B6B-1119-4975-A74F-26495E64FAC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B886BD0B-4D72-4F24-9A8D-60DC6D13D951}"/>
    <cellStyle name="Comma 4 2 2 3 2 3 2 3" xfId="11809" xr:uid="{03A10D05-84BB-4FD8-8083-CF24AF8DBCCF}"/>
    <cellStyle name="Comma 4 2 2 3 2 3 3" xfId="5432" xr:uid="{00000000-0005-0000-0000-000006080000}"/>
    <cellStyle name="Comma 4 2 2 3 2 3 3 2" xfId="13882" xr:uid="{58A58E29-B27D-4D6A-92A4-09067A12376D}"/>
    <cellStyle name="Comma 4 2 2 3 2 3 4" xfId="9664" xr:uid="{0A305F5D-C253-48F5-AD1C-8D3DC801BBB6}"/>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07DF5CF4-E682-44F0-98F4-29779BB5C232}"/>
    <cellStyle name="Comma 4 2 2 3 2 4 2 3" xfId="12222" xr:uid="{CA2546D1-0C4B-4ACA-ABBB-538728256707}"/>
    <cellStyle name="Comma 4 2 2 3 2 4 3" xfId="5845" xr:uid="{00000000-0005-0000-0000-00000A080000}"/>
    <cellStyle name="Comma 4 2 2 3 2 4 3 2" xfId="14295" xr:uid="{0E2816C1-A019-4BBF-9F77-72BF0C8ABD92}"/>
    <cellStyle name="Comma 4 2 2 3 2 4 4" xfId="10077" xr:uid="{FAC8FB9A-A37D-491F-A4A3-3D6424417CE1}"/>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936FB88A-A206-4E33-834E-4E767DFF039E}"/>
    <cellStyle name="Comma 4 2 2 3 2 5 2 3" xfId="12635" xr:uid="{CD0213C0-E211-4FAB-8778-A95717511900}"/>
    <cellStyle name="Comma 4 2 2 3 2 5 3" xfId="6258" xr:uid="{00000000-0005-0000-0000-00000E080000}"/>
    <cellStyle name="Comma 4 2 2 3 2 5 3 2" xfId="14708" xr:uid="{FD786303-43BE-48A4-B4DB-DFDD24A984C0}"/>
    <cellStyle name="Comma 4 2 2 3 2 5 4" xfId="10490" xr:uid="{6E060AD8-6915-4E49-B3A4-E06FF679A499}"/>
    <cellStyle name="Comma 4 2 2 3 2 6" xfId="2387" xr:uid="{00000000-0005-0000-0000-00000F080000}"/>
    <cellStyle name="Comma 4 2 2 3 2 6 2" xfId="6671" xr:uid="{00000000-0005-0000-0000-000010080000}"/>
    <cellStyle name="Comma 4 2 2 3 2 6 2 2" xfId="15121" xr:uid="{6AEC1383-373A-4932-9894-D7A4D7758252}"/>
    <cellStyle name="Comma 4 2 2 3 2 6 3" xfId="10903" xr:uid="{463E80A5-2FA8-4926-94E3-CD58DC867BA3}"/>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581F2835-4CEB-42A6-99D7-3AEF4C6E08E6}"/>
    <cellStyle name="Comma 4 2 2 3 2 8 3" xfId="11220" xr:uid="{A10C7152-9812-4CFC-9670-3B517742C055}"/>
    <cellStyle name="Comma 4 2 2 3 2 9" xfId="4605" xr:uid="{00000000-0005-0000-0000-000014080000}"/>
    <cellStyle name="Comma 4 2 2 3 2 9 2" xfId="13055" xr:uid="{5C73DBA7-C330-4E45-9334-99ACBB9F3CDA}"/>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78B14730-E1EA-41FD-B1EA-718AF4AA7B66}"/>
    <cellStyle name="Comma 4 2 2 3 3 2 3" xfId="11395" xr:uid="{C3498423-1CC9-49E2-AFB7-1C0CEB4765AC}"/>
    <cellStyle name="Comma 4 2 2 3 3 3" xfId="5018" xr:uid="{00000000-0005-0000-0000-000018080000}"/>
    <cellStyle name="Comma 4 2 2 3 3 3 2" xfId="13468" xr:uid="{EF043B36-8F73-471E-9685-06117B64FD35}"/>
    <cellStyle name="Comma 4 2 2 3 3 4" xfId="9250" xr:uid="{C1B4CBE0-F6D3-4460-AE25-1CEB5F57081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5147863B-538F-4A59-818F-4E2CC3A7ADAD}"/>
    <cellStyle name="Comma 4 2 2 3 4 2 3" xfId="11808" xr:uid="{17787787-E3D9-4B05-B925-E8E2FDBB98C7}"/>
    <cellStyle name="Comma 4 2 2 3 4 3" xfId="5431" xr:uid="{00000000-0005-0000-0000-00001C080000}"/>
    <cellStyle name="Comma 4 2 2 3 4 3 2" xfId="13881" xr:uid="{3C889291-9723-40A4-A552-0FD5F90296DB}"/>
    <cellStyle name="Comma 4 2 2 3 4 4" xfId="9663" xr:uid="{61C88F42-4BCA-4A38-A15B-6BCF514F703B}"/>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8B6AEB6D-477D-4E40-9818-67AF4ED69FE8}"/>
    <cellStyle name="Comma 4 2 2 3 5 2 3" xfId="12221" xr:uid="{9A5EFE05-F26E-4AD0-B35F-59ED78F3741B}"/>
    <cellStyle name="Comma 4 2 2 3 5 3" xfId="5844" xr:uid="{00000000-0005-0000-0000-000020080000}"/>
    <cellStyle name="Comma 4 2 2 3 5 3 2" xfId="14294" xr:uid="{BE4D7A50-CA4B-4636-AEBE-169CF94CC517}"/>
    <cellStyle name="Comma 4 2 2 3 5 4" xfId="10076" xr:uid="{8C0D1243-8DB0-4C66-A373-577E9EA5EEBE}"/>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6362E856-6F6C-49BB-A1A3-1F77E038475E}"/>
    <cellStyle name="Comma 4 2 2 3 6 2 3" xfId="12634" xr:uid="{466B27C2-FA78-4657-8E2F-E6B93FD04B87}"/>
    <cellStyle name="Comma 4 2 2 3 6 3" xfId="6257" xr:uid="{00000000-0005-0000-0000-000024080000}"/>
    <cellStyle name="Comma 4 2 2 3 6 3 2" xfId="14707" xr:uid="{CCE6E84B-A58C-4AFA-9F1B-DD5D9973C6BD}"/>
    <cellStyle name="Comma 4 2 2 3 6 4" xfId="10489" xr:uid="{987ED956-D877-4B4A-9360-DCD48A26F4FE}"/>
    <cellStyle name="Comma 4 2 2 3 7" xfId="2386" xr:uid="{00000000-0005-0000-0000-000025080000}"/>
    <cellStyle name="Comma 4 2 2 3 7 2" xfId="6670" xr:uid="{00000000-0005-0000-0000-000026080000}"/>
    <cellStyle name="Comma 4 2 2 3 7 2 2" xfId="15120" xr:uid="{8AF3F513-275F-4490-9E4C-2A7DEA658F53}"/>
    <cellStyle name="Comma 4 2 2 3 7 3" xfId="10902" xr:uid="{AF63843B-2E9B-445F-AE51-7ED62CB1AF24}"/>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2E63C6FF-E8D0-4E7B-8B8A-C0315B5DAEAF}"/>
    <cellStyle name="Comma 4 2 2 3 9 3" xfId="11219" xr:uid="{578C989A-192E-4B68-BE98-1036A10EBA4E}"/>
    <cellStyle name="Comma 4 2 2 4" xfId="134" xr:uid="{00000000-0005-0000-0000-00002A080000}"/>
    <cellStyle name="Comma 4 2 2 4 10" xfId="8838" xr:uid="{8F80EF85-79B2-4E27-9627-C2540D596C76}"/>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663807B5-6C8C-49C5-AD6F-FA92CFD28E99}"/>
    <cellStyle name="Comma 4 2 2 4 2 2 3" xfId="11397" xr:uid="{2EE4238A-80ED-4B31-BF34-494D5404D41C}"/>
    <cellStyle name="Comma 4 2 2 4 2 3" xfId="5020" xr:uid="{00000000-0005-0000-0000-00002E080000}"/>
    <cellStyle name="Comma 4 2 2 4 2 3 2" xfId="13470" xr:uid="{0E973E94-FDBF-4B4C-8859-5FEB64C95205}"/>
    <cellStyle name="Comma 4 2 2 4 2 4" xfId="9252" xr:uid="{B8A09E3C-2FBF-44F6-BAF1-701BF299E705}"/>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94D4B9DC-41CA-4A26-BEE9-9DF6DCD90472}"/>
    <cellStyle name="Comma 4 2 2 4 3 2 3" xfId="11810" xr:uid="{0D57437E-BF17-4DA1-B26F-06F4B3F7FB97}"/>
    <cellStyle name="Comma 4 2 2 4 3 3" xfId="5433" xr:uid="{00000000-0005-0000-0000-000032080000}"/>
    <cellStyle name="Comma 4 2 2 4 3 3 2" xfId="13883" xr:uid="{2775C572-FCE0-4761-BFDB-5D35886B3537}"/>
    <cellStyle name="Comma 4 2 2 4 3 4" xfId="9665" xr:uid="{C534D2C5-F97A-4295-BD11-4DA03D10E881}"/>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14AC40A0-D88A-4FDF-B449-4506F8B5990D}"/>
    <cellStyle name="Comma 4 2 2 4 4 2 3" xfId="12223" xr:uid="{37E5829E-026A-4662-9B43-A6822B8D9FAA}"/>
    <cellStyle name="Comma 4 2 2 4 4 3" xfId="5846" xr:uid="{00000000-0005-0000-0000-000036080000}"/>
    <cellStyle name="Comma 4 2 2 4 4 3 2" xfId="14296" xr:uid="{6BAF032D-1A7C-45FF-BB8A-A703417FE1BF}"/>
    <cellStyle name="Comma 4 2 2 4 4 4" xfId="10078" xr:uid="{A3377A46-7C34-46AE-BA0F-14607D441D1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5A8873E2-60AD-44EF-A212-2DD545632937}"/>
    <cellStyle name="Comma 4 2 2 4 5 2 3" xfId="12636" xr:uid="{B2EC308D-8538-44B0-80C9-B17E06B5638F}"/>
    <cellStyle name="Comma 4 2 2 4 5 3" xfId="6259" xr:uid="{00000000-0005-0000-0000-00003A080000}"/>
    <cellStyle name="Comma 4 2 2 4 5 3 2" xfId="14709" xr:uid="{F1F118EC-3078-435D-AFA2-F89E599698E9}"/>
    <cellStyle name="Comma 4 2 2 4 5 4" xfId="10491" xr:uid="{F741DAF5-A82C-4A8F-AB78-534AA9C64A7B}"/>
    <cellStyle name="Comma 4 2 2 4 6" xfId="2388" xr:uid="{00000000-0005-0000-0000-00003B080000}"/>
    <cellStyle name="Comma 4 2 2 4 6 2" xfId="6672" xr:uid="{00000000-0005-0000-0000-00003C080000}"/>
    <cellStyle name="Comma 4 2 2 4 6 2 2" xfId="15122" xr:uid="{25CDF9CF-4541-4CAB-A298-03A00386C75B}"/>
    <cellStyle name="Comma 4 2 2 4 6 3" xfId="10904" xr:uid="{BD4F0756-F0BF-431A-A086-E1844E66517E}"/>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2C73436A-28D5-40DF-8017-7FBF60E055BE}"/>
    <cellStyle name="Comma 4 2 2 4 8 3" xfId="11221" xr:uid="{B3E48FD3-1100-42DF-8892-D1056067E571}"/>
    <cellStyle name="Comma 4 2 2 4 9" xfId="4606" xr:uid="{00000000-0005-0000-0000-000040080000}"/>
    <cellStyle name="Comma 4 2 2 4 9 2" xfId="13056" xr:uid="{83CB34B8-FA9A-4623-B875-950F27D4FD0A}"/>
    <cellStyle name="Comma 4 2 2 5" xfId="135" xr:uid="{00000000-0005-0000-0000-000041080000}"/>
    <cellStyle name="Comma 4 2 2 5 10" xfId="8839" xr:uid="{A3674440-1796-46E8-91A1-61E66799244C}"/>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ABD745E4-2769-47D5-8050-4D7B18AA82F0}"/>
    <cellStyle name="Comma 4 2 2 5 2 2 3" xfId="11398" xr:uid="{1F5A96E6-B9FC-4576-B864-DB6C8A6FA473}"/>
    <cellStyle name="Comma 4 2 2 5 2 3" xfId="5021" xr:uid="{00000000-0005-0000-0000-000045080000}"/>
    <cellStyle name="Comma 4 2 2 5 2 3 2" xfId="13471" xr:uid="{7F7778FD-AEC9-402A-A1EE-B47600084769}"/>
    <cellStyle name="Comma 4 2 2 5 2 4" xfId="9253" xr:uid="{DCFE3557-84E9-465F-8B33-5336942B6D6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0FE9CF32-0563-4FE3-B88D-884ED1C263BF}"/>
    <cellStyle name="Comma 4 2 2 5 3 2 3" xfId="11811" xr:uid="{6D435E16-FFFD-414F-B9AB-70104F809A39}"/>
    <cellStyle name="Comma 4 2 2 5 3 3" xfId="5434" xr:uid="{00000000-0005-0000-0000-000049080000}"/>
    <cellStyle name="Comma 4 2 2 5 3 3 2" xfId="13884" xr:uid="{7096AEE0-B787-4F26-B215-9ED42BE231D9}"/>
    <cellStyle name="Comma 4 2 2 5 3 4" xfId="9666" xr:uid="{22A13E0E-2F20-436D-A06C-24E0ACA61921}"/>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E3FE493E-9359-4FB1-9F50-14AEB128BB73}"/>
    <cellStyle name="Comma 4 2 2 5 4 2 3" xfId="12224" xr:uid="{4B49637B-257B-4C9C-A44F-3A2AC099541C}"/>
    <cellStyle name="Comma 4 2 2 5 4 3" xfId="5847" xr:uid="{00000000-0005-0000-0000-00004D080000}"/>
    <cellStyle name="Comma 4 2 2 5 4 3 2" xfId="14297" xr:uid="{6A9E9E1B-2010-4C02-86C8-79350B068CC5}"/>
    <cellStyle name="Comma 4 2 2 5 4 4" xfId="10079" xr:uid="{1DDE55F4-8292-46B7-B3DB-3B2BDFDFB2BD}"/>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4CB28FB7-2A74-4F70-9C92-72855D5DEEBC}"/>
    <cellStyle name="Comma 4 2 2 5 5 2 3" xfId="12637" xr:uid="{FAAD1401-9155-495E-AF15-36E41735E44A}"/>
    <cellStyle name="Comma 4 2 2 5 5 3" xfId="6260" xr:uid="{00000000-0005-0000-0000-000051080000}"/>
    <cellStyle name="Comma 4 2 2 5 5 3 2" xfId="14710" xr:uid="{84C04C6D-3C4C-4FC9-90B5-5DE9796C949F}"/>
    <cellStyle name="Comma 4 2 2 5 5 4" xfId="10492" xr:uid="{5D339664-BB2E-465F-9119-E9C59D8B71B0}"/>
    <cellStyle name="Comma 4 2 2 5 6" xfId="2389" xr:uid="{00000000-0005-0000-0000-000052080000}"/>
    <cellStyle name="Comma 4 2 2 5 6 2" xfId="6673" xr:uid="{00000000-0005-0000-0000-000053080000}"/>
    <cellStyle name="Comma 4 2 2 5 6 2 2" xfId="15123" xr:uid="{3A9B57E1-B4FF-4CB4-8018-BFB4D5F99D70}"/>
    <cellStyle name="Comma 4 2 2 5 6 3" xfId="10905" xr:uid="{DDC43F6A-1223-49C2-9172-A8D31A32A28A}"/>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2222A0EA-82E4-4ECC-A89A-E9726683E99C}"/>
    <cellStyle name="Comma 4 2 2 5 8 3" xfId="11222" xr:uid="{EC3E76F2-3FD3-4FA4-9F50-70357A41C798}"/>
    <cellStyle name="Comma 4 2 2 5 9" xfId="4607" xr:uid="{00000000-0005-0000-0000-000057080000}"/>
    <cellStyle name="Comma 4 2 2 5 9 2" xfId="13057" xr:uid="{51541839-EFAF-4C28-932C-5092A935A59F}"/>
    <cellStyle name="Comma 4 2 3" xfId="136" xr:uid="{00000000-0005-0000-0000-000058080000}"/>
    <cellStyle name="Comma 4 2 3 10" xfId="2768" xr:uid="{00000000-0005-0000-0000-000059080000}"/>
    <cellStyle name="Comma 4 2 3 10 2" xfId="6991" xr:uid="{00000000-0005-0000-0000-00005A080000}"/>
    <cellStyle name="Comma 4 2 3 10 2 2" xfId="15441" xr:uid="{DD007A52-B04A-44ED-8C0C-3FEF8258BBD4}"/>
    <cellStyle name="Comma 4 2 3 10 3" xfId="11223" xr:uid="{E3DD61BC-99C9-4629-908B-7BB7AF208E44}"/>
    <cellStyle name="Comma 4 2 3 11" xfId="4608" xr:uid="{00000000-0005-0000-0000-00005B080000}"/>
    <cellStyle name="Comma 4 2 3 11 2" xfId="13058" xr:uid="{F0219F27-6A16-439A-9500-445490B3FF04}"/>
    <cellStyle name="Comma 4 2 3 12" xfId="8840" xr:uid="{989B843D-FA79-4F40-80E6-F6A064D9AA95}"/>
    <cellStyle name="Comma 4 2 3 2" xfId="137" xr:uid="{00000000-0005-0000-0000-00005C080000}"/>
    <cellStyle name="Comma 4 2 3 2 10" xfId="4609" xr:uid="{00000000-0005-0000-0000-00005D080000}"/>
    <cellStyle name="Comma 4 2 3 2 10 2" xfId="13059" xr:uid="{6AEBC20C-CD39-424A-98BE-778901584696}"/>
    <cellStyle name="Comma 4 2 3 2 11" xfId="8841" xr:uid="{9DADCB0B-1373-45CC-9A31-B252CC060928}"/>
    <cellStyle name="Comma 4 2 3 2 2" xfId="138" xr:uid="{00000000-0005-0000-0000-00005E080000}"/>
    <cellStyle name="Comma 4 2 3 2 2 10" xfId="8842" xr:uid="{1A135CC8-B3E8-47B8-AD5F-15B06127B225}"/>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AABCADAC-C8C2-4B4D-936F-13238D7DE8A1}"/>
    <cellStyle name="Comma 4 2 3 2 2 2 2 3" xfId="11401" xr:uid="{35F820F6-AF45-4ED4-8065-DCEF7135AFDE}"/>
    <cellStyle name="Comma 4 2 3 2 2 2 3" xfId="5024" xr:uid="{00000000-0005-0000-0000-000062080000}"/>
    <cellStyle name="Comma 4 2 3 2 2 2 3 2" xfId="13474" xr:uid="{663A7567-56F4-4244-AF66-B8805ECABBF3}"/>
    <cellStyle name="Comma 4 2 3 2 2 2 4" xfId="9256" xr:uid="{A8A843B9-2068-4266-A004-AF1A456B1CD6}"/>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AD29027A-12B8-4419-BE5F-4B790FB96AE7}"/>
    <cellStyle name="Comma 4 2 3 2 2 3 2 3" xfId="11814" xr:uid="{B24A04D2-A0D3-4A2A-9FC9-60ACB5D4A4D3}"/>
    <cellStyle name="Comma 4 2 3 2 2 3 3" xfId="5437" xr:uid="{00000000-0005-0000-0000-000066080000}"/>
    <cellStyle name="Comma 4 2 3 2 2 3 3 2" xfId="13887" xr:uid="{C24AFAB0-7C30-4B68-95B7-F81E63D0F3C8}"/>
    <cellStyle name="Comma 4 2 3 2 2 3 4" xfId="9669" xr:uid="{5D27097F-5A83-437C-B27A-D7590F9617BA}"/>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DFBC3E8F-0163-498D-AD5B-98C69472A321}"/>
    <cellStyle name="Comma 4 2 3 2 2 4 2 3" xfId="12227" xr:uid="{F42899E3-4830-47C1-91DA-E91584A434F6}"/>
    <cellStyle name="Comma 4 2 3 2 2 4 3" xfId="5850" xr:uid="{00000000-0005-0000-0000-00006A080000}"/>
    <cellStyle name="Comma 4 2 3 2 2 4 3 2" xfId="14300" xr:uid="{3D47A58A-09B4-4347-9795-E867C1FCD317}"/>
    <cellStyle name="Comma 4 2 3 2 2 4 4" xfId="10082" xr:uid="{046ED6E4-9454-4AE9-A8BD-FF71EBB769E9}"/>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EC737056-C49A-4A20-989B-CBC1402C78FB}"/>
    <cellStyle name="Comma 4 2 3 2 2 5 2 3" xfId="12640" xr:uid="{78CE6758-FC0B-49DE-871C-C842661EC643}"/>
    <cellStyle name="Comma 4 2 3 2 2 5 3" xfId="6263" xr:uid="{00000000-0005-0000-0000-00006E080000}"/>
    <cellStyle name="Comma 4 2 3 2 2 5 3 2" xfId="14713" xr:uid="{99CE2F3B-EA3B-4E0B-B90C-598E7203A38A}"/>
    <cellStyle name="Comma 4 2 3 2 2 5 4" xfId="10495" xr:uid="{50AA168B-9B24-4077-A0EE-FC0D57D61826}"/>
    <cellStyle name="Comma 4 2 3 2 2 6" xfId="2392" xr:uid="{00000000-0005-0000-0000-00006F080000}"/>
    <cellStyle name="Comma 4 2 3 2 2 6 2" xfId="6676" xr:uid="{00000000-0005-0000-0000-000070080000}"/>
    <cellStyle name="Comma 4 2 3 2 2 6 2 2" xfId="15126" xr:uid="{5A15E1FA-F535-4AF4-B8D6-08EFBFAF866B}"/>
    <cellStyle name="Comma 4 2 3 2 2 6 3" xfId="10908" xr:uid="{8066D69A-B5BD-4FDC-88E5-84C2CA27AD5D}"/>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EFC4AFD-7EF6-493E-8D5D-25714AF9D2DA}"/>
    <cellStyle name="Comma 4 2 3 2 2 8 3" xfId="11225" xr:uid="{1D27C16D-E023-4EA9-9CFA-6CB24C01D2F3}"/>
    <cellStyle name="Comma 4 2 3 2 2 9" xfId="4610" xr:uid="{00000000-0005-0000-0000-000074080000}"/>
    <cellStyle name="Comma 4 2 3 2 2 9 2" xfId="13060" xr:uid="{A875AB77-9065-44FE-B495-C38B4C96A5CB}"/>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FAC2E216-2636-49FC-99AC-1CE119A26759}"/>
    <cellStyle name="Comma 4 2 3 2 3 2 3" xfId="11400" xr:uid="{7923462C-1A58-4EBD-83B8-107C11579755}"/>
    <cellStyle name="Comma 4 2 3 2 3 3" xfId="5023" xr:uid="{00000000-0005-0000-0000-000078080000}"/>
    <cellStyle name="Comma 4 2 3 2 3 3 2" xfId="13473" xr:uid="{B8F0E3A2-90B9-4AA7-9F67-3BE8D2970A26}"/>
    <cellStyle name="Comma 4 2 3 2 3 4" xfId="9255" xr:uid="{26B23D1B-84AC-430F-B456-187A92468871}"/>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6AA0FC3A-9EAB-458F-9F1E-AC0C64AF537E}"/>
    <cellStyle name="Comma 4 2 3 2 4 2 3" xfId="11813" xr:uid="{728B5C87-9F10-483F-A63F-E6461620D392}"/>
    <cellStyle name="Comma 4 2 3 2 4 3" xfId="5436" xr:uid="{00000000-0005-0000-0000-00007C080000}"/>
    <cellStyle name="Comma 4 2 3 2 4 3 2" xfId="13886" xr:uid="{915CADF0-3DF4-406C-8B1E-C3FB4D6C3215}"/>
    <cellStyle name="Comma 4 2 3 2 4 4" xfId="9668" xr:uid="{DA4269C7-6295-4E16-A79F-D813EEEA58F4}"/>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8D59D202-8BC2-4C23-A2E3-D9B432DB6777}"/>
    <cellStyle name="Comma 4 2 3 2 5 2 3" xfId="12226" xr:uid="{A761541C-2692-4E0C-9225-022ED378CDDB}"/>
    <cellStyle name="Comma 4 2 3 2 5 3" xfId="5849" xr:uid="{00000000-0005-0000-0000-000080080000}"/>
    <cellStyle name="Comma 4 2 3 2 5 3 2" xfId="14299" xr:uid="{0B9ED966-0193-47B2-8088-9A0974AB2BD8}"/>
    <cellStyle name="Comma 4 2 3 2 5 4" xfId="10081" xr:uid="{14EEFEA1-9F13-4A49-89C6-CD29E598B01F}"/>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D2ECD946-EAB6-4427-9E10-3716BF6E0DF4}"/>
    <cellStyle name="Comma 4 2 3 2 6 2 3" xfId="12639" xr:uid="{5D23CA34-AE76-4774-A8AD-C4CEB410E2DE}"/>
    <cellStyle name="Comma 4 2 3 2 6 3" xfId="6262" xr:uid="{00000000-0005-0000-0000-000084080000}"/>
    <cellStyle name="Comma 4 2 3 2 6 3 2" xfId="14712" xr:uid="{60B0BC5D-951B-45BC-B474-08A3D3DAFB09}"/>
    <cellStyle name="Comma 4 2 3 2 6 4" xfId="10494" xr:uid="{1A8797CF-978E-4FEE-8784-3763F7308FA8}"/>
    <cellStyle name="Comma 4 2 3 2 7" xfId="2391" xr:uid="{00000000-0005-0000-0000-000085080000}"/>
    <cellStyle name="Comma 4 2 3 2 7 2" xfId="6675" xr:uid="{00000000-0005-0000-0000-000086080000}"/>
    <cellStyle name="Comma 4 2 3 2 7 2 2" xfId="15125" xr:uid="{5D8336DE-B0C9-4188-A787-7BA9967338E6}"/>
    <cellStyle name="Comma 4 2 3 2 7 3" xfId="10907" xr:uid="{1EB62971-1065-4141-B8BC-A2C385C6D934}"/>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00EB4EDA-DE6E-4419-AAA4-604280DBC1CA}"/>
    <cellStyle name="Comma 4 2 3 2 9 3" xfId="11224" xr:uid="{F2529A78-3036-4CF1-A9AB-6D2721AC6A65}"/>
    <cellStyle name="Comma 4 2 3 3" xfId="139" xr:uid="{00000000-0005-0000-0000-00008A080000}"/>
    <cellStyle name="Comma 4 2 3 3 10" xfId="8843" xr:uid="{11BB899B-83D2-4363-8555-22013AF256D8}"/>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8BB029E9-0E54-435A-B6D7-B0E29E4BA5FC}"/>
    <cellStyle name="Comma 4 2 3 3 2 2 3" xfId="11402" xr:uid="{C2C10F00-F1FA-47C2-A545-5A2A08E8FB52}"/>
    <cellStyle name="Comma 4 2 3 3 2 3" xfId="5025" xr:uid="{00000000-0005-0000-0000-00008E080000}"/>
    <cellStyle name="Comma 4 2 3 3 2 3 2" xfId="13475" xr:uid="{F0FB8316-55E7-421D-99B0-473D6D8EC080}"/>
    <cellStyle name="Comma 4 2 3 3 2 4" xfId="9257" xr:uid="{FEBA6400-5DFB-4B75-B461-95CDF4CB8993}"/>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9687CAA1-8C83-41EE-8C1C-FB5C37AFF241}"/>
    <cellStyle name="Comma 4 2 3 3 3 2 3" xfId="11815" xr:uid="{82153D81-ABE6-40BA-8E13-35F98E045368}"/>
    <cellStyle name="Comma 4 2 3 3 3 3" xfId="5438" xr:uid="{00000000-0005-0000-0000-000092080000}"/>
    <cellStyle name="Comma 4 2 3 3 3 3 2" xfId="13888" xr:uid="{80202A62-398B-4033-9D1B-563F7FD68D1C}"/>
    <cellStyle name="Comma 4 2 3 3 3 4" xfId="9670" xr:uid="{747C27A0-94BC-4329-BAC3-C6E3E45C7160}"/>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826F40DD-840F-416F-8EE8-FA5B13A27E5A}"/>
    <cellStyle name="Comma 4 2 3 3 4 2 3" xfId="12228" xr:uid="{65D9ED26-310C-4386-9B6C-C2132B5491F9}"/>
    <cellStyle name="Comma 4 2 3 3 4 3" xfId="5851" xr:uid="{00000000-0005-0000-0000-000096080000}"/>
    <cellStyle name="Comma 4 2 3 3 4 3 2" xfId="14301" xr:uid="{503641F1-77F3-4E56-974F-2F8F4CAFC14F}"/>
    <cellStyle name="Comma 4 2 3 3 4 4" xfId="10083" xr:uid="{26C626CA-38BF-4342-B63D-A86A391322AD}"/>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DBC7B721-B6EE-4001-83A6-EDB93EF8681C}"/>
    <cellStyle name="Comma 4 2 3 3 5 2 3" xfId="12641" xr:uid="{51C2C31C-1F4A-4A15-9814-020842EABDDD}"/>
    <cellStyle name="Comma 4 2 3 3 5 3" xfId="6264" xr:uid="{00000000-0005-0000-0000-00009A080000}"/>
    <cellStyle name="Comma 4 2 3 3 5 3 2" xfId="14714" xr:uid="{3537A13A-7886-48AC-874F-3D1E777D52DA}"/>
    <cellStyle name="Comma 4 2 3 3 5 4" xfId="10496" xr:uid="{116CEC93-BA24-4B8F-A270-91EB0C77779A}"/>
    <cellStyle name="Comma 4 2 3 3 6" xfId="2393" xr:uid="{00000000-0005-0000-0000-00009B080000}"/>
    <cellStyle name="Comma 4 2 3 3 6 2" xfId="6677" xr:uid="{00000000-0005-0000-0000-00009C080000}"/>
    <cellStyle name="Comma 4 2 3 3 6 2 2" xfId="15127" xr:uid="{C433D5AF-0CC7-4659-8274-A9323AACFF2C}"/>
    <cellStyle name="Comma 4 2 3 3 6 3" xfId="10909" xr:uid="{605B93B4-80FB-4136-9BD1-1E63FC377E48}"/>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411B479C-6302-4D49-A40A-4394AA04039D}"/>
    <cellStyle name="Comma 4 2 3 3 8 3" xfId="11226" xr:uid="{359E9645-1845-47CB-B3CE-C153DA8B1B52}"/>
    <cellStyle name="Comma 4 2 3 3 9" xfId="4611" xr:uid="{00000000-0005-0000-0000-0000A0080000}"/>
    <cellStyle name="Comma 4 2 3 3 9 2" xfId="13061" xr:uid="{14855F2D-5EA6-49F2-86B7-831FFDE5472D}"/>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D25E0F60-080E-493D-A116-89681E636E12}"/>
    <cellStyle name="Comma 4 2 3 4 2 3" xfId="11399" xr:uid="{1F7D7070-3AAD-402D-89A7-C4094D2422F4}"/>
    <cellStyle name="Comma 4 2 3 4 3" xfId="5022" xr:uid="{00000000-0005-0000-0000-0000A4080000}"/>
    <cellStyle name="Comma 4 2 3 4 3 2" xfId="13472" xr:uid="{4EE945DE-9902-4F21-B543-212C70061DEA}"/>
    <cellStyle name="Comma 4 2 3 4 4" xfId="9254" xr:uid="{F4AB8659-F9E4-4EA6-9936-3A94772C2747}"/>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6706B643-83EC-4D5C-9D33-F1BAA1BC7E2F}"/>
    <cellStyle name="Comma 4 2 3 5 2 3" xfId="11812" xr:uid="{73D74967-3EAD-48EB-8B5C-B2F41F2CD6BF}"/>
    <cellStyle name="Comma 4 2 3 5 3" xfId="5435" xr:uid="{00000000-0005-0000-0000-0000A8080000}"/>
    <cellStyle name="Comma 4 2 3 5 3 2" xfId="13885" xr:uid="{E088C00E-F2AC-4311-8404-F0FBADB9696C}"/>
    <cellStyle name="Comma 4 2 3 5 4" xfId="9667" xr:uid="{A08E2F4E-CF38-493F-B0A8-C096E3E2D9FC}"/>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A13D963E-C552-43C4-8A5D-BD47BCF0B8A5}"/>
    <cellStyle name="Comma 4 2 3 6 2 3" xfId="12225" xr:uid="{A0FD3480-4F7A-41A0-AA7D-308F2F625984}"/>
    <cellStyle name="Comma 4 2 3 6 3" xfId="5848" xr:uid="{00000000-0005-0000-0000-0000AC080000}"/>
    <cellStyle name="Comma 4 2 3 6 3 2" xfId="14298" xr:uid="{89E29FEA-E5D5-4799-A35C-40CA2B660C3F}"/>
    <cellStyle name="Comma 4 2 3 6 4" xfId="10080" xr:uid="{31255E74-DBE7-40B3-AE99-9B9F80495401}"/>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0FED34D6-CAFF-444A-B4C0-919919E1814D}"/>
    <cellStyle name="Comma 4 2 3 7 2 3" xfId="12638" xr:uid="{FEC3FB92-A648-4485-B763-5EB7CDA8E03B}"/>
    <cellStyle name="Comma 4 2 3 7 3" xfId="6261" xr:uid="{00000000-0005-0000-0000-0000B0080000}"/>
    <cellStyle name="Comma 4 2 3 7 3 2" xfId="14711" xr:uid="{3446B869-4FBE-4F9D-A064-95AF9CCCE9E8}"/>
    <cellStyle name="Comma 4 2 3 7 4" xfId="10493" xr:uid="{B358BB74-9B07-4AFC-BBF0-DD8BB844E9A8}"/>
    <cellStyle name="Comma 4 2 3 8" xfId="2390" xr:uid="{00000000-0005-0000-0000-0000B1080000}"/>
    <cellStyle name="Comma 4 2 3 8 2" xfId="6674" xr:uid="{00000000-0005-0000-0000-0000B2080000}"/>
    <cellStyle name="Comma 4 2 3 8 2 2" xfId="15124" xr:uid="{B66AA4B2-0F4D-413D-8E31-B6F1AFD7DE85}"/>
    <cellStyle name="Comma 4 2 3 8 3" xfId="10906" xr:uid="{38461D61-E397-436B-B045-0C731DE8B109}"/>
    <cellStyle name="Comma 4 2 3 9" xfId="2373" xr:uid="{00000000-0005-0000-0000-0000B3080000}"/>
    <cellStyle name="Comma 4 2 4" xfId="140" xr:uid="{00000000-0005-0000-0000-0000B4080000}"/>
    <cellStyle name="Comma 4 2 4 10" xfId="4612" xr:uid="{00000000-0005-0000-0000-0000B5080000}"/>
    <cellStyle name="Comma 4 2 4 10 2" xfId="13062" xr:uid="{BD13573D-0031-4437-A0A4-9063C8F799B2}"/>
    <cellStyle name="Comma 4 2 4 11" xfId="8844" xr:uid="{E26C24F9-302C-48C7-AA9D-31C5A0D63CD5}"/>
    <cellStyle name="Comma 4 2 4 2" xfId="141" xr:uid="{00000000-0005-0000-0000-0000B6080000}"/>
    <cellStyle name="Comma 4 2 4 2 10" xfId="8845" xr:uid="{E4F0657B-EDA4-4FBB-8E9E-C09C2486281D}"/>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6AD7C89F-4AAC-4377-A9B4-6AC547DD652D}"/>
    <cellStyle name="Comma 4 2 4 2 2 2 3" xfId="11404" xr:uid="{426A4EF5-04C8-4DAD-B602-20E44D3A2273}"/>
    <cellStyle name="Comma 4 2 4 2 2 3" xfId="5027" xr:uid="{00000000-0005-0000-0000-0000BA080000}"/>
    <cellStyle name="Comma 4 2 4 2 2 3 2" xfId="13477" xr:uid="{ED63D0BC-61B3-42AE-9876-6D64692FA91C}"/>
    <cellStyle name="Comma 4 2 4 2 2 4" xfId="9259" xr:uid="{7CEF2DC9-AE05-4C1D-A0B9-3E769B5AE95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D4CB9E90-A4FA-4327-89EE-61D5D1922318}"/>
    <cellStyle name="Comma 4 2 4 2 3 2 3" xfId="11817" xr:uid="{CDCFAD26-89B8-47A0-8FCC-EF5CF52DA09E}"/>
    <cellStyle name="Comma 4 2 4 2 3 3" xfId="5440" xr:uid="{00000000-0005-0000-0000-0000BE080000}"/>
    <cellStyle name="Comma 4 2 4 2 3 3 2" xfId="13890" xr:uid="{5251EA5A-EAE5-49E9-BCA5-44494BB1C0EA}"/>
    <cellStyle name="Comma 4 2 4 2 3 4" xfId="9672" xr:uid="{21637F99-0056-4FD4-B030-1BA55836C738}"/>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D2E96B38-8353-4DEF-BF1F-4CEAC4F4B511}"/>
    <cellStyle name="Comma 4 2 4 2 4 2 3" xfId="12230" xr:uid="{52891A6F-C181-4671-BA76-1C14FEF49A81}"/>
    <cellStyle name="Comma 4 2 4 2 4 3" xfId="5853" xr:uid="{00000000-0005-0000-0000-0000C2080000}"/>
    <cellStyle name="Comma 4 2 4 2 4 3 2" xfId="14303" xr:uid="{ABBE6548-A283-47F4-B50F-17E0D1C9B8B9}"/>
    <cellStyle name="Comma 4 2 4 2 4 4" xfId="10085" xr:uid="{6A567AA0-E5A9-4B77-9368-B1220513A051}"/>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202BBD7D-E707-4D73-BC0E-77968B48B8C1}"/>
    <cellStyle name="Comma 4 2 4 2 5 2 3" xfId="12643" xr:uid="{12FEB692-AEBD-49E9-B29A-5820B520F4FE}"/>
    <cellStyle name="Comma 4 2 4 2 5 3" xfId="6266" xr:uid="{00000000-0005-0000-0000-0000C6080000}"/>
    <cellStyle name="Comma 4 2 4 2 5 3 2" xfId="14716" xr:uid="{699E7822-64B6-48E6-BF9F-4B114B4B9F16}"/>
    <cellStyle name="Comma 4 2 4 2 5 4" xfId="10498" xr:uid="{0287755A-4653-4298-BCD6-C7B9D322835D}"/>
    <cellStyle name="Comma 4 2 4 2 6" xfId="2395" xr:uid="{00000000-0005-0000-0000-0000C7080000}"/>
    <cellStyle name="Comma 4 2 4 2 6 2" xfId="6679" xr:uid="{00000000-0005-0000-0000-0000C8080000}"/>
    <cellStyle name="Comma 4 2 4 2 6 2 2" xfId="15129" xr:uid="{4F4CB9C5-DF04-430D-A712-C844E0276C38}"/>
    <cellStyle name="Comma 4 2 4 2 6 3" xfId="10911" xr:uid="{755A98F1-7204-4382-B93B-636E8B80805B}"/>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0DB9173C-EFB6-44B1-A6A9-B52A6CE13A12}"/>
    <cellStyle name="Comma 4 2 4 2 8 3" xfId="11228" xr:uid="{14890FDD-01A5-40E3-BACA-B8C80CBB98E2}"/>
    <cellStyle name="Comma 4 2 4 2 9" xfId="4613" xr:uid="{00000000-0005-0000-0000-0000CC080000}"/>
    <cellStyle name="Comma 4 2 4 2 9 2" xfId="13063" xr:uid="{887F050B-8CB4-4EE9-9AF3-E834A82F7A1B}"/>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A59F40D8-B6D6-4082-819B-BC53B5D05475}"/>
    <cellStyle name="Comma 4 2 4 3 2 3" xfId="11403" xr:uid="{00ADC114-2F30-4CBC-8610-6E38809376BF}"/>
    <cellStyle name="Comma 4 2 4 3 3" xfId="5026" xr:uid="{00000000-0005-0000-0000-0000D0080000}"/>
    <cellStyle name="Comma 4 2 4 3 3 2" xfId="13476" xr:uid="{4B594281-24C4-47CD-99EA-28CF97E711DD}"/>
    <cellStyle name="Comma 4 2 4 3 4" xfId="9258" xr:uid="{B5834185-2497-4EBD-884F-5A4743BFE574}"/>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7C125C68-1269-40CF-9BD7-C43212F29EDC}"/>
    <cellStyle name="Comma 4 2 4 4 2 3" xfId="11816" xr:uid="{D1ABA228-6EB1-4C3C-BA6D-4E46CC5C7872}"/>
    <cellStyle name="Comma 4 2 4 4 3" xfId="5439" xr:uid="{00000000-0005-0000-0000-0000D4080000}"/>
    <cellStyle name="Comma 4 2 4 4 3 2" xfId="13889" xr:uid="{689B8BED-E919-4B44-A373-B1A4B87649F7}"/>
    <cellStyle name="Comma 4 2 4 4 4" xfId="9671" xr:uid="{758B18FD-13A8-43D5-A9C9-0AB68DD0FC90}"/>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F31D8ED2-416F-4E1C-8599-EC7BD0ADF1CB}"/>
    <cellStyle name="Comma 4 2 4 5 2 3" xfId="12229" xr:uid="{EB818FC6-F5D2-48E1-8C18-BD5730E327F5}"/>
    <cellStyle name="Comma 4 2 4 5 3" xfId="5852" xr:uid="{00000000-0005-0000-0000-0000D8080000}"/>
    <cellStyle name="Comma 4 2 4 5 3 2" xfId="14302" xr:uid="{E42A60F8-C0F0-487D-870D-DB1E47749C24}"/>
    <cellStyle name="Comma 4 2 4 5 4" xfId="10084" xr:uid="{37A2FC94-1E46-4E7A-A784-C3CA52DDFD7D}"/>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909A67C7-3E34-4F58-8F76-7BD69801ECA3}"/>
    <cellStyle name="Comma 4 2 4 6 2 3" xfId="12642" xr:uid="{34E97940-C60D-4A8F-8F7A-C7FB97E8C773}"/>
    <cellStyle name="Comma 4 2 4 6 3" xfId="6265" xr:uid="{00000000-0005-0000-0000-0000DC080000}"/>
    <cellStyle name="Comma 4 2 4 6 3 2" xfId="14715" xr:uid="{A2CECC05-3F6E-4E2B-A3F2-C092ECB462C3}"/>
    <cellStyle name="Comma 4 2 4 6 4" xfId="10497" xr:uid="{4072E914-2A87-417A-9599-4AEF52EDEB1F}"/>
    <cellStyle name="Comma 4 2 4 7" xfId="2394" xr:uid="{00000000-0005-0000-0000-0000DD080000}"/>
    <cellStyle name="Comma 4 2 4 7 2" xfId="6678" xr:uid="{00000000-0005-0000-0000-0000DE080000}"/>
    <cellStyle name="Comma 4 2 4 7 2 2" xfId="15128" xr:uid="{2CB6CE70-75DD-435A-8170-15D90907A9D5}"/>
    <cellStyle name="Comma 4 2 4 7 3" xfId="10910" xr:uid="{7C6398A5-C822-41CD-B2AA-607D4931819B}"/>
    <cellStyle name="Comma 4 2 4 8" xfId="2369" xr:uid="{00000000-0005-0000-0000-0000DF080000}"/>
    <cellStyle name="Comma 4 2 4 9" xfId="2772" xr:uid="{00000000-0005-0000-0000-0000E0080000}"/>
    <cellStyle name="Comma 4 2 4 9 2" xfId="6995" xr:uid="{00000000-0005-0000-0000-0000E1080000}"/>
    <cellStyle name="Comma 4 2 4 9 2 2" xfId="15445" xr:uid="{EEB2BCE2-92C9-4FC0-B23A-6CB62C817178}"/>
    <cellStyle name="Comma 4 2 4 9 3" xfId="11227" xr:uid="{3CDEA080-E42C-40C2-8A6A-701968DD818F}"/>
    <cellStyle name="Comma 4 2 5" xfId="142" xr:uid="{00000000-0005-0000-0000-0000E2080000}"/>
    <cellStyle name="Comma 4 2 5 10" xfId="8846" xr:uid="{188753B7-2868-4358-BD2D-246B10CCD483}"/>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C557A1E7-A32A-49F9-864A-EDD42567E975}"/>
    <cellStyle name="Comma 4 2 5 2 2 3" xfId="11405" xr:uid="{872AD860-5E46-4178-B440-C4C87714C2A7}"/>
    <cellStyle name="Comma 4 2 5 2 3" xfId="5028" xr:uid="{00000000-0005-0000-0000-0000E6080000}"/>
    <cellStyle name="Comma 4 2 5 2 3 2" xfId="13478" xr:uid="{BC816834-6781-40C2-9960-8FAF6A8EA05E}"/>
    <cellStyle name="Comma 4 2 5 2 4" xfId="9260" xr:uid="{892E140C-EBD6-40EB-ACC4-9D3672DD943A}"/>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94EE0BFB-BEF1-4F04-B7B1-5B9B3F71B8F1}"/>
    <cellStyle name="Comma 4 2 5 3 2 3" xfId="11818" xr:uid="{DAB91705-89B8-4BD7-904D-7962F2A49F0C}"/>
    <cellStyle name="Comma 4 2 5 3 3" xfId="5441" xr:uid="{00000000-0005-0000-0000-0000EA080000}"/>
    <cellStyle name="Comma 4 2 5 3 3 2" xfId="13891" xr:uid="{BFA96ED2-D17B-4108-8B06-1736628AC4F6}"/>
    <cellStyle name="Comma 4 2 5 3 4" xfId="9673" xr:uid="{C4A1B830-625D-4DF0-A9F9-AE604070D6EB}"/>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228362FC-EF5C-4BA9-AE72-B2CAB7E856ED}"/>
    <cellStyle name="Comma 4 2 5 4 2 3" xfId="12231" xr:uid="{7C95111D-3159-41A5-9352-6BFD47F41527}"/>
    <cellStyle name="Comma 4 2 5 4 3" xfId="5854" xr:uid="{00000000-0005-0000-0000-0000EE080000}"/>
    <cellStyle name="Comma 4 2 5 4 3 2" xfId="14304" xr:uid="{E296FB10-D604-46CD-AB83-DF108C8F8C91}"/>
    <cellStyle name="Comma 4 2 5 4 4" xfId="10086" xr:uid="{13470A9A-999E-4A4E-BFE3-E5D25AD21D83}"/>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E86E2017-E489-425C-B021-8EB1BC4E9A4F}"/>
    <cellStyle name="Comma 4 2 5 5 2 3" xfId="12644" xr:uid="{EF5EB190-2D52-4FF4-9692-C28D9D6E1245}"/>
    <cellStyle name="Comma 4 2 5 5 3" xfId="6267" xr:uid="{00000000-0005-0000-0000-0000F2080000}"/>
    <cellStyle name="Comma 4 2 5 5 3 2" xfId="14717" xr:uid="{426AF9C3-4DAD-48AC-B2D0-632484354FCC}"/>
    <cellStyle name="Comma 4 2 5 5 4" xfId="10499" xr:uid="{5814772C-E4FB-419C-AC07-D8C7D408D07D}"/>
    <cellStyle name="Comma 4 2 5 6" xfId="2396" xr:uid="{00000000-0005-0000-0000-0000F3080000}"/>
    <cellStyle name="Comma 4 2 5 6 2" xfId="6680" xr:uid="{00000000-0005-0000-0000-0000F4080000}"/>
    <cellStyle name="Comma 4 2 5 6 2 2" xfId="15130" xr:uid="{F2689A62-C980-4329-BC5E-F2AAEA39C953}"/>
    <cellStyle name="Comma 4 2 5 6 3" xfId="10912" xr:uid="{37AE02D4-638C-4782-BF6F-5517217F87CF}"/>
    <cellStyle name="Comma 4 2 5 7" xfId="2367" xr:uid="{00000000-0005-0000-0000-0000F5080000}"/>
    <cellStyle name="Comma 4 2 5 8" xfId="2774" xr:uid="{00000000-0005-0000-0000-0000F6080000}"/>
    <cellStyle name="Comma 4 2 5 8 2" xfId="6997" xr:uid="{00000000-0005-0000-0000-0000F7080000}"/>
    <cellStyle name="Comma 4 2 5 8 2 2" xfId="15447" xr:uid="{BD50A78C-9841-4394-9F54-10F52FB0A59C}"/>
    <cellStyle name="Comma 4 2 5 8 3" xfId="11229" xr:uid="{D336A458-BDDA-4E30-BAA1-7089AF08B004}"/>
    <cellStyle name="Comma 4 2 5 9" xfId="4614" xr:uid="{00000000-0005-0000-0000-0000F8080000}"/>
    <cellStyle name="Comma 4 2 5 9 2" xfId="13064" xr:uid="{B28C9B7C-E670-4D0E-B465-5DACF8D8E2AD}"/>
    <cellStyle name="Comma 4 2 6" xfId="143" xr:uid="{00000000-0005-0000-0000-0000F9080000}"/>
    <cellStyle name="Comma 4 2 6 10" xfId="8847" xr:uid="{38967848-D8FC-4B02-AA8C-89FD1B58D730}"/>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E25664E1-99B2-47DB-AD1B-445E206DB124}"/>
    <cellStyle name="Comma 4 2 6 2 2 3" xfId="11406" xr:uid="{073CA8E3-FC18-4602-B7F6-9031927BA5D3}"/>
    <cellStyle name="Comma 4 2 6 2 3" xfId="5029" xr:uid="{00000000-0005-0000-0000-0000FD080000}"/>
    <cellStyle name="Comma 4 2 6 2 3 2" xfId="13479" xr:uid="{7AAA663C-BFD4-4FEF-8B10-D79BA5943B64}"/>
    <cellStyle name="Comma 4 2 6 2 4" xfId="9261" xr:uid="{3B7AD5F4-9A1F-44FC-9792-48B6DEBBFF37}"/>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1FD4F7B8-58C3-48E5-8FDE-8073811BBBA5}"/>
    <cellStyle name="Comma 4 2 6 3 2 3" xfId="11819" xr:uid="{D218432C-4938-40DC-8BE7-A105F558A2D0}"/>
    <cellStyle name="Comma 4 2 6 3 3" xfId="5442" xr:uid="{00000000-0005-0000-0000-000001090000}"/>
    <cellStyle name="Comma 4 2 6 3 3 2" xfId="13892" xr:uid="{11B8DBC2-0B22-44AD-A9FC-B2159D0F7080}"/>
    <cellStyle name="Comma 4 2 6 3 4" xfId="9674" xr:uid="{FD220E57-C950-42D6-96E8-178AA546FFB9}"/>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6938C3B7-EF02-43AD-A637-1D65FB81D3FF}"/>
    <cellStyle name="Comma 4 2 6 4 2 3" xfId="12232" xr:uid="{0F9C4607-F4CC-4ED0-82BD-58849372DA4F}"/>
    <cellStyle name="Comma 4 2 6 4 3" xfId="5855" xr:uid="{00000000-0005-0000-0000-000005090000}"/>
    <cellStyle name="Comma 4 2 6 4 3 2" xfId="14305" xr:uid="{08679CC4-606E-4AE4-8477-4CB4CB7C0648}"/>
    <cellStyle name="Comma 4 2 6 4 4" xfId="10087" xr:uid="{CF274866-0679-4792-9A8D-6131A6F313EE}"/>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2EFD2BE5-526C-47AD-AB0A-47EB86EE2DDF}"/>
    <cellStyle name="Comma 4 2 6 5 2 3" xfId="12645" xr:uid="{57BAECAD-73F6-49E5-862D-A1CD75C15D79}"/>
    <cellStyle name="Comma 4 2 6 5 3" xfId="6268" xr:uid="{00000000-0005-0000-0000-000009090000}"/>
    <cellStyle name="Comma 4 2 6 5 3 2" xfId="14718" xr:uid="{5C202A3E-90EB-4EDF-97B5-3A06C72A2764}"/>
    <cellStyle name="Comma 4 2 6 5 4" xfId="10500" xr:uid="{A94AB097-F6C1-4E4E-99D4-2DA6A0492179}"/>
    <cellStyle name="Comma 4 2 6 6" xfId="2397" xr:uid="{00000000-0005-0000-0000-00000A090000}"/>
    <cellStyle name="Comma 4 2 6 6 2" xfId="6681" xr:uid="{00000000-0005-0000-0000-00000B090000}"/>
    <cellStyle name="Comma 4 2 6 6 2 2" xfId="15131" xr:uid="{2D3AC7B2-E6F8-4640-A34A-7C94911C23BA}"/>
    <cellStyle name="Comma 4 2 6 6 3" xfId="10913" xr:uid="{8DFEDBFB-10E9-4E09-99F6-CBE6EAE83096}"/>
    <cellStyle name="Comma 4 2 6 7" xfId="2366" xr:uid="{00000000-0005-0000-0000-00000C090000}"/>
    <cellStyle name="Comma 4 2 6 8" xfId="2775" xr:uid="{00000000-0005-0000-0000-00000D090000}"/>
    <cellStyle name="Comma 4 2 6 8 2" xfId="6998" xr:uid="{00000000-0005-0000-0000-00000E090000}"/>
    <cellStyle name="Comma 4 2 6 8 2 2" xfId="15448" xr:uid="{CFC23777-123A-4129-860A-2B5334E1A6E6}"/>
    <cellStyle name="Comma 4 2 6 8 3" xfId="11230" xr:uid="{D0CD57B8-1ABE-4314-A5DB-FF3111439C8D}"/>
    <cellStyle name="Comma 4 2 6 9" xfId="4615" xr:uid="{00000000-0005-0000-0000-00000F090000}"/>
    <cellStyle name="Comma 4 2 6 9 2" xfId="13065" xr:uid="{E532F189-450A-452E-A364-125E563B4BF5}"/>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8A32CEBD-B1FF-4531-B4BB-962F751F3887}"/>
    <cellStyle name="Comma 4 3 2 10 3" xfId="11231" xr:uid="{026DC1DA-874F-4EDA-9195-13C6D43E7FC5}"/>
    <cellStyle name="Comma 4 3 2 11" xfId="4616" xr:uid="{00000000-0005-0000-0000-000014090000}"/>
    <cellStyle name="Comma 4 3 2 11 2" xfId="13066" xr:uid="{812FA063-B1FE-4A1C-8221-D2C3A53A5E43}"/>
    <cellStyle name="Comma 4 3 2 12" xfId="8848" xr:uid="{9146CE36-2054-47BE-95C7-E4DF9ABC196B}"/>
    <cellStyle name="Comma 4 3 2 2" xfId="146" xr:uid="{00000000-0005-0000-0000-000015090000}"/>
    <cellStyle name="Comma 4 3 2 2 10" xfId="4617" xr:uid="{00000000-0005-0000-0000-000016090000}"/>
    <cellStyle name="Comma 4 3 2 2 10 2" xfId="13067" xr:uid="{BE8E0CE1-55A2-4469-B747-BEE216BAC4BF}"/>
    <cellStyle name="Comma 4 3 2 2 11" xfId="8849" xr:uid="{8D81C223-5652-4543-86C3-2E7598C22A64}"/>
    <cellStyle name="Comma 4 3 2 2 2" xfId="147" xr:uid="{00000000-0005-0000-0000-000017090000}"/>
    <cellStyle name="Comma 4 3 2 2 2 10" xfId="8850" xr:uid="{911C6A03-C065-4C4A-9983-DECAA2761692}"/>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8553F22D-5687-4027-B08B-D4259C042469}"/>
    <cellStyle name="Comma 4 3 2 2 2 2 2 3" xfId="11409" xr:uid="{949F1C91-F413-4D21-B991-1352C1F50EE1}"/>
    <cellStyle name="Comma 4 3 2 2 2 2 3" xfId="5032" xr:uid="{00000000-0005-0000-0000-00001B090000}"/>
    <cellStyle name="Comma 4 3 2 2 2 2 3 2" xfId="13482" xr:uid="{9750ABEB-6630-4D44-B34F-A369E7B2E804}"/>
    <cellStyle name="Comma 4 3 2 2 2 2 4" xfId="9264" xr:uid="{09114371-6B14-4751-99FF-D9E70A09209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B20F30B4-D829-4950-A7F2-F52E81EF5938}"/>
    <cellStyle name="Comma 4 3 2 2 2 3 2 3" xfId="11822" xr:uid="{43CFD45B-022E-4F6F-ABB7-F30A3D2531EA}"/>
    <cellStyle name="Comma 4 3 2 2 2 3 3" xfId="5445" xr:uid="{00000000-0005-0000-0000-00001F090000}"/>
    <cellStyle name="Comma 4 3 2 2 2 3 3 2" xfId="13895" xr:uid="{3B4BEE50-9C89-43B1-A3AB-A5A328758C62}"/>
    <cellStyle name="Comma 4 3 2 2 2 3 4" xfId="9677" xr:uid="{77224907-1964-4C3C-BE98-026D21BBBBE1}"/>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A3EB1104-491D-49DE-9D7A-995DCC78938B}"/>
    <cellStyle name="Comma 4 3 2 2 2 4 2 3" xfId="12235" xr:uid="{AA7B494E-1146-4F77-B055-66C1763A1C59}"/>
    <cellStyle name="Comma 4 3 2 2 2 4 3" xfId="5858" xr:uid="{00000000-0005-0000-0000-000023090000}"/>
    <cellStyle name="Comma 4 3 2 2 2 4 3 2" xfId="14308" xr:uid="{7EA1200C-2C4F-45CA-BBD0-C8E42B3D328B}"/>
    <cellStyle name="Comma 4 3 2 2 2 4 4" xfId="10090" xr:uid="{37DB6E73-5C23-442F-BEBC-A647CE12A482}"/>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BD231906-1E4E-4D82-8891-7C35AB41A567}"/>
    <cellStyle name="Comma 4 3 2 2 2 5 2 3" xfId="12648" xr:uid="{986B9A7F-1BCC-47AA-B288-E27161E99289}"/>
    <cellStyle name="Comma 4 3 2 2 2 5 3" xfId="6271" xr:uid="{00000000-0005-0000-0000-000027090000}"/>
    <cellStyle name="Comma 4 3 2 2 2 5 3 2" xfId="14721" xr:uid="{8D2BA281-31D5-48B2-B50B-182F3A67C67A}"/>
    <cellStyle name="Comma 4 3 2 2 2 5 4" xfId="10503" xr:uid="{42C63C89-1F97-4180-B2A9-3354D2C7FF1F}"/>
    <cellStyle name="Comma 4 3 2 2 2 6" xfId="2400" xr:uid="{00000000-0005-0000-0000-000028090000}"/>
    <cellStyle name="Comma 4 3 2 2 2 6 2" xfId="6684" xr:uid="{00000000-0005-0000-0000-000029090000}"/>
    <cellStyle name="Comma 4 3 2 2 2 6 2 2" xfId="15134" xr:uid="{81C5658D-B046-4069-BB2A-C066EE5A0191}"/>
    <cellStyle name="Comma 4 3 2 2 2 6 3" xfId="10916" xr:uid="{62E39A7F-16D6-41D2-9FCA-B5EE5D263247}"/>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EDF5105C-1313-42D1-88AE-2E67D1507C61}"/>
    <cellStyle name="Comma 4 3 2 2 2 8 3" xfId="11233" xr:uid="{7B1DC40D-B764-455F-9882-5E1F1C5E9780}"/>
    <cellStyle name="Comma 4 3 2 2 2 9" xfId="4618" xr:uid="{00000000-0005-0000-0000-00002D090000}"/>
    <cellStyle name="Comma 4 3 2 2 2 9 2" xfId="13068" xr:uid="{0F5FC40C-5140-4D93-B831-D30343D81340}"/>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0FD0DDDE-F853-49AE-BF8F-EF58C6555A27}"/>
    <cellStyle name="Comma 4 3 2 2 3 2 3" xfId="11408" xr:uid="{89449E5C-B418-4B95-A81F-19DCF30099CA}"/>
    <cellStyle name="Comma 4 3 2 2 3 3" xfId="5031" xr:uid="{00000000-0005-0000-0000-000031090000}"/>
    <cellStyle name="Comma 4 3 2 2 3 3 2" xfId="13481" xr:uid="{4C93C8CD-29EF-4F15-AFB3-B9B7B40BB340}"/>
    <cellStyle name="Comma 4 3 2 2 3 4" xfId="9263" xr:uid="{F640704A-8241-4F68-AAF1-48E5DAA4B747}"/>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28BF7811-99DD-4534-A4A6-D480BCFC658B}"/>
    <cellStyle name="Comma 4 3 2 2 4 2 3" xfId="11821" xr:uid="{856AAD0D-8B0A-4995-AE33-4930E0F9772E}"/>
    <cellStyle name="Comma 4 3 2 2 4 3" xfId="5444" xr:uid="{00000000-0005-0000-0000-000035090000}"/>
    <cellStyle name="Comma 4 3 2 2 4 3 2" xfId="13894" xr:uid="{CF1A3398-7E5C-4223-8FD0-7C9388698587}"/>
    <cellStyle name="Comma 4 3 2 2 4 4" xfId="9676" xr:uid="{FE82E0B4-3AC8-4A66-BE97-F17FB6924AA8}"/>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59B179D2-B973-4039-8A1F-9B717C593723}"/>
    <cellStyle name="Comma 4 3 2 2 5 2 3" xfId="12234" xr:uid="{E0F012BF-5EF5-44E2-8DCD-4F8782782F28}"/>
    <cellStyle name="Comma 4 3 2 2 5 3" xfId="5857" xr:uid="{00000000-0005-0000-0000-000039090000}"/>
    <cellStyle name="Comma 4 3 2 2 5 3 2" xfId="14307" xr:uid="{6F0417D9-FFDC-4B67-9863-632BC9FBF8A7}"/>
    <cellStyle name="Comma 4 3 2 2 5 4" xfId="10089" xr:uid="{C49D428E-3FE9-4224-AA75-061998EB04BF}"/>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B4FF21FA-5ADE-4DE2-AE5B-36A4FCBCFD20}"/>
    <cellStyle name="Comma 4 3 2 2 6 2 3" xfId="12647" xr:uid="{6E980489-8B54-4A4E-8354-0296CAA7B41C}"/>
    <cellStyle name="Comma 4 3 2 2 6 3" xfId="6270" xr:uid="{00000000-0005-0000-0000-00003D090000}"/>
    <cellStyle name="Comma 4 3 2 2 6 3 2" xfId="14720" xr:uid="{B7303107-A7ED-4561-B6C3-0857958F7E42}"/>
    <cellStyle name="Comma 4 3 2 2 6 4" xfId="10502" xr:uid="{F21ADCE2-F368-41AE-9FEC-52160A197BA8}"/>
    <cellStyle name="Comma 4 3 2 2 7" xfId="2399" xr:uid="{00000000-0005-0000-0000-00003E090000}"/>
    <cellStyle name="Comma 4 3 2 2 7 2" xfId="6683" xr:uid="{00000000-0005-0000-0000-00003F090000}"/>
    <cellStyle name="Comma 4 3 2 2 7 2 2" xfId="15133" xr:uid="{658921EE-1763-4564-95AE-3CD1548F6DE7}"/>
    <cellStyle name="Comma 4 3 2 2 7 3" xfId="10915" xr:uid="{F8A2CEB1-A7EC-47C7-AD15-1F2E69BD5BDD}"/>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2D4A9650-B677-4461-9934-6578DA0E6DDF}"/>
    <cellStyle name="Comma 4 3 2 2 9 3" xfId="11232" xr:uid="{87556911-8D9A-4BA3-9B04-307E70C26541}"/>
    <cellStyle name="Comma 4 3 2 3" xfId="148" xr:uid="{00000000-0005-0000-0000-000043090000}"/>
    <cellStyle name="Comma 4 3 2 3 10" xfId="8851" xr:uid="{BA9D9463-0C7F-4AD6-B683-C01B31A0D7C3}"/>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E3658955-B2A4-4B11-9367-D2F3698ABB72}"/>
    <cellStyle name="Comma 4 3 2 3 2 2 3" xfId="11410" xr:uid="{D5B9B6A4-7000-4E3A-937D-07B140305E11}"/>
    <cellStyle name="Comma 4 3 2 3 2 3" xfId="5033" xr:uid="{00000000-0005-0000-0000-000047090000}"/>
    <cellStyle name="Comma 4 3 2 3 2 3 2" xfId="13483" xr:uid="{CD0F641B-3457-4C62-A0C7-967A2932F1E8}"/>
    <cellStyle name="Comma 4 3 2 3 2 4" xfId="9265" xr:uid="{24C846E5-D7B4-41F7-A0E0-921C392EFB7B}"/>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4C4EB74A-C52C-49B6-8AE3-D42DB14D34AD}"/>
    <cellStyle name="Comma 4 3 2 3 3 2 3" xfId="11823" xr:uid="{1E57FFA4-EAD6-401F-9896-59B864BED249}"/>
    <cellStyle name="Comma 4 3 2 3 3 3" xfId="5446" xr:uid="{00000000-0005-0000-0000-00004B090000}"/>
    <cellStyle name="Comma 4 3 2 3 3 3 2" xfId="13896" xr:uid="{FB95DA04-2664-4A88-BB5B-F182364C792C}"/>
    <cellStyle name="Comma 4 3 2 3 3 4" xfId="9678" xr:uid="{37859BB3-0541-496A-9DD7-0191E48FA8FD}"/>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4B3304BB-120A-4112-9256-403727BCA361}"/>
    <cellStyle name="Comma 4 3 2 3 4 2 3" xfId="12236" xr:uid="{F73A1E70-1331-42EE-923E-5E5D4D96C951}"/>
    <cellStyle name="Comma 4 3 2 3 4 3" xfId="5859" xr:uid="{00000000-0005-0000-0000-00004F090000}"/>
    <cellStyle name="Comma 4 3 2 3 4 3 2" xfId="14309" xr:uid="{952F9441-B93E-44BC-84A3-EAC356098020}"/>
    <cellStyle name="Comma 4 3 2 3 4 4" xfId="10091" xr:uid="{371E345E-A724-44BF-94ED-8730B0BABB54}"/>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12C572AD-5374-4E9E-91A5-B6E4EC839B47}"/>
    <cellStyle name="Comma 4 3 2 3 5 2 3" xfId="12649" xr:uid="{E4002253-50A1-4651-BFD8-797B9C3F669A}"/>
    <cellStyle name="Comma 4 3 2 3 5 3" xfId="6272" xr:uid="{00000000-0005-0000-0000-000053090000}"/>
    <cellStyle name="Comma 4 3 2 3 5 3 2" xfId="14722" xr:uid="{80B75CC9-C92D-4143-9C25-8B0D10BE471E}"/>
    <cellStyle name="Comma 4 3 2 3 5 4" xfId="10504" xr:uid="{8F3D6A70-B54F-4567-B22B-495A86C21E70}"/>
    <cellStyle name="Comma 4 3 2 3 6" xfId="2401" xr:uid="{00000000-0005-0000-0000-000054090000}"/>
    <cellStyle name="Comma 4 3 2 3 6 2" xfId="6685" xr:uid="{00000000-0005-0000-0000-000055090000}"/>
    <cellStyle name="Comma 4 3 2 3 6 2 2" xfId="15135" xr:uid="{6CDDBE9F-D0C6-41D1-9ABC-893D46CB7F14}"/>
    <cellStyle name="Comma 4 3 2 3 6 3" xfId="10917" xr:uid="{058B1AE7-1F7E-4E35-B1CE-B8A38DB147F9}"/>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F044F6A4-6F7C-47AD-8CC1-38CEF3237261}"/>
    <cellStyle name="Comma 4 3 2 3 8 3" xfId="11234" xr:uid="{9627F6ED-D05E-4DF6-B518-85B59FAAC2C0}"/>
    <cellStyle name="Comma 4 3 2 3 9" xfId="4619" xr:uid="{00000000-0005-0000-0000-000059090000}"/>
    <cellStyle name="Comma 4 3 2 3 9 2" xfId="13069" xr:uid="{C1664DF0-05BD-4751-97CD-FF9243E80C1F}"/>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D76DF309-F342-42AD-8CC5-CFC5B150281C}"/>
    <cellStyle name="Comma 4 3 2 4 2 3" xfId="11407" xr:uid="{86E10BA3-5BB7-417B-9709-855F0E88DEB1}"/>
    <cellStyle name="Comma 4 3 2 4 3" xfId="5030" xr:uid="{00000000-0005-0000-0000-00005D090000}"/>
    <cellStyle name="Comma 4 3 2 4 3 2" xfId="13480" xr:uid="{67DEC870-7D00-4A11-AEB1-59E28A19E3FA}"/>
    <cellStyle name="Comma 4 3 2 4 4" xfId="9262" xr:uid="{57FA8546-FEBE-4F06-BFBE-13C78439ECB3}"/>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6C4F11E-3DC9-4E51-A2D0-1CCCBF551A1E}"/>
    <cellStyle name="Comma 4 3 2 5 2 3" xfId="11820" xr:uid="{F871CB0A-3E5D-4889-88DA-78D2D0E13992}"/>
    <cellStyle name="Comma 4 3 2 5 3" xfId="5443" xr:uid="{00000000-0005-0000-0000-000061090000}"/>
    <cellStyle name="Comma 4 3 2 5 3 2" xfId="13893" xr:uid="{38E1B984-1EE2-4F30-81C8-C4AD126DB38E}"/>
    <cellStyle name="Comma 4 3 2 5 4" xfId="9675" xr:uid="{455D31AF-0F95-4F43-8DD4-E08E03D701CC}"/>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B9B2607D-E125-4B94-AD19-2975B07CCCBC}"/>
    <cellStyle name="Comma 4 3 2 6 2 3" xfId="12233" xr:uid="{B220D0B7-2AEB-4A95-8550-799DFB1FD0C6}"/>
    <cellStyle name="Comma 4 3 2 6 3" xfId="5856" xr:uid="{00000000-0005-0000-0000-000065090000}"/>
    <cellStyle name="Comma 4 3 2 6 3 2" xfId="14306" xr:uid="{A921FCC4-5E00-4BCF-81D9-EC5824C04E2D}"/>
    <cellStyle name="Comma 4 3 2 6 4" xfId="10088" xr:uid="{44F62886-843D-4F73-B290-FFD5A361193A}"/>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F59C0D8E-94F0-491C-8323-B96282EC725C}"/>
    <cellStyle name="Comma 4 3 2 7 2 3" xfId="12646" xr:uid="{B48DB78C-329A-4355-9488-7F066CA420BE}"/>
    <cellStyle name="Comma 4 3 2 7 3" xfId="6269" xr:uid="{00000000-0005-0000-0000-000069090000}"/>
    <cellStyle name="Comma 4 3 2 7 3 2" xfId="14719" xr:uid="{31C61A39-EEB5-443F-BEB2-E8DBC2130EA1}"/>
    <cellStyle name="Comma 4 3 2 7 4" xfId="10501" xr:uid="{AE19E56F-CF8D-4CC6-9CAE-6B209F33F8FA}"/>
    <cellStyle name="Comma 4 3 2 8" xfId="2398" xr:uid="{00000000-0005-0000-0000-00006A090000}"/>
    <cellStyle name="Comma 4 3 2 8 2" xfId="6682" xr:uid="{00000000-0005-0000-0000-00006B090000}"/>
    <cellStyle name="Comma 4 3 2 8 2 2" xfId="15132" xr:uid="{32D62CC1-77DE-4F6E-B1A8-2B45A4ACA8F3}"/>
    <cellStyle name="Comma 4 3 2 8 3" xfId="10914" xr:uid="{CA9E4FDE-18D8-45E3-BAC0-A4B18F7F46F3}"/>
    <cellStyle name="Comma 4 3 2 9" xfId="2365" xr:uid="{00000000-0005-0000-0000-00006C090000}"/>
    <cellStyle name="Comma 4 3 3" xfId="149" xr:uid="{00000000-0005-0000-0000-00006D090000}"/>
    <cellStyle name="Comma 4 3 3 10" xfId="4620" xr:uid="{00000000-0005-0000-0000-00006E090000}"/>
    <cellStyle name="Comma 4 3 3 10 2" xfId="13070" xr:uid="{68C8B168-7C41-473A-AA25-6587DFB3E5F2}"/>
    <cellStyle name="Comma 4 3 3 11" xfId="8852" xr:uid="{880ABDDB-165F-42A6-8864-725510652FDE}"/>
    <cellStyle name="Comma 4 3 3 2" xfId="150" xr:uid="{00000000-0005-0000-0000-00006F090000}"/>
    <cellStyle name="Comma 4 3 3 2 10" xfId="8853" xr:uid="{84E889CB-B5A9-4351-B346-A5D072AD93B5}"/>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C6E1173E-CA1B-467B-98D7-C908E8890DFB}"/>
    <cellStyle name="Comma 4 3 3 2 2 2 3" xfId="11412" xr:uid="{2C2F740C-FDB5-4BF2-B42C-1F61B1F449CE}"/>
    <cellStyle name="Comma 4 3 3 2 2 3" xfId="5035" xr:uid="{00000000-0005-0000-0000-000073090000}"/>
    <cellStyle name="Comma 4 3 3 2 2 3 2" xfId="13485" xr:uid="{67785E0E-C4DE-4BA8-9C5A-708A63A63E9F}"/>
    <cellStyle name="Comma 4 3 3 2 2 4" xfId="9267" xr:uid="{E00C5CA6-AD6D-4476-AC06-643FD8047008}"/>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9CB790E0-3873-4EA5-BBA1-1885FE2252AC}"/>
    <cellStyle name="Comma 4 3 3 2 3 2 3" xfId="11825" xr:uid="{3E967C36-6CC8-4851-BD30-9A8767F45FC9}"/>
    <cellStyle name="Comma 4 3 3 2 3 3" xfId="5448" xr:uid="{00000000-0005-0000-0000-000077090000}"/>
    <cellStyle name="Comma 4 3 3 2 3 3 2" xfId="13898" xr:uid="{B33532BB-BF61-40F6-91EF-80BB7280F6BB}"/>
    <cellStyle name="Comma 4 3 3 2 3 4" xfId="9680" xr:uid="{05D52481-80E9-4E41-B690-EAF9F9428728}"/>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D4AC39A9-26D3-4FA8-B38E-26F6A3127684}"/>
    <cellStyle name="Comma 4 3 3 2 4 2 3" xfId="12238" xr:uid="{1100B4C6-FD38-4DFB-A7B7-8A9EC3895E5D}"/>
    <cellStyle name="Comma 4 3 3 2 4 3" xfId="5861" xr:uid="{00000000-0005-0000-0000-00007B090000}"/>
    <cellStyle name="Comma 4 3 3 2 4 3 2" xfId="14311" xr:uid="{E876C58D-CED7-4F86-84A9-74F3D4FD63A3}"/>
    <cellStyle name="Comma 4 3 3 2 4 4" xfId="10093" xr:uid="{F8CE3D0F-68EC-439A-9E05-27C95F1673AD}"/>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41D74C16-1346-4DEC-8E75-E049FAA3460D}"/>
    <cellStyle name="Comma 4 3 3 2 5 2 3" xfId="12651" xr:uid="{087B20BF-0F71-43BA-9E23-00EAFF522389}"/>
    <cellStyle name="Comma 4 3 3 2 5 3" xfId="6274" xr:uid="{00000000-0005-0000-0000-00007F090000}"/>
    <cellStyle name="Comma 4 3 3 2 5 3 2" xfId="14724" xr:uid="{92A02EBF-C7F2-49DA-93C9-8AF2888DA509}"/>
    <cellStyle name="Comma 4 3 3 2 5 4" xfId="10506" xr:uid="{9962B29C-046B-49E8-B7ED-BDE5507A0249}"/>
    <cellStyle name="Comma 4 3 3 2 6" xfId="2403" xr:uid="{00000000-0005-0000-0000-000080090000}"/>
    <cellStyle name="Comma 4 3 3 2 6 2" xfId="6687" xr:uid="{00000000-0005-0000-0000-000081090000}"/>
    <cellStyle name="Comma 4 3 3 2 6 2 2" xfId="15137" xr:uid="{B84D473F-47A8-46FF-88D2-2C207A78CBD6}"/>
    <cellStyle name="Comma 4 3 3 2 6 3" xfId="10919" xr:uid="{C8DFA7D3-75E9-4BE7-9C21-8BC01CFCE7F7}"/>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13F99B43-7590-4DB4-A262-0FFF530FF422}"/>
    <cellStyle name="Comma 4 3 3 2 8 3" xfId="11236" xr:uid="{270C2B0E-F1F8-45E6-B99F-55E6083094E0}"/>
    <cellStyle name="Comma 4 3 3 2 9" xfId="4621" xr:uid="{00000000-0005-0000-0000-000085090000}"/>
    <cellStyle name="Comma 4 3 3 2 9 2" xfId="13071" xr:uid="{9A958C90-3566-4DA1-8886-C00ED5249B9F}"/>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9D592A14-E72A-445E-A5D3-948A4B7FC0C6}"/>
    <cellStyle name="Comma 4 3 3 3 2 3" xfId="11411" xr:uid="{B15AC0BD-E646-4353-8AD9-85516A4CFDC2}"/>
    <cellStyle name="Comma 4 3 3 3 3" xfId="5034" xr:uid="{00000000-0005-0000-0000-000089090000}"/>
    <cellStyle name="Comma 4 3 3 3 3 2" xfId="13484" xr:uid="{448F61C2-7239-4E6B-8760-ED964A5727FC}"/>
    <cellStyle name="Comma 4 3 3 3 4" xfId="9266" xr:uid="{95CB49B3-6942-4AA4-B476-94E3075DF8B1}"/>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F9634D96-F73F-413D-9807-1BC4C5CFA04B}"/>
    <cellStyle name="Comma 4 3 3 4 2 3" xfId="11824" xr:uid="{63AFA6DF-5024-420D-91A1-DEBA4EB11C66}"/>
    <cellStyle name="Comma 4 3 3 4 3" xfId="5447" xr:uid="{00000000-0005-0000-0000-00008D090000}"/>
    <cellStyle name="Comma 4 3 3 4 3 2" xfId="13897" xr:uid="{7FAD1E4F-D60B-4D58-8851-F064DD677992}"/>
    <cellStyle name="Comma 4 3 3 4 4" xfId="9679" xr:uid="{9C10C33C-BE62-415C-AEB4-46A99AB1D145}"/>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CBAB6A86-C035-4ADF-9CD3-0B87C0E2422A}"/>
    <cellStyle name="Comma 4 3 3 5 2 3" xfId="12237" xr:uid="{26B8FD24-F602-4D93-85A2-9A4B95066F1A}"/>
    <cellStyle name="Comma 4 3 3 5 3" xfId="5860" xr:uid="{00000000-0005-0000-0000-000091090000}"/>
    <cellStyle name="Comma 4 3 3 5 3 2" xfId="14310" xr:uid="{11C14714-23DF-4F1C-96D1-72FCB3B7CF51}"/>
    <cellStyle name="Comma 4 3 3 5 4" xfId="10092" xr:uid="{FF8D9E9F-A916-4759-B420-1D0CD7B59D7D}"/>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6E4B2352-0E87-454F-8F86-7E152B9EB3F1}"/>
    <cellStyle name="Comma 4 3 3 6 2 3" xfId="12650" xr:uid="{4EBB3BA7-FC67-42CA-A9A5-B0DF2CC01879}"/>
    <cellStyle name="Comma 4 3 3 6 3" xfId="6273" xr:uid="{00000000-0005-0000-0000-000095090000}"/>
    <cellStyle name="Comma 4 3 3 6 3 2" xfId="14723" xr:uid="{A84B85CE-83AB-4C87-8E8A-B8D23F4E43BE}"/>
    <cellStyle name="Comma 4 3 3 6 4" xfId="10505" xr:uid="{937AADAE-4435-4490-A651-5C7EACA90A69}"/>
    <cellStyle name="Comma 4 3 3 7" xfId="2402" xr:uid="{00000000-0005-0000-0000-000096090000}"/>
    <cellStyle name="Comma 4 3 3 7 2" xfId="6686" xr:uid="{00000000-0005-0000-0000-000097090000}"/>
    <cellStyle name="Comma 4 3 3 7 2 2" xfId="15136" xr:uid="{A66ABFCC-0F17-4D29-98CB-3A30B2869726}"/>
    <cellStyle name="Comma 4 3 3 7 3" xfId="10918" xr:uid="{9DA41897-089B-4DC7-A455-6228A33D6437}"/>
    <cellStyle name="Comma 4 3 3 8" xfId="2361" xr:uid="{00000000-0005-0000-0000-000098090000}"/>
    <cellStyle name="Comma 4 3 3 9" xfId="2780" xr:uid="{00000000-0005-0000-0000-000099090000}"/>
    <cellStyle name="Comma 4 3 3 9 2" xfId="7003" xr:uid="{00000000-0005-0000-0000-00009A090000}"/>
    <cellStyle name="Comma 4 3 3 9 2 2" xfId="15453" xr:uid="{43911362-2869-4E0E-A2D9-4F184E925C14}"/>
    <cellStyle name="Comma 4 3 3 9 3" xfId="11235" xr:uid="{BD8B07A3-D3C4-4FD4-99F0-1C6C825DA5F7}"/>
    <cellStyle name="Comma 4 3 4" xfId="151" xr:uid="{00000000-0005-0000-0000-00009B090000}"/>
    <cellStyle name="Comma 4 3 4 10" xfId="8854" xr:uid="{EC636368-B1AD-4391-9B4B-5BFA31838A16}"/>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A31F7FDB-F5B0-4913-982C-E977C69761F9}"/>
    <cellStyle name="Comma 4 3 4 2 2 3" xfId="11413" xr:uid="{5AEF3797-BC11-4885-AC44-4621074DAEE5}"/>
    <cellStyle name="Comma 4 3 4 2 3" xfId="5036" xr:uid="{00000000-0005-0000-0000-00009F090000}"/>
    <cellStyle name="Comma 4 3 4 2 3 2" xfId="13486" xr:uid="{34825ADD-F957-4ED5-95FD-89370127D029}"/>
    <cellStyle name="Comma 4 3 4 2 4" xfId="9268" xr:uid="{65C20D52-A151-44A0-BD72-0E0A38EB42EC}"/>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3275623B-024A-4B97-9922-05A157F78F8F}"/>
    <cellStyle name="Comma 4 3 4 3 2 3" xfId="11826" xr:uid="{97547521-DBD6-48A8-AFC0-C9333AF2C5EB}"/>
    <cellStyle name="Comma 4 3 4 3 3" xfId="5449" xr:uid="{00000000-0005-0000-0000-0000A3090000}"/>
    <cellStyle name="Comma 4 3 4 3 3 2" xfId="13899" xr:uid="{3E707A78-E4D3-447D-9617-DE019E4BC4B4}"/>
    <cellStyle name="Comma 4 3 4 3 4" xfId="9681" xr:uid="{AEEFACBB-0526-4AAB-94A2-D40E1E9298BE}"/>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C5461111-1118-490D-811E-45CDF9B82737}"/>
    <cellStyle name="Comma 4 3 4 4 2 3" xfId="12239" xr:uid="{4D70B47D-244D-404C-BB14-E6203EE37172}"/>
    <cellStyle name="Comma 4 3 4 4 3" xfId="5862" xr:uid="{00000000-0005-0000-0000-0000A7090000}"/>
    <cellStyle name="Comma 4 3 4 4 3 2" xfId="14312" xr:uid="{1D14D2BC-4DDC-48D5-BBA6-4A0F161F0758}"/>
    <cellStyle name="Comma 4 3 4 4 4" xfId="10094" xr:uid="{68CA5C37-AD58-437A-8402-847537C01BE0}"/>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0D50C8B9-8F8F-4BF4-A3C1-78BFB2705563}"/>
    <cellStyle name="Comma 4 3 4 5 2 3" xfId="12652" xr:uid="{79B9D2D7-24C6-4FF8-A75C-8DD4EEEB440E}"/>
    <cellStyle name="Comma 4 3 4 5 3" xfId="6275" xr:uid="{00000000-0005-0000-0000-0000AB090000}"/>
    <cellStyle name="Comma 4 3 4 5 3 2" xfId="14725" xr:uid="{0C7BF75C-7C67-4825-AFE2-4458AA9F1EEB}"/>
    <cellStyle name="Comma 4 3 4 5 4" xfId="10507" xr:uid="{E8CDEC5D-A2A3-4070-AED5-F0DC7FEF71BC}"/>
    <cellStyle name="Comma 4 3 4 6" xfId="2404" xr:uid="{00000000-0005-0000-0000-0000AC090000}"/>
    <cellStyle name="Comma 4 3 4 6 2" xfId="6688" xr:uid="{00000000-0005-0000-0000-0000AD090000}"/>
    <cellStyle name="Comma 4 3 4 6 2 2" xfId="15138" xr:uid="{5908A876-E0BD-4BC6-97CA-E9DB5D198FC4}"/>
    <cellStyle name="Comma 4 3 4 6 3" xfId="10920" xr:uid="{7C95048C-1491-4280-8A0B-F3A7CE93E619}"/>
    <cellStyle name="Comma 4 3 4 7" xfId="2700" xr:uid="{00000000-0005-0000-0000-0000AE090000}"/>
    <cellStyle name="Comma 4 3 4 8" xfId="2782" xr:uid="{00000000-0005-0000-0000-0000AF090000}"/>
    <cellStyle name="Comma 4 3 4 8 2" xfId="7005" xr:uid="{00000000-0005-0000-0000-0000B0090000}"/>
    <cellStyle name="Comma 4 3 4 8 2 2" xfId="15455" xr:uid="{F021ED38-7482-455E-AAFD-74E7E6A24FD1}"/>
    <cellStyle name="Comma 4 3 4 8 3" xfId="11237" xr:uid="{B3C0B973-70A5-4867-8336-B9A31A90CF17}"/>
    <cellStyle name="Comma 4 3 4 9" xfId="4622" xr:uid="{00000000-0005-0000-0000-0000B1090000}"/>
    <cellStyle name="Comma 4 3 4 9 2" xfId="13072" xr:uid="{FC563462-1A19-4BA8-8BA0-9C192E03C4E6}"/>
    <cellStyle name="Comma 4 3 5" xfId="152" xr:uid="{00000000-0005-0000-0000-0000B2090000}"/>
    <cellStyle name="Comma 4 3 5 10" xfId="8855" xr:uid="{F07B7BBB-0432-471B-BD6A-7100CC15471D}"/>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AF96D854-5510-4E76-A817-694A17C81CC0}"/>
    <cellStyle name="Comma 4 3 5 2 2 3" xfId="11414" xr:uid="{1E096A48-CD25-4702-8E81-CC53CD925E3A}"/>
    <cellStyle name="Comma 4 3 5 2 3" xfId="5037" xr:uid="{00000000-0005-0000-0000-0000B6090000}"/>
    <cellStyle name="Comma 4 3 5 2 3 2" xfId="13487" xr:uid="{2013E97F-A6DA-4151-9B10-30E2C21BEB87}"/>
    <cellStyle name="Comma 4 3 5 2 4" xfId="9269" xr:uid="{AAD5103C-7BC0-4C17-9CC1-57D656F4EB72}"/>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8A412393-0EAA-469D-81E2-1B35CFB255C7}"/>
    <cellStyle name="Comma 4 3 5 3 2 3" xfId="11827" xr:uid="{9469153E-EF95-4B06-A7C0-088A196569F5}"/>
    <cellStyle name="Comma 4 3 5 3 3" xfId="5450" xr:uid="{00000000-0005-0000-0000-0000BA090000}"/>
    <cellStyle name="Comma 4 3 5 3 3 2" xfId="13900" xr:uid="{51348276-2791-418F-A3B9-C4BFEA6838C5}"/>
    <cellStyle name="Comma 4 3 5 3 4" xfId="9682" xr:uid="{7B63C35B-FD74-4330-A12B-6120F8B06208}"/>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D817CE58-DBDF-489E-9AEA-3D2FE098D4F1}"/>
    <cellStyle name="Comma 4 3 5 4 2 3" xfId="12240" xr:uid="{A983B02E-5CAF-48AA-8FC3-957CDD72FAAE}"/>
    <cellStyle name="Comma 4 3 5 4 3" xfId="5863" xr:uid="{00000000-0005-0000-0000-0000BE090000}"/>
    <cellStyle name="Comma 4 3 5 4 3 2" xfId="14313" xr:uid="{4E3608F1-4D80-4937-8CE3-124309189035}"/>
    <cellStyle name="Comma 4 3 5 4 4" xfId="10095" xr:uid="{200E5F92-E574-480C-B0CA-B8C36DB99BD5}"/>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06BE2303-4CEB-42F3-84A0-87613F34BD7C}"/>
    <cellStyle name="Comma 4 3 5 5 2 3" xfId="12653" xr:uid="{62787D5D-3B01-4E30-8566-5CB3D29FD3F2}"/>
    <cellStyle name="Comma 4 3 5 5 3" xfId="6276" xr:uid="{00000000-0005-0000-0000-0000C2090000}"/>
    <cellStyle name="Comma 4 3 5 5 3 2" xfId="14726" xr:uid="{73BFB0C6-B8F9-4971-A313-3A32D3BD6CD1}"/>
    <cellStyle name="Comma 4 3 5 5 4" xfId="10508" xr:uid="{B802A088-EE6F-4A28-94CD-641C590F06AC}"/>
    <cellStyle name="Comma 4 3 5 6" xfId="2405" xr:uid="{00000000-0005-0000-0000-0000C3090000}"/>
    <cellStyle name="Comma 4 3 5 6 2" xfId="6689" xr:uid="{00000000-0005-0000-0000-0000C4090000}"/>
    <cellStyle name="Comma 4 3 5 6 2 2" xfId="15139" xr:uid="{B3F43957-77C6-438D-9763-5E76C20D160B}"/>
    <cellStyle name="Comma 4 3 5 6 3" xfId="10921" xr:uid="{7EAA8757-0522-440E-9E73-7F09754D313B}"/>
    <cellStyle name="Comma 4 3 5 7" xfId="2701" xr:uid="{00000000-0005-0000-0000-0000C5090000}"/>
    <cellStyle name="Comma 4 3 5 8" xfId="2783" xr:uid="{00000000-0005-0000-0000-0000C6090000}"/>
    <cellStyle name="Comma 4 3 5 8 2" xfId="7006" xr:uid="{00000000-0005-0000-0000-0000C7090000}"/>
    <cellStyle name="Comma 4 3 5 8 2 2" xfId="15456" xr:uid="{5C108151-25D5-40BB-9FE5-30462B5C7F0D}"/>
    <cellStyle name="Comma 4 3 5 8 3" xfId="11238" xr:uid="{FC4FFA04-E7B5-4B02-8F40-5AA0CBA7AD19}"/>
    <cellStyle name="Comma 4 3 5 9" xfId="4623" xr:uid="{00000000-0005-0000-0000-0000C8090000}"/>
    <cellStyle name="Comma 4 3 5 9 2" xfId="13073" xr:uid="{949A4876-FD36-43E0-9EC9-F78EB38C634E}"/>
    <cellStyle name="Comma 4 4" xfId="153" xr:uid="{00000000-0005-0000-0000-0000C9090000}"/>
    <cellStyle name="Comma 4 4 10" xfId="2784" xr:uid="{00000000-0005-0000-0000-0000CA090000}"/>
    <cellStyle name="Comma 4 4 10 2" xfId="7007" xr:uid="{00000000-0005-0000-0000-0000CB090000}"/>
    <cellStyle name="Comma 4 4 10 2 2" xfId="15457" xr:uid="{DA5AAA19-3717-439B-BFDB-48831EA8006C}"/>
    <cellStyle name="Comma 4 4 10 3" xfId="11239" xr:uid="{D1C425B2-2C61-40D8-9C8E-C55F353AF3B3}"/>
    <cellStyle name="Comma 4 4 11" xfId="4624" xr:uid="{00000000-0005-0000-0000-0000CC090000}"/>
    <cellStyle name="Comma 4 4 11 2" xfId="13074" xr:uid="{44B7F56D-7B74-4100-8C1E-E5968D33E316}"/>
    <cellStyle name="Comma 4 4 12" xfId="8856" xr:uid="{0952FED8-67A3-4555-9C44-CFA7E89A4766}"/>
    <cellStyle name="Comma 4 4 2" xfId="154" xr:uid="{00000000-0005-0000-0000-0000CD090000}"/>
    <cellStyle name="Comma 4 4 2 10" xfId="4625" xr:uid="{00000000-0005-0000-0000-0000CE090000}"/>
    <cellStyle name="Comma 4 4 2 10 2" xfId="13075" xr:uid="{0180EFCF-8D47-4354-9815-87D348332741}"/>
    <cellStyle name="Comma 4 4 2 11" xfId="8857" xr:uid="{FCAB35C0-CDBF-4241-AE38-FD02A84ABF15}"/>
    <cellStyle name="Comma 4 4 2 2" xfId="155" xr:uid="{00000000-0005-0000-0000-0000CF090000}"/>
    <cellStyle name="Comma 4 4 2 2 10" xfId="8858" xr:uid="{0C7E34C6-E6B9-4025-9640-7A13920B42FE}"/>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5FF588B4-AF11-4C8F-9DA3-608E50A57447}"/>
    <cellStyle name="Comma 4 4 2 2 2 2 3" xfId="11417" xr:uid="{8911E9BF-4013-42AB-A547-8ED842D035AA}"/>
    <cellStyle name="Comma 4 4 2 2 2 3" xfId="5040" xr:uid="{00000000-0005-0000-0000-0000D3090000}"/>
    <cellStyle name="Comma 4 4 2 2 2 3 2" xfId="13490" xr:uid="{F073C849-47B3-4B46-914E-083E80F4E924}"/>
    <cellStyle name="Comma 4 4 2 2 2 4" xfId="9272" xr:uid="{F7357DE2-AE46-4079-AC05-21259B6E150D}"/>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9E71DDC7-D7B4-4741-B865-E03812AF5EF3}"/>
    <cellStyle name="Comma 4 4 2 2 3 2 3" xfId="11830" xr:uid="{91D94922-57C7-4CA0-A0AC-B78E38B1EB4E}"/>
    <cellStyle name="Comma 4 4 2 2 3 3" xfId="5453" xr:uid="{00000000-0005-0000-0000-0000D7090000}"/>
    <cellStyle name="Comma 4 4 2 2 3 3 2" xfId="13903" xr:uid="{BE4EE48F-8EEF-4AC4-96C9-BA787C097400}"/>
    <cellStyle name="Comma 4 4 2 2 3 4" xfId="9685" xr:uid="{CD253A57-0F52-4372-81C5-9260A231CDA5}"/>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9074D06B-D04F-4AFE-83CB-330122B5D8A3}"/>
    <cellStyle name="Comma 4 4 2 2 4 2 3" xfId="12243" xr:uid="{A4E4CE0A-9832-4821-A9B2-2D5906F416FD}"/>
    <cellStyle name="Comma 4 4 2 2 4 3" xfId="5866" xr:uid="{00000000-0005-0000-0000-0000DB090000}"/>
    <cellStyle name="Comma 4 4 2 2 4 3 2" xfId="14316" xr:uid="{BEBB3773-50F7-41A6-B841-EF6127952286}"/>
    <cellStyle name="Comma 4 4 2 2 4 4" xfId="10098" xr:uid="{7925D2D7-E9EF-45FA-B162-7DF0966E4A84}"/>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A41E1349-0E3F-402A-9F82-8BE71F4ECB11}"/>
    <cellStyle name="Comma 4 4 2 2 5 2 3" xfId="12656" xr:uid="{1C4C9A4E-ACCD-4727-824D-7D3E75A93805}"/>
    <cellStyle name="Comma 4 4 2 2 5 3" xfId="6279" xr:uid="{00000000-0005-0000-0000-0000DF090000}"/>
    <cellStyle name="Comma 4 4 2 2 5 3 2" xfId="14729" xr:uid="{32C329A8-6DA6-4BCB-BDC3-EC5DAB084383}"/>
    <cellStyle name="Comma 4 4 2 2 5 4" xfId="10511" xr:uid="{8531D650-09F1-4BB2-B4E0-570FB1025BDC}"/>
    <cellStyle name="Comma 4 4 2 2 6" xfId="2408" xr:uid="{00000000-0005-0000-0000-0000E0090000}"/>
    <cellStyle name="Comma 4 4 2 2 6 2" xfId="6692" xr:uid="{00000000-0005-0000-0000-0000E1090000}"/>
    <cellStyle name="Comma 4 4 2 2 6 2 2" xfId="15142" xr:uid="{39A47C6D-5A74-4DC0-8154-EDAC594C9853}"/>
    <cellStyle name="Comma 4 4 2 2 6 3" xfId="10924" xr:uid="{DD5B80D0-B2EC-45C1-9B17-00DAED4DB078}"/>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C1DBAC67-6FF1-45B1-8A90-4BC7C645897B}"/>
    <cellStyle name="Comma 4 4 2 2 8 3" xfId="11241" xr:uid="{845C9248-AB59-4BA6-8514-F40CF6AC1F8A}"/>
    <cellStyle name="Comma 4 4 2 2 9" xfId="4626" xr:uid="{00000000-0005-0000-0000-0000E5090000}"/>
    <cellStyle name="Comma 4 4 2 2 9 2" xfId="13076" xr:uid="{F0A6D3A2-834B-4C06-910A-763180702FEB}"/>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976A87C0-A0EC-41BE-A78C-DC3EBACB2EEC}"/>
    <cellStyle name="Comma 4 4 2 3 2 3" xfId="11416" xr:uid="{8CC58C0C-B406-48F4-AEE9-4946D2A148E0}"/>
    <cellStyle name="Comma 4 4 2 3 3" xfId="5039" xr:uid="{00000000-0005-0000-0000-0000E9090000}"/>
    <cellStyle name="Comma 4 4 2 3 3 2" xfId="13489" xr:uid="{DA56478D-F4C3-41F2-8653-8D543D97CBAA}"/>
    <cellStyle name="Comma 4 4 2 3 4" xfId="9271" xr:uid="{516E0365-61A5-4582-8453-D9D1CD73F276}"/>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92B584D1-A8EF-4271-93AB-2A570A502549}"/>
    <cellStyle name="Comma 4 4 2 4 2 3" xfId="11829" xr:uid="{0067B3BD-D42B-4198-ABA8-5DFADA12758F}"/>
    <cellStyle name="Comma 4 4 2 4 3" xfId="5452" xr:uid="{00000000-0005-0000-0000-0000ED090000}"/>
    <cellStyle name="Comma 4 4 2 4 3 2" xfId="13902" xr:uid="{84D86873-9C61-472C-A80A-CE6B9FE56A4C}"/>
    <cellStyle name="Comma 4 4 2 4 4" xfId="9684" xr:uid="{D6612C30-56E9-4860-9D4E-D92D158F08E0}"/>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EAFB9F0E-DE94-402C-A0DD-2E35D02DB645}"/>
    <cellStyle name="Comma 4 4 2 5 2 3" xfId="12242" xr:uid="{932B75AC-C33B-4F3B-BB8F-ECCC6131A1CD}"/>
    <cellStyle name="Comma 4 4 2 5 3" xfId="5865" xr:uid="{00000000-0005-0000-0000-0000F1090000}"/>
    <cellStyle name="Comma 4 4 2 5 3 2" xfId="14315" xr:uid="{90005E98-4372-478E-A3D3-1FA341EC99C8}"/>
    <cellStyle name="Comma 4 4 2 5 4" xfId="10097" xr:uid="{A28CC608-43B9-4F6D-9E4E-2AD77833A2B0}"/>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D5896293-574F-4881-A655-49376E9EE620}"/>
    <cellStyle name="Comma 4 4 2 6 2 3" xfId="12655" xr:uid="{9E59B34D-BCE8-4039-A0C5-3C1111309999}"/>
    <cellStyle name="Comma 4 4 2 6 3" xfId="6278" xr:uid="{00000000-0005-0000-0000-0000F5090000}"/>
    <cellStyle name="Comma 4 4 2 6 3 2" xfId="14728" xr:uid="{D36A0F05-A3E8-4F44-BDB6-92ADF34E4558}"/>
    <cellStyle name="Comma 4 4 2 6 4" xfId="10510" xr:uid="{E2AA920C-48BC-4A09-9498-4EBA3006A961}"/>
    <cellStyle name="Comma 4 4 2 7" xfId="2407" xr:uid="{00000000-0005-0000-0000-0000F6090000}"/>
    <cellStyle name="Comma 4 4 2 7 2" xfId="6691" xr:uid="{00000000-0005-0000-0000-0000F7090000}"/>
    <cellStyle name="Comma 4 4 2 7 2 2" xfId="15141" xr:uid="{82DC84AD-3C3D-4D34-B9D7-26B86F331331}"/>
    <cellStyle name="Comma 4 4 2 7 3" xfId="10923" xr:uid="{5FF5B82A-556F-4964-AA04-191C37AEE8C7}"/>
    <cellStyle name="Comma 4 4 2 8" xfId="2703" xr:uid="{00000000-0005-0000-0000-0000F8090000}"/>
    <cellStyle name="Comma 4 4 2 9" xfId="2785" xr:uid="{00000000-0005-0000-0000-0000F9090000}"/>
    <cellStyle name="Comma 4 4 2 9 2" xfId="7008" xr:uid="{00000000-0005-0000-0000-0000FA090000}"/>
    <cellStyle name="Comma 4 4 2 9 2 2" xfId="15458" xr:uid="{B70EE474-18E8-4882-B4BB-3E7817D909E7}"/>
    <cellStyle name="Comma 4 4 2 9 3" xfId="11240" xr:uid="{AEDE296F-42E0-4101-A41D-EE1CDD6CAD23}"/>
    <cellStyle name="Comma 4 4 3" xfId="156" xr:uid="{00000000-0005-0000-0000-0000FB090000}"/>
    <cellStyle name="Comma 4 4 3 10" xfId="8859" xr:uid="{5183122D-4631-474A-AA50-6179A669129A}"/>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4FF21DC5-4235-4718-9623-12A049378074}"/>
    <cellStyle name="Comma 4 4 3 2 2 3" xfId="11418" xr:uid="{D0B2B0DD-A838-4D88-B8C0-0EE9F124188C}"/>
    <cellStyle name="Comma 4 4 3 2 3" xfId="5041" xr:uid="{00000000-0005-0000-0000-0000FF090000}"/>
    <cellStyle name="Comma 4 4 3 2 3 2" xfId="13491" xr:uid="{041BDD0B-C6D5-43E4-913C-22647800594C}"/>
    <cellStyle name="Comma 4 4 3 2 4" xfId="9273" xr:uid="{318BF47D-41AF-4D98-903B-BC5E3EE45976}"/>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9B18C1AC-836B-48AB-90F5-572079178B7A}"/>
    <cellStyle name="Comma 4 4 3 3 2 3" xfId="11831" xr:uid="{40376D76-E4DD-4A69-B7D1-6B590CA629C5}"/>
    <cellStyle name="Comma 4 4 3 3 3" xfId="5454" xr:uid="{00000000-0005-0000-0000-0000030A0000}"/>
    <cellStyle name="Comma 4 4 3 3 3 2" xfId="13904" xr:uid="{5537AD60-04B1-4E16-86C0-BCB536B2EBE4}"/>
    <cellStyle name="Comma 4 4 3 3 4" xfId="9686" xr:uid="{D8B4B5D0-570E-4325-8268-2C6BE8ECDFBE}"/>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D3F6DAB8-C668-4877-BB39-C154B7859317}"/>
    <cellStyle name="Comma 4 4 3 4 2 3" xfId="12244" xr:uid="{FA261535-EC06-4B84-9DE2-65BD21E5CB26}"/>
    <cellStyle name="Comma 4 4 3 4 3" xfId="5867" xr:uid="{00000000-0005-0000-0000-0000070A0000}"/>
    <cellStyle name="Comma 4 4 3 4 3 2" xfId="14317" xr:uid="{FE43D6C4-4D74-4936-BBBD-87F5EF718CED}"/>
    <cellStyle name="Comma 4 4 3 4 4" xfId="10099" xr:uid="{3ED989FA-2337-4027-A5D8-37AFE3E61C78}"/>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FE56FDA4-9B8F-4833-AB7A-460C737DFED6}"/>
    <cellStyle name="Comma 4 4 3 5 2 3" xfId="12657" xr:uid="{962CEC3A-53F6-4D29-A535-E273F1DC00E8}"/>
    <cellStyle name="Comma 4 4 3 5 3" xfId="6280" xr:uid="{00000000-0005-0000-0000-00000B0A0000}"/>
    <cellStyle name="Comma 4 4 3 5 3 2" xfId="14730" xr:uid="{5DF0537F-796B-4056-AF74-1CBFCE2DB398}"/>
    <cellStyle name="Comma 4 4 3 5 4" xfId="10512" xr:uid="{C71DD5E2-5A06-4A09-A1E7-9C540D72B682}"/>
    <cellStyle name="Comma 4 4 3 6" xfId="2409" xr:uid="{00000000-0005-0000-0000-00000C0A0000}"/>
    <cellStyle name="Comma 4 4 3 6 2" xfId="6693" xr:uid="{00000000-0005-0000-0000-00000D0A0000}"/>
    <cellStyle name="Comma 4 4 3 6 2 2" xfId="15143" xr:uid="{96522B06-EF54-4CD6-A258-0C22FE9CD30C}"/>
    <cellStyle name="Comma 4 4 3 6 3" xfId="10925" xr:uid="{29F15263-F8D4-4E04-BA80-E6700A5ABCC2}"/>
    <cellStyle name="Comma 4 4 3 7" xfId="2705" xr:uid="{00000000-0005-0000-0000-00000E0A0000}"/>
    <cellStyle name="Comma 4 4 3 8" xfId="2787" xr:uid="{00000000-0005-0000-0000-00000F0A0000}"/>
    <cellStyle name="Comma 4 4 3 8 2" xfId="7010" xr:uid="{00000000-0005-0000-0000-0000100A0000}"/>
    <cellStyle name="Comma 4 4 3 8 2 2" xfId="15460" xr:uid="{B48F5C92-920E-4F9F-BE0C-3FA4B18BEAB6}"/>
    <cellStyle name="Comma 4 4 3 8 3" xfId="11242" xr:uid="{0DF708EC-B8E1-40F7-878E-15EF943EDE55}"/>
    <cellStyle name="Comma 4 4 3 9" xfId="4627" xr:uid="{00000000-0005-0000-0000-0000110A0000}"/>
    <cellStyle name="Comma 4 4 3 9 2" xfId="13077" xr:uid="{4EA20581-4FB3-4C15-8D4B-1498BB280F42}"/>
    <cellStyle name="Comma 4 4 4" xfId="690" xr:uid="{00000000-0005-0000-0000-0000120A0000}"/>
    <cellStyle name="Comma 4 4 4 2" xfId="2961" xr:uid="{00000000-0005-0000-0000-0000130A0000}"/>
    <cellStyle name="Comma 4 4 4 2 2" xfId="7183" xr:uid="{00000000-0005-0000-0000-0000140A0000}"/>
    <cellStyle name="Comma 4 4 4 2 2 2" xfId="15633" xr:uid="{01AC81AA-8AA9-4CF8-8714-9C6FA04E8C65}"/>
    <cellStyle name="Comma 4 4 4 2 3" xfId="11415" xr:uid="{2DD32128-0765-4DF9-B630-9CA1B9BB35BD}"/>
    <cellStyle name="Comma 4 4 4 3" xfId="5038" xr:uid="{00000000-0005-0000-0000-0000150A0000}"/>
    <cellStyle name="Comma 4 4 4 3 2" xfId="13488" xr:uid="{A2E66BB2-270B-471C-8947-CC68944E9E28}"/>
    <cellStyle name="Comma 4 4 4 4" xfId="9270" xr:uid="{E16B86D7-9882-4279-954C-0780F8668FBD}"/>
    <cellStyle name="Comma 4 4 5" xfId="1143" xr:uid="{00000000-0005-0000-0000-0000160A0000}"/>
    <cellStyle name="Comma 4 4 5 2" xfId="3374" xr:uid="{00000000-0005-0000-0000-0000170A0000}"/>
    <cellStyle name="Comma 4 4 5 2 2" xfId="7596" xr:uid="{00000000-0005-0000-0000-0000180A0000}"/>
    <cellStyle name="Comma 4 4 5 2 2 2" xfId="16046" xr:uid="{7E674252-309E-497D-886B-D028CE096340}"/>
    <cellStyle name="Comma 4 4 5 2 3" xfId="11828" xr:uid="{090953CE-395C-4E7B-8872-27FE7D228B50}"/>
    <cellStyle name="Comma 4 4 5 3" xfId="5451" xr:uid="{00000000-0005-0000-0000-0000190A0000}"/>
    <cellStyle name="Comma 4 4 5 3 2" xfId="13901" xr:uid="{2C7EC013-B7FA-40F9-B3E9-EC8761B52C77}"/>
    <cellStyle name="Comma 4 4 5 4" xfId="9683" xr:uid="{F9993BEA-B8C8-4569-BE4A-2629DFA600FA}"/>
    <cellStyle name="Comma 4 4 6" xfId="1557" xr:uid="{00000000-0005-0000-0000-00001A0A0000}"/>
    <cellStyle name="Comma 4 4 6 2" xfId="3787" xr:uid="{00000000-0005-0000-0000-00001B0A0000}"/>
    <cellStyle name="Comma 4 4 6 2 2" xfId="8009" xr:uid="{00000000-0005-0000-0000-00001C0A0000}"/>
    <cellStyle name="Comma 4 4 6 2 2 2" xfId="16459" xr:uid="{F2D80D2B-E0EC-41D7-BDCF-536D7196BC5F}"/>
    <cellStyle name="Comma 4 4 6 2 3" xfId="12241" xr:uid="{650E212A-8C56-4B25-8251-8DD63E0AA707}"/>
    <cellStyle name="Comma 4 4 6 3" xfId="5864" xr:uid="{00000000-0005-0000-0000-00001D0A0000}"/>
    <cellStyle name="Comma 4 4 6 3 2" xfId="14314" xr:uid="{FC5028C0-8BCD-41D6-B41D-C2666E31F8A4}"/>
    <cellStyle name="Comma 4 4 6 4" xfId="10096" xr:uid="{2A413E07-38F0-4047-B7E0-ABB9624AADBE}"/>
    <cellStyle name="Comma 4 4 7" xfId="1971" xr:uid="{00000000-0005-0000-0000-00001E0A0000}"/>
    <cellStyle name="Comma 4 4 7 2" xfId="4200" xr:uid="{00000000-0005-0000-0000-00001F0A0000}"/>
    <cellStyle name="Comma 4 4 7 2 2" xfId="8422" xr:uid="{00000000-0005-0000-0000-0000200A0000}"/>
    <cellStyle name="Comma 4 4 7 2 2 2" xfId="16872" xr:uid="{19ACAF84-1263-42EF-8CEE-343EF0B8CDAC}"/>
    <cellStyle name="Comma 4 4 7 2 3" xfId="12654" xr:uid="{1A4F631B-746B-489B-B139-ED37360C5250}"/>
    <cellStyle name="Comma 4 4 7 3" xfId="6277" xr:uid="{00000000-0005-0000-0000-0000210A0000}"/>
    <cellStyle name="Comma 4 4 7 3 2" xfId="14727" xr:uid="{62AD2D88-87A1-4BA1-BC72-CB17C20FA6FE}"/>
    <cellStyle name="Comma 4 4 7 4" xfId="10509" xr:uid="{5E5EEDF6-DDFD-4D7C-AD47-F4E2506C53D8}"/>
    <cellStyle name="Comma 4 4 8" xfId="2406" xr:uid="{00000000-0005-0000-0000-0000220A0000}"/>
    <cellStyle name="Comma 4 4 8 2" xfId="6690" xr:uid="{00000000-0005-0000-0000-0000230A0000}"/>
    <cellStyle name="Comma 4 4 8 2 2" xfId="15140" xr:uid="{FC8A668A-1222-4CC8-B8B6-02C7B5F23F1C}"/>
    <cellStyle name="Comma 4 4 8 3" xfId="10922" xr:uid="{97DB8E62-57D7-4F1F-8AEC-DBD982DA7D4F}"/>
    <cellStyle name="Comma 4 4 9" xfId="2702" xr:uid="{00000000-0005-0000-0000-0000240A0000}"/>
    <cellStyle name="Comma 4 5" xfId="157" xr:uid="{00000000-0005-0000-0000-0000250A0000}"/>
    <cellStyle name="Comma 4 5 10" xfId="4628" xr:uid="{00000000-0005-0000-0000-0000260A0000}"/>
    <cellStyle name="Comma 4 5 10 2" xfId="13078" xr:uid="{5D7C4BF9-A965-4086-9CF9-C7FEB21EADBA}"/>
    <cellStyle name="Comma 4 5 11" xfId="8860" xr:uid="{39CA7077-7254-456B-B5B9-CF728AA9B7DE}"/>
    <cellStyle name="Comma 4 5 2" xfId="158" xr:uid="{00000000-0005-0000-0000-0000270A0000}"/>
    <cellStyle name="Comma 4 5 2 10" xfId="8861" xr:uid="{A11E7072-C100-4E47-8027-27CE09179906}"/>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0AA90565-02BE-4CCA-AB00-669C95D57761}"/>
    <cellStyle name="Comma 4 5 2 2 2 3" xfId="11420" xr:uid="{0880D4C9-87EF-499A-A644-8E5607C06382}"/>
    <cellStyle name="Comma 4 5 2 2 3" xfId="5043" xr:uid="{00000000-0005-0000-0000-00002B0A0000}"/>
    <cellStyle name="Comma 4 5 2 2 3 2" xfId="13493" xr:uid="{686EBD2A-F8B7-4713-AEC7-BE2983336AF9}"/>
    <cellStyle name="Comma 4 5 2 2 4" xfId="9275" xr:uid="{88C33629-5532-49E2-9E2D-D0158C259170}"/>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9DB7E7B1-B62C-4AE5-A399-20D7D95813A0}"/>
    <cellStyle name="Comma 4 5 2 3 2 3" xfId="11833" xr:uid="{99F35663-65FC-45CB-A34E-FB7A14D60B99}"/>
    <cellStyle name="Comma 4 5 2 3 3" xfId="5456" xr:uid="{00000000-0005-0000-0000-00002F0A0000}"/>
    <cellStyle name="Comma 4 5 2 3 3 2" xfId="13906" xr:uid="{86985532-05E9-464C-A3BB-872A92AB37EA}"/>
    <cellStyle name="Comma 4 5 2 3 4" xfId="9688" xr:uid="{F990BF3E-8604-46E0-B81D-067122BFBDA3}"/>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F5731A34-8997-4935-B4D7-2E9DFCBA5E37}"/>
    <cellStyle name="Comma 4 5 2 4 2 3" xfId="12246" xr:uid="{A317C174-EF0F-4D6B-854B-0CD1838E756C}"/>
    <cellStyle name="Comma 4 5 2 4 3" xfId="5869" xr:uid="{00000000-0005-0000-0000-0000330A0000}"/>
    <cellStyle name="Comma 4 5 2 4 3 2" xfId="14319" xr:uid="{8BD851A1-50E8-4EC9-BF96-8E2FCD0995B0}"/>
    <cellStyle name="Comma 4 5 2 4 4" xfId="10101" xr:uid="{2B91760D-450B-42AF-B975-94FC1D97A19E}"/>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B88BC549-FF1C-4FF7-89CE-45875CB7366C}"/>
    <cellStyle name="Comma 4 5 2 5 2 3" xfId="12659" xr:uid="{C2A95E45-2549-4B8B-8204-E12356D26A81}"/>
    <cellStyle name="Comma 4 5 2 5 3" xfId="6282" xr:uid="{00000000-0005-0000-0000-0000370A0000}"/>
    <cellStyle name="Comma 4 5 2 5 3 2" xfId="14732" xr:uid="{B52FB1AD-6EC3-460A-9582-F392AE8AF226}"/>
    <cellStyle name="Comma 4 5 2 5 4" xfId="10514" xr:uid="{0A411B39-D4EB-46B3-B437-3DA26250A1E8}"/>
    <cellStyle name="Comma 4 5 2 6" xfId="2411" xr:uid="{00000000-0005-0000-0000-0000380A0000}"/>
    <cellStyle name="Comma 4 5 2 6 2" xfId="6695" xr:uid="{00000000-0005-0000-0000-0000390A0000}"/>
    <cellStyle name="Comma 4 5 2 6 2 2" xfId="15145" xr:uid="{55A08402-A305-4A03-8708-EF5EE1E0726E}"/>
    <cellStyle name="Comma 4 5 2 6 3" xfId="10927" xr:uid="{27C6E629-B64E-4CA0-A93B-0615FB4D8620}"/>
    <cellStyle name="Comma 4 5 2 7" xfId="2707" xr:uid="{00000000-0005-0000-0000-00003A0A0000}"/>
    <cellStyle name="Comma 4 5 2 8" xfId="2789" xr:uid="{00000000-0005-0000-0000-00003B0A0000}"/>
    <cellStyle name="Comma 4 5 2 8 2" xfId="7012" xr:uid="{00000000-0005-0000-0000-00003C0A0000}"/>
    <cellStyle name="Comma 4 5 2 8 2 2" xfId="15462" xr:uid="{2896B29F-0803-486C-BC71-639BC279F5F9}"/>
    <cellStyle name="Comma 4 5 2 8 3" xfId="11244" xr:uid="{069B7F16-A8A4-43F3-9140-22071450214B}"/>
    <cellStyle name="Comma 4 5 2 9" xfId="4629" xr:uid="{00000000-0005-0000-0000-00003D0A0000}"/>
    <cellStyle name="Comma 4 5 2 9 2" xfId="13079" xr:uid="{07451DC1-FBB1-4851-BB0F-59B5E2A5E648}"/>
    <cellStyle name="Comma 4 5 3" xfId="694" xr:uid="{00000000-0005-0000-0000-00003E0A0000}"/>
    <cellStyle name="Comma 4 5 3 2" xfId="2965" xr:uid="{00000000-0005-0000-0000-00003F0A0000}"/>
    <cellStyle name="Comma 4 5 3 2 2" xfId="7187" xr:uid="{00000000-0005-0000-0000-0000400A0000}"/>
    <cellStyle name="Comma 4 5 3 2 2 2" xfId="15637" xr:uid="{E58DA7F5-421A-4770-A06C-29E9301B543D}"/>
    <cellStyle name="Comma 4 5 3 2 3" xfId="11419" xr:uid="{712A1D6B-8B9D-4AD2-8682-F378666F808D}"/>
    <cellStyle name="Comma 4 5 3 3" xfId="5042" xr:uid="{00000000-0005-0000-0000-0000410A0000}"/>
    <cellStyle name="Comma 4 5 3 3 2" xfId="13492" xr:uid="{30DB01A9-F286-4591-B3EC-03E78CAEBFD1}"/>
    <cellStyle name="Comma 4 5 3 4" xfId="9274" xr:uid="{A7658FF2-5B8C-4124-A171-E739C3E8F582}"/>
    <cellStyle name="Comma 4 5 4" xfId="1147" xr:uid="{00000000-0005-0000-0000-0000420A0000}"/>
    <cellStyle name="Comma 4 5 4 2" xfId="3378" xr:uid="{00000000-0005-0000-0000-0000430A0000}"/>
    <cellStyle name="Comma 4 5 4 2 2" xfId="7600" xr:uid="{00000000-0005-0000-0000-0000440A0000}"/>
    <cellStyle name="Comma 4 5 4 2 2 2" xfId="16050" xr:uid="{5C3A9771-142F-4C00-96BD-133C70AC4C64}"/>
    <cellStyle name="Comma 4 5 4 2 3" xfId="11832" xr:uid="{6C7E93FE-0AC1-4B84-B4FA-11DCEE1A2AEA}"/>
    <cellStyle name="Comma 4 5 4 3" xfId="5455" xr:uid="{00000000-0005-0000-0000-0000450A0000}"/>
    <cellStyle name="Comma 4 5 4 3 2" xfId="13905" xr:uid="{07A2AE94-F3BE-4BA8-8B29-7761B4407B35}"/>
    <cellStyle name="Comma 4 5 4 4" xfId="9687" xr:uid="{BA69DF5C-F476-40B6-9E5A-A14BCABB086D}"/>
    <cellStyle name="Comma 4 5 5" xfId="1561" xr:uid="{00000000-0005-0000-0000-0000460A0000}"/>
    <cellStyle name="Comma 4 5 5 2" xfId="3791" xr:uid="{00000000-0005-0000-0000-0000470A0000}"/>
    <cellStyle name="Comma 4 5 5 2 2" xfId="8013" xr:uid="{00000000-0005-0000-0000-0000480A0000}"/>
    <cellStyle name="Comma 4 5 5 2 2 2" xfId="16463" xr:uid="{C2C7325B-5441-4073-B32F-FB8BE32CD578}"/>
    <cellStyle name="Comma 4 5 5 2 3" xfId="12245" xr:uid="{1CF7606A-A1C9-483D-BF95-1607E4617384}"/>
    <cellStyle name="Comma 4 5 5 3" xfId="5868" xr:uid="{00000000-0005-0000-0000-0000490A0000}"/>
    <cellStyle name="Comma 4 5 5 3 2" xfId="14318" xr:uid="{5FB0EAD4-B493-41BF-BE63-EF97593B40E5}"/>
    <cellStyle name="Comma 4 5 5 4" xfId="10100" xr:uid="{EF9CBA23-4AB0-4F60-881E-5676D93842AE}"/>
    <cellStyle name="Comma 4 5 6" xfId="1975" xr:uid="{00000000-0005-0000-0000-00004A0A0000}"/>
    <cellStyle name="Comma 4 5 6 2" xfId="4204" xr:uid="{00000000-0005-0000-0000-00004B0A0000}"/>
    <cellStyle name="Comma 4 5 6 2 2" xfId="8426" xr:uid="{00000000-0005-0000-0000-00004C0A0000}"/>
    <cellStyle name="Comma 4 5 6 2 2 2" xfId="16876" xr:uid="{68A31CD6-5D46-4076-B482-99E413B20D54}"/>
    <cellStyle name="Comma 4 5 6 2 3" xfId="12658" xr:uid="{595B5997-E303-42C1-9C91-A3E629595ACB}"/>
    <cellStyle name="Comma 4 5 6 3" xfId="6281" xr:uid="{00000000-0005-0000-0000-00004D0A0000}"/>
    <cellStyle name="Comma 4 5 6 3 2" xfId="14731" xr:uid="{69F214D4-5C68-451E-8D0B-7D43BC983573}"/>
    <cellStyle name="Comma 4 5 6 4" xfId="10513" xr:uid="{CD8E11F8-EE83-4D1C-8120-4964F53DB986}"/>
    <cellStyle name="Comma 4 5 7" xfId="2410" xr:uid="{00000000-0005-0000-0000-00004E0A0000}"/>
    <cellStyle name="Comma 4 5 7 2" xfId="6694" xr:uid="{00000000-0005-0000-0000-00004F0A0000}"/>
    <cellStyle name="Comma 4 5 7 2 2" xfId="15144" xr:uid="{FA4FACF5-8D0C-488B-934D-2C9A21941D9E}"/>
    <cellStyle name="Comma 4 5 7 3" xfId="10926" xr:uid="{D1B19C52-0B1E-4E95-A9C3-4A2AB6F2672D}"/>
    <cellStyle name="Comma 4 5 8" xfId="2706" xr:uid="{00000000-0005-0000-0000-0000500A0000}"/>
    <cellStyle name="Comma 4 5 9" xfId="2788" xr:uid="{00000000-0005-0000-0000-0000510A0000}"/>
    <cellStyle name="Comma 4 5 9 2" xfId="7011" xr:uid="{00000000-0005-0000-0000-0000520A0000}"/>
    <cellStyle name="Comma 4 5 9 2 2" xfId="15461" xr:uid="{054CA3D4-0535-4C24-88C0-D311B65E84C0}"/>
    <cellStyle name="Comma 4 5 9 3" xfId="11243" xr:uid="{ED6E82D3-AAF3-47F2-9891-3233C7201776}"/>
    <cellStyle name="Comma 4 6" xfId="159" xr:uid="{00000000-0005-0000-0000-0000530A0000}"/>
    <cellStyle name="Comma 4 6 10" xfId="8862" xr:uid="{DA00F752-86D8-4A2B-A95F-A67078218AF0}"/>
    <cellStyle name="Comma 4 6 2" xfId="696" xr:uid="{00000000-0005-0000-0000-0000540A0000}"/>
    <cellStyle name="Comma 4 6 2 2" xfId="2967" xr:uid="{00000000-0005-0000-0000-0000550A0000}"/>
    <cellStyle name="Comma 4 6 2 2 2" xfId="7189" xr:uid="{00000000-0005-0000-0000-0000560A0000}"/>
    <cellStyle name="Comma 4 6 2 2 2 2" xfId="15639" xr:uid="{013F6560-7F2C-44B9-9CD5-15FDD02B477E}"/>
    <cellStyle name="Comma 4 6 2 2 3" xfId="11421" xr:uid="{32D7CA40-4AE7-40E9-9D99-F1EC1D8D19EF}"/>
    <cellStyle name="Comma 4 6 2 3" xfId="5044" xr:uid="{00000000-0005-0000-0000-0000570A0000}"/>
    <cellStyle name="Comma 4 6 2 3 2" xfId="13494" xr:uid="{4569219C-4699-48F0-B7D0-0905EDF6F140}"/>
    <cellStyle name="Comma 4 6 2 4" xfId="9276" xr:uid="{E70B8B06-A637-4D6B-984F-8D58373AFEE0}"/>
    <cellStyle name="Comma 4 6 3" xfId="1149" xr:uid="{00000000-0005-0000-0000-0000580A0000}"/>
    <cellStyle name="Comma 4 6 3 2" xfId="3380" xr:uid="{00000000-0005-0000-0000-0000590A0000}"/>
    <cellStyle name="Comma 4 6 3 2 2" xfId="7602" xr:uid="{00000000-0005-0000-0000-00005A0A0000}"/>
    <cellStyle name="Comma 4 6 3 2 2 2" xfId="16052" xr:uid="{F51757AE-8230-47E9-9DAB-BC3EF8D25345}"/>
    <cellStyle name="Comma 4 6 3 2 3" xfId="11834" xr:uid="{AD3388BE-63B1-4A4C-8634-76EDA913933C}"/>
    <cellStyle name="Comma 4 6 3 3" xfId="5457" xr:uid="{00000000-0005-0000-0000-00005B0A0000}"/>
    <cellStyle name="Comma 4 6 3 3 2" xfId="13907" xr:uid="{0AD2C0DA-7452-4FA4-9C67-0A8E9D443314}"/>
    <cellStyle name="Comma 4 6 3 4" xfId="9689" xr:uid="{55B95EDB-FB81-494D-9211-7E0A74550BB8}"/>
    <cellStyle name="Comma 4 6 4" xfId="1563" xr:uid="{00000000-0005-0000-0000-00005C0A0000}"/>
    <cellStyle name="Comma 4 6 4 2" xfId="3793" xr:uid="{00000000-0005-0000-0000-00005D0A0000}"/>
    <cellStyle name="Comma 4 6 4 2 2" xfId="8015" xr:uid="{00000000-0005-0000-0000-00005E0A0000}"/>
    <cellStyle name="Comma 4 6 4 2 2 2" xfId="16465" xr:uid="{B02C2316-647A-497F-993E-832C480CFCC7}"/>
    <cellStyle name="Comma 4 6 4 2 3" xfId="12247" xr:uid="{4E20F20B-AD08-4114-9015-2923FBDE9EC8}"/>
    <cellStyle name="Comma 4 6 4 3" xfId="5870" xr:uid="{00000000-0005-0000-0000-00005F0A0000}"/>
    <cellStyle name="Comma 4 6 4 3 2" xfId="14320" xr:uid="{13184CC6-B51F-40C8-8EA9-8C1780B133FE}"/>
    <cellStyle name="Comma 4 6 4 4" xfId="10102" xr:uid="{0DA09567-3487-45B4-9307-E169191A4325}"/>
    <cellStyle name="Comma 4 6 5" xfId="1977" xr:uid="{00000000-0005-0000-0000-0000600A0000}"/>
    <cellStyle name="Comma 4 6 5 2" xfId="4206" xr:uid="{00000000-0005-0000-0000-0000610A0000}"/>
    <cellStyle name="Comma 4 6 5 2 2" xfId="8428" xr:uid="{00000000-0005-0000-0000-0000620A0000}"/>
    <cellStyle name="Comma 4 6 5 2 2 2" xfId="16878" xr:uid="{0903425E-C523-4756-AF11-92A1102CB3BD}"/>
    <cellStyle name="Comma 4 6 5 2 3" xfId="12660" xr:uid="{EB921CBA-611F-4790-9D58-A901C09BA778}"/>
    <cellStyle name="Comma 4 6 5 3" xfId="6283" xr:uid="{00000000-0005-0000-0000-0000630A0000}"/>
    <cellStyle name="Comma 4 6 5 3 2" xfId="14733" xr:uid="{C1A4F1F9-270F-4C15-9C99-457905EDA4DB}"/>
    <cellStyle name="Comma 4 6 5 4" xfId="10515" xr:uid="{B71F7544-CBA6-4C86-ACBE-1153C59F2BC5}"/>
    <cellStyle name="Comma 4 6 6" xfId="2412" xr:uid="{00000000-0005-0000-0000-0000640A0000}"/>
    <cellStyle name="Comma 4 6 6 2" xfId="6696" xr:uid="{00000000-0005-0000-0000-0000650A0000}"/>
    <cellStyle name="Comma 4 6 6 2 2" xfId="15146" xr:uid="{FB5ABFC4-A1D4-490C-9E6E-6525A974E1C8}"/>
    <cellStyle name="Comma 4 6 6 3" xfId="10928" xr:uid="{3C18F29E-E09A-44DD-9747-F3C9F24E353A}"/>
    <cellStyle name="Comma 4 6 7" xfId="2708" xr:uid="{00000000-0005-0000-0000-0000660A0000}"/>
    <cellStyle name="Comma 4 6 8" xfId="2790" xr:uid="{00000000-0005-0000-0000-0000670A0000}"/>
    <cellStyle name="Comma 4 6 8 2" xfId="7013" xr:uid="{00000000-0005-0000-0000-0000680A0000}"/>
    <cellStyle name="Comma 4 6 8 2 2" xfId="15463" xr:uid="{80E00025-F3D3-4020-98E3-89AB90C35AFB}"/>
    <cellStyle name="Comma 4 6 8 3" xfId="11245" xr:uid="{7EA885D4-DCDA-45CF-955A-96E138A67E9E}"/>
    <cellStyle name="Comma 4 6 9" xfId="4630" xr:uid="{00000000-0005-0000-0000-0000690A0000}"/>
    <cellStyle name="Comma 4 6 9 2" xfId="13080" xr:uid="{79F692D2-CE68-47FF-B51D-11CC730ADBD1}"/>
    <cellStyle name="Comma 4 7" xfId="160" xr:uid="{00000000-0005-0000-0000-00006A0A0000}"/>
    <cellStyle name="Comma 4 7 10" xfId="8863" xr:uid="{A94E525E-B6D0-460B-A391-685839C621F7}"/>
    <cellStyle name="Comma 4 7 2" xfId="697" xr:uid="{00000000-0005-0000-0000-00006B0A0000}"/>
    <cellStyle name="Comma 4 7 2 2" xfId="2968" xr:uid="{00000000-0005-0000-0000-00006C0A0000}"/>
    <cellStyle name="Comma 4 7 2 2 2" xfId="7190" xr:uid="{00000000-0005-0000-0000-00006D0A0000}"/>
    <cellStyle name="Comma 4 7 2 2 2 2" xfId="15640" xr:uid="{69A4D455-2CBA-4479-AB37-98267E9C8059}"/>
    <cellStyle name="Comma 4 7 2 2 3" xfId="11422" xr:uid="{BB21C12B-CC83-4EE1-8FC7-D04B40456BAF}"/>
    <cellStyle name="Comma 4 7 2 3" xfId="5045" xr:uid="{00000000-0005-0000-0000-00006E0A0000}"/>
    <cellStyle name="Comma 4 7 2 3 2" xfId="13495" xr:uid="{9D51F17C-7D36-4A6B-987B-679CE1A7069F}"/>
    <cellStyle name="Comma 4 7 2 4" xfId="9277" xr:uid="{130A6E2A-3071-406C-81F5-A29F8F804529}"/>
    <cellStyle name="Comma 4 7 3" xfId="1150" xr:uid="{00000000-0005-0000-0000-00006F0A0000}"/>
    <cellStyle name="Comma 4 7 3 2" xfId="3381" xr:uid="{00000000-0005-0000-0000-0000700A0000}"/>
    <cellStyle name="Comma 4 7 3 2 2" xfId="7603" xr:uid="{00000000-0005-0000-0000-0000710A0000}"/>
    <cellStyle name="Comma 4 7 3 2 2 2" xfId="16053" xr:uid="{16C49DF9-7E98-408D-8328-1ED42CEB9831}"/>
    <cellStyle name="Comma 4 7 3 2 3" xfId="11835" xr:uid="{A3CBC4A9-6761-464A-9997-D1DBDE5D63D2}"/>
    <cellStyle name="Comma 4 7 3 3" xfId="5458" xr:uid="{00000000-0005-0000-0000-0000720A0000}"/>
    <cellStyle name="Comma 4 7 3 3 2" xfId="13908" xr:uid="{5B768EF6-7A2B-475F-89D3-7D2275893781}"/>
    <cellStyle name="Comma 4 7 3 4" xfId="9690" xr:uid="{A0349964-748B-49A4-AE45-36B0776B33A2}"/>
    <cellStyle name="Comma 4 7 4" xfId="1564" xr:uid="{00000000-0005-0000-0000-0000730A0000}"/>
    <cellStyle name="Comma 4 7 4 2" xfId="3794" xr:uid="{00000000-0005-0000-0000-0000740A0000}"/>
    <cellStyle name="Comma 4 7 4 2 2" xfId="8016" xr:uid="{00000000-0005-0000-0000-0000750A0000}"/>
    <cellStyle name="Comma 4 7 4 2 2 2" xfId="16466" xr:uid="{43E7B7AF-ACDB-4001-934E-320E1D89C6CA}"/>
    <cellStyle name="Comma 4 7 4 2 3" xfId="12248" xr:uid="{091581BF-FAEC-4A48-8B0C-47711E6DCFE0}"/>
    <cellStyle name="Comma 4 7 4 3" xfId="5871" xr:uid="{00000000-0005-0000-0000-0000760A0000}"/>
    <cellStyle name="Comma 4 7 4 3 2" xfId="14321" xr:uid="{51DC43A1-0A20-42F5-A5C3-464666CC5EA4}"/>
    <cellStyle name="Comma 4 7 4 4" xfId="10103" xr:uid="{CC9F48AE-B299-4C61-AB08-E3180FD58CA0}"/>
    <cellStyle name="Comma 4 7 5" xfId="1978" xr:uid="{00000000-0005-0000-0000-0000770A0000}"/>
    <cellStyle name="Comma 4 7 5 2" xfId="4207" xr:uid="{00000000-0005-0000-0000-0000780A0000}"/>
    <cellStyle name="Comma 4 7 5 2 2" xfId="8429" xr:uid="{00000000-0005-0000-0000-0000790A0000}"/>
    <cellStyle name="Comma 4 7 5 2 2 2" xfId="16879" xr:uid="{67595062-6456-445F-849A-6BC579DCBD00}"/>
    <cellStyle name="Comma 4 7 5 2 3" xfId="12661" xr:uid="{D103E18B-7891-4C1F-9A49-482FDEF5B739}"/>
    <cellStyle name="Comma 4 7 5 3" xfId="6284" xr:uid="{00000000-0005-0000-0000-00007A0A0000}"/>
    <cellStyle name="Comma 4 7 5 3 2" xfId="14734" xr:uid="{F2D9CC97-ED54-4493-8DAC-354377F7931D}"/>
    <cellStyle name="Comma 4 7 5 4" xfId="10516" xr:uid="{7EEFDC28-F7F9-4B12-9F1F-F6663450C05B}"/>
    <cellStyle name="Comma 4 7 6" xfId="2413" xr:uid="{00000000-0005-0000-0000-00007B0A0000}"/>
    <cellStyle name="Comma 4 7 6 2" xfId="6697" xr:uid="{00000000-0005-0000-0000-00007C0A0000}"/>
    <cellStyle name="Comma 4 7 6 2 2" xfId="15147" xr:uid="{B756FE5C-01FB-4A38-B64A-A6E675FE5C4A}"/>
    <cellStyle name="Comma 4 7 6 3" xfId="10929" xr:uid="{3C59F61B-1EF6-4F75-806A-B3140926BA99}"/>
    <cellStyle name="Comma 4 7 7" xfId="2709" xr:uid="{00000000-0005-0000-0000-00007D0A0000}"/>
    <cellStyle name="Comma 4 7 8" xfId="2791" xr:uid="{00000000-0005-0000-0000-00007E0A0000}"/>
    <cellStyle name="Comma 4 7 8 2" xfId="7014" xr:uid="{00000000-0005-0000-0000-00007F0A0000}"/>
    <cellStyle name="Comma 4 7 8 2 2" xfId="15464" xr:uid="{4A91CDA4-0C6F-4F8C-8336-E61FF1903191}"/>
    <cellStyle name="Comma 4 7 8 3" xfId="11246" xr:uid="{286F1953-67BE-4863-9053-64D4819577DD}"/>
    <cellStyle name="Comma 4 7 9" xfId="4631" xr:uid="{00000000-0005-0000-0000-0000800A0000}"/>
    <cellStyle name="Comma 4 7 9 2" xfId="13081" xr:uid="{734C682E-9D4D-49DE-AED9-E868AC9D2CB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B969F6F9-DB59-431B-BEF6-33ED2607434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83196C42-E3E1-4E5F-A19E-D6A8A729A616}"/>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3" xfId="17175" xr:uid="{EDD86E2F-F586-417C-8227-85DEDE6B9F86}"/>
    <cellStyle name="Currency 14 3 2 3" xfId="17172" xr:uid="{74A5D503-2398-4EF0-BD83-0CED7403BF98}"/>
    <cellStyle name="Currency 14 3 3" xfId="17169" xr:uid="{2C41D8BF-1727-4D8B-8F32-19CDF38F9B44}"/>
    <cellStyle name="Currency 14 4" xfId="12952" xr:uid="{C6210DEE-6A58-413A-A04C-F8E916520B1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D9865C65-0900-46AF-BD9F-F4DBCF7DEB67}"/>
    <cellStyle name="Currency 3 2 2 10 3" xfId="11247" xr:uid="{FDC151DE-9522-41A9-BED8-1FC051314329}"/>
    <cellStyle name="Currency 3 2 2 11" xfId="4632" xr:uid="{00000000-0005-0000-0000-0000A50A0000}"/>
    <cellStyle name="Currency 3 2 2 11 2" xfId="13082" xr:uid="{96022C59-62F8-4688-B3C2-62E12F5C23F8}"/>
    <cellStyle name="Currency 3 2 2 12" xfId="8864" xr:uid="{8A9F9BCE-EB77-4DAC-9857-AE0EAEF56E34}"/>
    <cellStyle name="Currency 3 2 2 2" xfId="179" xr:uid="{00000000-0005-0000-0000-0000A60A0000}"/>
    <cellStyle name="Currency 3 2 2 2 10" xfId="4633" xr:uid="{00000000-0005-0000-0000-0000A70A0000}"/>
    <cellStyle name="Currency 3 2 2 2 10 2" xfId="13083" xr:uid="{9F46495D-1626-4D17-A226-6B5A791FB542}"/>
    <cellStyle name="Currency 3 2 2 2 11" xfId="8865" xr:uid="{4F8BCCCD-1188-4E9B-89BC-CDA1BA16B77F}"/>
    <cellStyle name="Currency 3 2 2 2 2" xfId="180" xr:uid="{00000000-0005-0000-0000-0000A80A0000}"/>
    <cellStyle name="Currency 3 2 2 2 2 10" xfId="8866" xr:uid="{A7ABC510-189B-48DF-8F1D-E5F006A2BC59}"/>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34784990-BF12-498F-AD6A-963A1824706F}"/>
    <cellStyle name="Currency 3 2 2 2 2 2 2 3" xfId="11425" xr:uid="{39A811D4-1E00-4863-9F5C-DF0B094EBDD4}"/>
    <cellStyle name="Currency 3 2 2 2 2 2 3" xfId="5048" xr:uid="{00000000-0005-0000-0000-0000AC0A0000}"/>
    <cellStyle name="Currency 3 2 2 2 2 2 3 2" xfId="13498" xr:uid="{8A7E322E-BF76-473F-8767-9B8EAC50BFF6}"/>
    <cellStyle name="Currency 3 2 2 2 2 2 4" xfId="9280" xr:uid="{3119CD4F-2C74-4B09-9C37-48885F8F358B}"/>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3D98A2B7-567D-4D76-8C43-81B79B2928C1}"/>
    <cellStyle name="Currency 3 2 2 2 2 3 2 3" xfId="11838" xr:uid="{5EE31F19-2158-472D-8B5D-3602EBC3DE9C}"/>
    <cellStyle name="Currency 3 2 2 2 2 3 3" xfId="5461" xr:uid="{00000000-0005-0000-0000-0000B00A0000}"/>
    <cellStyle name="Currency 3 2 2 2 2 3 3 2" xfId="13911" xr:uid="{4471483B-A8FA-4EAD-A0A3-FE8FF7AF009A}"/>
    <cellStyle name="Currency 3 2 2 2 2 3 4" xfId="9693" xr:uid="{BC8FD6C3-6514-4FDC-9BA7-82B9914BBD7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7796C47F-1732-40A2-9166-79A3EB57A5A4}"/>
    <cellStyle name="Currency 3 2 2 2 2 4 2 3" xfId="12251" xr:uid="{B6B435F3-AC4A-4BCF-ACF9-8873B6966B51}"/>
    <cellStyle name="Currency 3 2 2 2 2 4 3" xfId="5874" xr:uid="{00000000-0005-0000-0000-0000B40A0000}"/>
    <cellStyle name="Currency 3 2 2 2 2 4 3 2" xfId="14324" xr:uid="{6449191E-1110-47EF-9F82-30310726DB9D}"/>
    <cellStyle name="Currency 3 2 2 2 2 4 4" xfId="10106" xr:uid="{5F30B9BF-2699-4B21-8B27-E3E8D5058ED4}"/>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7D5F1B9A-0CC1-43F4-AC88-915E36887AAE}"/>
    <cellStyle name="Currency 3 2 2 2 2 5 2 3" xfId="12664" xr:uid="{A5CE7BB2-5FDE-460F-9BC6-E1E8B896850D}"/>
    <cellStyle name="Currency 3 2 2 2 2 5 3" xfId="6287" xr:uid="{00000000-0005-0000-0000-0000B80A0000}"/>
    <cellStyle name="Currency 3 2 2 2 2 5 3 2" xfId="14737" xr:uid="{D92C3E52-A822-430F-998C-9439D1FF7BBA}"/>
    <cellStyle name="Currency 3 2 2 2 2 5 4" xfId="10519" xr:uid="{5C5F1AB7-11BD-410B-8774-E3F2E47288C3}"/>
    <cellStyle name="Currency 3 2 2 2 2 6" xfId="2416" xr:uid="{00000000-0005-0000-0000-0000B90A0000}"/>
    <cellStyle name="Currency 3 2 2 2 2 6 2" xfId="6700" xr:uid="{00000000-0005-0000-0000-0000BA0A0000}"/>
    <cellStyle name="Currency 3 2 2 2 2 6 2 2" xfId="15150" xr:uid="{4018AE8D-338C-41B1-85F4-5A90770846A7}"/>
    <cellStyle name="Currency 3 2 2 2 2 6 3" xfId="10932" xr:uid="{81234CFC-E6C8-42EF-B6F9-368317164B06}"/>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4360645D-D035-4810-953F-033EA5A3DFD7}"/>
    <cellStyle name="Currency 3 2 2 2 2 8 3" xfId="11249" xr:uid="{2EB108F2-ECAD-45E8-9F0A-D1138DFDAD9C}"/>
    <cellStyle name="Currency 3 2 2 2 2 9" xfId="4634" xr:uid="{00000000-0005-0000-0000-0000BE0A0000}"/>
    <cellStyle name="Currency 3 2 2 2 2 9 2" xfId="13084" xr:uid="{32D044EC-80A2-4621-AE06-575777F4B466}"/>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D19299C8-3F1D-420C-8F4E-3E2D12B11E66}"/>
    <cellStyle name="Currency 3 2 2 2 3 2 3" xfId="11424" xr:uid="{A2DCDE11-BA10-4670-A08F-F0F32BD2EF12}"/>
    <cellStyle name="Currency 3 2 2 2 3 3" xfId="5047" xr:uid="{00000000-0005-0000-0000-0000C20A0000}"/>
    <cellStyle name="Currency 3 2 2 2 3 3 2" xfId="13497" xr:uid="{70BA9317-5598-4014-9432-4B745A34D881}"/>
    <cellStyle name="Currency 3 2 2 2 3 4" xfId="9279" xr:uid="{75655EC5-9C0C-44A1-8A7A-72D155E4A569}"/>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A54F9C77-6409-4381-9DAB-221CFE79E0E6}"/>
    <cellStyle name="Currency 3 2 2 2 4 2 3" xfId="11837" xr:uid="{EB66B0E4-CBAA-419E-AF3A-30A1864685D1}"/>
    <cellStyle name="Currency 3 2 2 2 4 3" xfId="5460" xr:uid="{00000000-0005-0000-0000-0000C60A0000}"/>
    <cellStyle name="Currency 3 2 2 2 4 3 2" xfId="13910" xr:uid="{E7A55DC2-0FD2-4D03-961B-858F289F86DB}"/>
    <cellStyle name="Currency 3 2 2 2 4 4" xfId="9692" xr:uid="{6973BD5D-5979-496F-8F8C-9D89DF573639}"/>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215391E2-6202-4BB4-8B70-3F5625952C10}"/>
    <cellStyle name="Currency 3 2 2 2 5 2 3" xfId="12250" xr:uid="{9DF85889-0EEC-42D6-8014-1869F7BC1265}"/>
    <cellStyle name="Currency 3 2 2 2 5 3" xfId="5873" xr:uid="{00000000-0005-0000-0000-0000CA0A0000}"/>
    <cellStyle name="Currency 3 2 2 2 5 3 2" xfId="14323" xr:uid="{1D2BD6F7-A850-4B89-BE6D-7F05200724BA}"/>
    <cellStyle name="Currency 3 2 2 2 5 4" xfId="10105" xr:uid="{5B70F9BF-0532-4CA5-B84A-3D793F971AE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4F819BC6-0FCA-4372-A2B3-747DABB4F87C}"/>
    <cellStyle name="Currency 3 2 2 2 6 2 3" xfId="12663" xr:uid="{E69FF575-EF46-47B6-9487-9BAB576B73C0}"/>
    <cellStyle name="Currency 3 2 2 2 6 3" xfId="6286" xr:uid="{00000000-0005-0000-0000-0000CE0A0000}"/>
    <cellStyle name="Currency 3 2 2 2 6 3 2" xfId="14736" xr:uid="{9B03D438-5DD8-45A0-A624-95FD9CC5A7F0}"/>
    <cellStyle name="Currency 3 2 2 2 6 4" xfId="10518" xr:uid="{3165AB11-40CA-46E8-9884-20B9377F2891}"/>
    <cellStyle name="Currency 3 2 2 2 7" xfId="2415" xr:uid="{00000000-0005-0000-0000-0000CF0A0000}"/>
    <cellStyle name="Currency 3 2 2 2 7 2" xfId="6699" xr:uid="{00000000-0005-0000-0000-0000D00A0000}"/>
    <cellStyle name="Currency 3 2 2 2 7 2 2" xfId="15149" xr:uid="{60BAF02E-E3CF-4D19-8DF7-96372121EE07}"/>
    <cellStyle name="Currency 3 2 2 2 7 3" xfId="10931" xr:uid="{FEFC9B9C-5BCA-43FB-9C61-045E55B9EF64}"/>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DF005E52-A789-47E3-BB32-FA3258118251}"/>
    <cellStyle name="Currency 3 2 2 2 9 3" xfId="11248" xr:uid="{070FE77D-9BEB-4849-9787-C78161FAF231}"/>
    <cellStyle name="Currency 3 2 2 3" xfId="181" xr:uid="{00000000-0005-0000-0000-0000D40A0000}"/>
    <cellStyle name="Currency 3 2 2 3 10" xfId="8867" xr:uid="{51902EA7-2954-4FEB-8A2A-D3CCADA71B3D}"/>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5D8BC1F9-01EE-4578-B511-1E12BBD34D84}"/>
    <cellStyle name="Currency 3 2 2 3 2 2 3" xfId="11426" xr:uid="{74C119F0-2B1E-4CA4-AC10-7558F5FF9714}"/>
    <cellStyle name="Currency 3 2 2 3 2 3" xfId="5049" xr:uid="{00000000-0005-0000-0000-0000D80A0000}"/>
    <cellStyle name="Currency 3 2 2 3 2 3 2" xfId="13499" xr:uid="{F6BE3F0E-D326-4561-AFBE-4CE9460D88FF}"/>
    <cellStyle name="Currency 3 2 2 3 2 4" xfId="9281" xr:uid="{1EAA5CFC-AF46-4580-AB73-FEE6EDC39BCD}"/>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62C6A5F2-B12F-4BCD-A128-F60030BDD68C}"/>
    <cellStyle name="Currency 3 2 2 3 3 2 3" xfId="11839" xr:uid="{408CECBC-DAA2-4EBA-9C04-70F996433A67}"/>
    <cellStyle name="Currency 3 2 2 3 3 3" xfId="5462" xr:uid="{00000000-0005-0000-0000-0000DC0A0000}"/>
    <cellStyle name="Currency 3 2 2 3 3 3 2" xfId="13912" xr:uid="{DB573F94-41A0-4FAF-AC9C-A69654778E52}"/>
    <cellStyle name="Currency 3 2 2 3 3 4" xfId="9694" xr:uid="{3E05EFAA-2FDD-4AC3-A64F-EE7A2E8D3723}"/>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F0CEC291-749E-4ED0-8BDC-C15F06645082}"/>
    <cellStyle name="Currency 3 2 2 3 4 2 3" xfId="12252" xr:uid="{637F22E4-06DD-4107-A9D3-F66DD40E4253}"/>
    <cellStyle name="Currency 3 2 2 3 4 3" xfId="5875" xr:uid="{00000000-0005-0000-0000-0000E00A0000}"/>
    <cellStyle name="Currency 3 2 2 3 4 3 2" xfId="14325" xr:uid="{7D2EEA94-CCE7-4006-A45B-94AAB2A3EFE4}"/>
    <cellStyle name="Currency 3 2 2 3 4 4" xfId="10107" xr:uid="{F00463D4-5554-4F0E-9CE0-14230F6C23D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B1219EA7-F973-4075-BFB1-806C47F792DF}"/>
    <cellStyle name="Currency 3 2 2 3 5 2 3" xfId="12665" xr:uid="{3CA4CC51-2333-4165-9B83-EDEFC31B3A08}"/>
    <cellStyle name="Currency 3 2 2 3 5 3" xfId="6288" xr:uid="{00000000-0005-0000-0000-0000E40A0000}"/>
    <cellStyle name="Currency 3 2 2 3 5 3 2" xfId="14738" xr:uid="{97260835-B4C3-45E3-88A8-681F355A6CCF}"/>
    <cellStyle name="Currency 3 2 2 3 5 4" xfId="10520" xr:uid="{73A83B03-F5EF-48FD-9F3A-B74AB0945ADA}"/>
    <cellStyle name="Currency 3 2 2 3 6" xfId="2417" xr:uid="{00000000-0005-0000-0000-0000E50A0000}"/>
    <cellStyle name="Currency 3 2 2 3 6 2" xfId="6701" xr:uid="{00000000-0005-0000-0000-0000E60A0000}"/>
    <cellStyle name="Currency 3 2 2 3 6 2 2" xfId="15151" xr:uid="{833C45F8-679B-4F8E-9F08-A44A93CD684B}"/>
    <cellStyle name="Currency 3 2 2 3 6 3" xfId="10933" xr:uid="{6ABBA53B-B011-436D-A2EC-12417EB2E3EC}"/>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C1A928A4-B5A4-4BAF-B50A-D24F51DBB098}"/>
    <cellStyle name="Currency 3 2 2 3 8 3" xfId="11250" xr:uid="{B073B27F-5926-4D42-8157-B34AEBE9C997}"/>
    <cellStyle name="Currency 3 2 2 3 9" xfId="4635" xr:uid="{00000000-0005-0000-0000-0000EA0A0000}"/>
    <cellStyle name="Currency 3 2 2 3 9 2" xfId="13085" xr:uid="{8C89DE4E-05D9-4BEF-94D4-961C0C02267E}"/>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032CB144-F989-418E-AE9D-1C233442C812}"/>
    <cellStyle name="Currency 3 2 2 4 2 3" xfId="11423" xr:uid="{562BFE2A-A51B-49AE-801B-5498BB9AC6ED}"/>
    <cellStyle name="Currency 3 2 2 4 3" xfId="5046" xr:uid="{00000000-0005-0000-0000-0000EE0A0000}"/>
    <cellStyle name="Currency 3 2 2 4 3 2" xfId="13496" xr:uid="{3A1999AC-C3E5-412E-B0B5-062D3B179F30}"/>
    <cellStyle name="Currency 3 2 2 4 4" xfId="9278" xr:uid="{C06C557D-CE4A-478F-AB17-33FF16F2F839}"/>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E0BBB3A5-F62F-4A86-8F33-137C8422DC54}"/>
    <cellStyle name="Currency 3 2 2 5 2 3" xfId="11836" xr:uid="{E860576E-0ADC-49B1-B9FE-D4EEE387A657}"/>
    <cellStyle name="Currency 3 2 2 5 3" xfId="5459" xr:uid="{00000000-0005-0000-0000-0000F20A0000}"/>
    <cellStyle name="Currency 3 2 2 5 3 2" xfId="13909" xr:uid="{65AF4C7D-7942-432A-B248-A820BCFB6B96}"/>
    <cellStyle name="Currency 3 2 2 5 4" xfId="9691" xr:uid="{B6C3DD3C-C784-479A-BC5E-0E561C1B9164}"/>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727B512C-01E4-474E-82F7-25BB586D69C4}"/>
    <cellStyle name="Currency 3 2 2 6 2 3" xfId="12249" xr:uid="{6A12D77E-6236-4601-8026-FC0CA10823F7}"/>
    <cellStyle name="Currency 3 2 2 6 3" xfId="5872" xr:uid="{00000000-0005-0000-0000-0000F60A0000}"/>
    <cellStyle name="Currency 3 2 2 6 3 2" xfId="14322" xr:uid="{705DF594-B804-4E81-8DBD-CD6DA186194B}"/>
    <cellStyle name="Currency 3 2 2 6 4" xfId="10104" xr:uid="{4D437789-43FD-4607-A513-8190731F51C0}"/>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EBF76340-531A-406A-B6A9-67CB769AA415}"/>
    <cellStyle name="Currency 3 2 2 7 2 3" xfId="12662" xr:uid="{FA6F12AF-1C27-45A2-ABC2-C2696864F7D7}"/>
    <cellStyle name="Currency 3 2 2 7 3" xfId="6285" xr:uid="{00000000-0005-0000-0000-0000FA0A0000}"/>
    <cellStyle name="Currency 3 2 2 7 3 2" xfId="14735" xr:uid="{65066B1A-F2FC-44AF-A949-371664C617C7}"/>
    <cellStyle name="Currency 3 2 2 7 4" xfId="10517" xr:uid="{91EB4A22-7B64-43C8-9450-CAEF13B3A799}"/>
    <cellStyle name="Currency 3 2 2 8" xfId="2414" xr:uid="{00000000-0005-0000-0000-0000FB0A0000}"/>
    <cellStyle name="Currency 3 2 2 8 2" xfId="6698" xr:uid="{00000000-0005-0000-0000-0000FC0A0000}"/>
    <cellStyle name="Currency 3 2 2 8 2 2" xfId="15148" xr:uid="{6F8E55B2-33FB-4544-BBE3-F27A595EF143}"/>
    <cellStyle name="Currency 3 2 2 8 3" xfId="10930" xr:uid="{00F2EF87-CFB7-44B0-97E2-63505CD8D0F7}"/>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CEFC9DFC-7C9B-45F0-B34F-28F9B9997030}"/>
    <cellStyle name="Currency 3 2 3 11" xfId="8868" xr:uid="{3DB4D3B4-C471-4644-AAE9-BB67D80EEDAB}"/>
    <cellStyle name="Currency 3 2 3 2" xfId="183" xr:uid="{00000000-0005-0000-0000-0000000B0000}"/>
    <cellStyle name="Currency 3 2 3 2 10" xfId="8869" xr:uid="{80783A42-214C-44CA-8673-F647199863B5}"/>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AAF8E8D0-241E-4CB5-A74B-5FFE55307072}"/>
    <cellStyle name="Currency 3 2 3 2 2 2 3" xfId="11428" xr:uid="{A8800851-CE99-4D8A-9F76-E07350D29ACC}"/>
    <cellStyle name="Currency 3 2 3 2 2 3" xfId="5051" xr:uid="{00000000-0005-0000-0000-0000040B0000}"/>
    <cellStyle name="Currency 3 2 3 2 2 3 2" xfId="13501" xr:uid="{5E43AB75-1BCE-48BA-AB34-0F9C13E99BD3}"/>
    <cellStyle name="Currency 3 2 3 2 2 4" xfId="9283" xr:uid="{A132C2CB-4503-41D7-98F9-3FFB9515E872}"/>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17C3C54C-2C1F-420A-9D93-30B491F000C3}"/>
    <cellStyle name="Currency 3 2 3 2 3 2 3" xfId="11841" xr:uid="{83FD1326-3191-43BE-A8EE-D753D202722C}"/>
    <cellStyle name="Currency 3 2 3 2 3 3" xfId="5464" xr:uid="{00000000-0005-0000-0000-0000080B0000}"/>
    <cellStyle name="Currency 3 2 3 2 3 3 2" xfId="13914" xr:uid="{925F92D0-FFF6-42EF-A73C-006F4CF5F942}"/>
    <cellStyle name="Currency 3 2 3 2 3 4" xfId="9696" xr:uid="{E1383F49-F89F-4847-8447-61EDED4BD85D}"/>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934D3066-8E5F-412C-BD5E-2408E0201214}"/>
    <cellStyle name="Currency 3 2 3 2 4 2 3" xfId="12254" xr:uid="{B1154B76-3104-49A6-9735-DCE58BE9082E}"/>
    <cellStyle name="Currency 3 2 3 2 4 3" xfId="5877" xr:uid="{00000000-0005-0000-0000-00000C0B0000}"/>
    <cellStyle name="Currency 3 2 3 2 4 3 2" xfId="14327" xr:uid="{52ADE6AF-928C-4A3D-9BD4-813A288CAB2F}"/>
    <cellStyle name="Currency 3 2 3 2 4 4" xfId="10109" xr:uid="{D7507725-2DE6-4F63-BF99-7F20FED8BEF4}"/>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8F33B32E-6185-4421-B3AB-B383F38E96E6}"/>
    <cellStyle name="Currency 3 2 3 2 5 2 3" xfId="12667" xr:uid="{5ADDB8A6-5A1D-495A-AAAC-51EC1D696B8A}"/>
    <cellStyle name="Currency 3 2 3 2 5 3" xfId="6290" xr:uid="{00000000-0005-0000-0000-0000100B0000}"/>
    <cellStyle name="Currency 3 2 3 2 5 3 2" xfId="14740" xr:uid="{E540B34D-436C-4901-8E3C-5CBFDD05D720}"/>
    <cellStyle name="Currency 3 2 3 2 5 4" xfId="10522" xr:uid="{A8D07901-FBE8-47A7-9222-BFFE3104B936}"/>
    <cellStyle name="Currency 3 2 3 2 6" xfId="2419" xr:uid="{00000000-0005-0000-0000-0000110B0000}"/>
    <cellStyle name="Currency 3 2 3 2 6 2" xfId="6703" xr:uid="{00000000-0005-0000-0000-0000120B0000}"/>
    <cellStyle name="Currency 3 2 3 2 6 2 2" xfId="15153" xr:uid="{823E343A-7160-43F6-9042-EB747BCEA12A}"/>
    <cellStyle name="Currency 3 2 3 2 6 3" xfId="10935" xr:uid="{DC3DFF15-9250-41B4-A643-438BD6D81171}"/>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A24FAAC8-A083-46C1-A2BC-22F899144027}"/>
    <cellStyle name="Currency 3 2 3 2 8 3" xfId="11252" xr:uid="{5A2072CF-985E-4467-ACFA-D303F89F50B9}"/>
    <cellStyle name="Currency 3 2 3 2 9" xfId="4637" xr:uid="{00000000-0005-0000-0000-0000160B0000}"/>
    <cellStyle name="Currency 3 2 3 2 9 2" xfId="13087" xr:uid="{6862E151-5AF2-47E4-AD22-D2CCF0965C9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55B459E2-F9C4-44A8-A118-3A9576872E91}"/>
    <cellStyle name="Currency 3 2 3 3 2 3" xfId="11427" xr:uid="{3423921C-4DC5-4A95-839E-C45E48B576A8}"/>
    <cellStyle name="Currency 3 2 3 3 3" xfId="5050" xr:uid="{00000000-0005-0000-0000-00001A0B0000}"/>
    <cellStyle name="Currency 3 2 3 3 3 2" xfId="13500" xr:uid="{4DFD0672-7974-458B-9202-29DCBD7FC3B3}"/>
    <cellStyle name="Currency 3 2 3 3 4" xfId="9282" xr:uid="{A425490D-5633-4339-B486-20E1FF5F71E9}"/>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7A890F0F-EAAC-4D2B-8E53-2DBDE28111DA}"/>
    <cellStyle name="Currency 3 2 3 4 2 3" xfId="11840" xr:uid="{F157987F-5F9B-4CD0-B54C-2F8E38E2157C}"/>
    <cellStyle name="Currency 3 2 3 4 3" xfId="5463" xr:uid="{00000000-0005-0000-0000-00001E0B0000}"/>
    <cellStyle name="Currency 3 2 3 4 3 2" xfId="13913" xr:uid="{568E3DA3-CBF5-4CB4-B493-0A6C57A8D4F5}"/>
    <cellStyle name="Currency 3 2 3 4 4" xfId="9695" xr:uid="{F40AA55A-EEDD-41E4-A790-96DAC8339B6D}"/>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DBB11319-F2B6-41D3-8E24-D11DF11261FF}"/>
    <cellStyle name="Currency 3 2 3 5 2 3" xfId="12253" xr:uid="{AF151F00-7FAE-42C4-8560-470DE021B4FE}"/>
    <cellStyle name="Currency 3 2 3 5 3" xfId="5876" xr:uid="{00000000-0005-0000-0000-0000220B0000}"/>
    <cellStyle name="Currency 3 2 3 5 3 2" xfId="14326" xr:uid="{CF664D25-F304-4509-A055-65C6B45CAC69}"/>
    <cellStyle name="Currency 3 2 3 5 4" xfId="10108" xr:uid="{B4C8B4D2-B18B-4A74-8D5A-418F76AE971F}"/>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4F530D95-273C-418A-902E-02E2BF95DD97}"/>
    <cellStyle name="Currency 3 2 3 6 2 3" xfId="12666" xr:uid="{584703EF-F44B-4647-A558-A5459C391F92}"/>
    <cellStyle name="Currency 3 2 3 6 3" xfId="6289" xr:uid="{00000000-0005-0000-0000-0000260B0000}"/>
    <cellStyle name="Currency 3 2 3 6 3 2" xfId="14739" xr:uid="{E0BD5F60-852D-4B7C-9448-AC83D262A0B1}"/>
    <cellStyle name="Currency 3 2 3 6 4" xfId="10521" xr:uid="{F043F7AE-1355-4F49-B31A-271D610FF6B7}"/>
    <cellStyle name="Currency 3 2 3 7" xfId="2418" xr:uid="{00000000-0005-0000-0000-0000270B0000}"/>
    <cellStyle name="Currency 3 2 3 7 2" xfId="6702" xr:uid="{00000000-0005-0000-0000-0000280B0000}"/>
    <cellStyle name="Currency 3 2 3 7 2 2" xfId="15152" xr:uid="{AE651539-2F38-402B-9410-5CD8A83D265C}"/>
    <cellStyle name="Currency 3 2 3 7 3" xfId="10934" xr:uid="{D71C2202-F42B-442F-8AE2-0A012C86DB07}"/>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296A540D-2B4B-47CE-B58A-6807E135394F}"/>
    <cellStyle name="Currency 3 2 3 9 3" xfId="11251" xr:uid="{187CD278-C1DD-4799-8087-749F5C45079A}"/>
    <cellStyle name="Currency 3 2 4" xfId="184" xr:uid="{00000000-0005-0000-0000-00002C0B0000}"/>
    <cellStyle name="Currency 3 2 4 10" xfId="8870" xr:uid="{0F3DB6A7-6BE0-456B-9BB0-15FB89E9ADA2}"/>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26E0AE26-1522-49B5-8E9A-EF32186C3CE2}"/>
    <cellStyle name="Currency 3 2 4 2 2 3" xfId="11429" xr:uid="{8B4A8321-A901-454F-BBD8-534BED31EDE3}"/>
    <cellStyle name="Currency 3 2 4 2 3" xfId="5052" xr:uid="{00000000-0005-0000-0000-0000300B0000}"/>
    <cellStyle name="Currency 3 2 4 2 3 2" xfId="13502" xr:uid="{4D296B73-04CA-4713-923C-3E9FC0E70C95}"/>
    <cellStyle name="Currency 3 2 4 2 4" xfId="9284" xr:uid="{FB1B6D3D-2EFE-463B-995D-A0DD94CA3BE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94A58FC4-789A-4789-8CA9-53C4ED05EDF0}"/>
    <cellStyle name="Currency 3 2 4 3 2 3" xfId="11842" xr:uid="{08C9FEA5-98AA-468D-A168-914635B16EC9}"/>
    <cellStyle name="Currency 3 2 4 3 3" xfId="5465" xr:uid="{00000000-0005-0000-0000-0000340B0000}"/>
    <cellStyle name="Currency 3 2 4 3 3 2" xfId="13915" xr:uid="{37041E48-9EB7-4D60-B664-49192A78F6C5}"/>
    <cellStyle name="Currency 3 2 4 3 4" xfId="9697" xr:uid="{C80EE05D-6F8D-4A80-A146-EE8E7BDFD97D}"/>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07182678-AB97-4572-A9B1-CE7CC0C0D090}"/>
    <cellStyle name="Currency 3 2 4 4 2 3" xfId="12255" xr:uid="{1F2E0F1E-BB4B-4B92-92C4-A787D7DB793C}"/>
    <cellStyle name="Currency 3 2 4 4 3" xfId="5878" xr:uid="{00000000-0005-0000-0000-0000380B0000}"/>
    <cellStyle name="Currency 3 2 4 4 3 2" xfId="14328" xr:uid="{0C6D656D-C9C8-4289-A7BA-0ACA4E784450}"/>
    <cellStyle name="Currency 3 2 4 4 4" xfId="10110" xr:uid="{84EEC2C3-C037-4436-8195-8DD6CE76747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1A728999-DA43-47F8-B224-D420EB4497E8}"/>
    <cellStyle name="Currency 3 2 4 5 2 3" xfId="12668" xr:uid="{E898BCB1-4FDA-4B4C-B7D2-DA0BEB812417}"/>
    <cellStyle name="Currency 3 2 4 5 3" xfId="6291" xr:uid="{00000000-0005-0000-0000-00003C0B0000}"/>
    <cellStyle name="Currency 3 2 4 5 3 2" xfId="14741" xr:uid="{A3033194-897F-4CF8-A42C-0A47FEED78FD}"/>
    <cellStyle name="Currency 3 2 4 5 4" xfId="10523" xr:uid="{7684A47F-9070-4BC4-B770-5E785C996FA4}"/>
    <cellStyle name="Currency 3 2 4 6" xfId="2420" xr:uid="{00000000-0005-0000-0000-00003D0B0000}"/>
    <cellStyle name="Currency 3 2 4 6 2" xfId="6704" xr:uid="{00000000-0005-0000-0000-00003E0B0000}"/>
    <cellStyle name="Currency 3 2 4 6 2 2" xfId="15154" xr:uid="{89D60221-469B-4C17-B320-E3BE2B70A471}"/>
    <cellStyle name="Currency 3 2 4 6 3" xfId="10936" xr:uid="{DB2E3A3E-37BD-4978-8DD8-593F983868F8}"/>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749D9BB9-64A3-4457-B2BE-193D3F406932}"/>
    <cellStyle name="Currency 3 2 4 8 3" xfId="11253" xr:uid="{65A1DA80-DA56-4D78-9BD7-092BB1A87C8F}"/>
    <cellStyle name="Currency 3 2 4 9" xfId="4638" xr:uid="{00000000-0005-0000-0000-0000420B0000}"/>
    <cellStyle name="Currency 3 2 4 9 2" xfId="13088" xr:uid="{07EE1D1F-27F0-4956-9847-B2188373A233}"/>
    <cellStyle name="Currency 3 2 5" xfId="185" xr:uid="{00000000-0005-0000-0000-0000430B0000}"/>
    <cellStyle name="Currency 3 2 5 10" xfId="8871" xr:uid="{7F3B24AF-9B81-4DD7-AB13-3279EEA28599}"/>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8B0B9CB6-5DAC-49DC-9106-1D17893CF39B}"/>
    <cellStyle name="Currency 3 2 5 2 2 3" xfId="11430" xr:uid="{785C8B07-8A69-42D1-9913-5F4DEBD1D3D9}"/>
    <cellStyle name="Currency 3 2 5 2 3" xfId="5053" xr:uid="{00000000-0005-0000-0000-0000470B0000}"/>
    <cellStyle name="Currency 3 2 5 2 3 2" xfId="13503" xr:uid="{6B6353A8-BC9B-45CF-BA81-DB5420428DA3}"/>
    <cellStyle name="Currency 3 2 5 2 4" xfId="9285" xr:uid="{CDA8D349-D1B8-4B52-85CF-B970B4518FDC}"/>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7CC4E1B2-1395-46C8-ADD5-E879955B27B3}"/>
    <cellStyle name="Currency 3 2 5 3 2 3" xfId="11843" xr:uid="{626C3BC4-DAEC-46E4-894B-F91B5283B483}"/>
    <cellStyle name="Currency 3 2 5 3 3" xfId="5466" xr:uid="{00000000-0005-0000-0000-00004B0B0000}"/>
    <cellStyle name="Currency 3 2 5 3 3 2" xfId="13916" xr:uid="{BF3D6870-0D4C-43D4-B045-FB313F7144B0}"/>
    <cellStyle name="Currency 3 2 5 3 4" xfId="9698" xr:uid="{CCAA7D02-9C73-4482-A4F2-2F3F9D79AAC0}"/>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28F1A0DD-DE9A-42BF-827F-D19FE9ABD947}"/>
    <cellStyle name="Currency 3 2 5 4 2 3" xfId="12256" xr:uid="{464DBE5C-33E6-403C-8C62-F2A0CE4961D3}"/>
    <cellStyle name="Currency 3 2 5 4 3" xfId="5879" xr:uid="{00000000-0005-0000-0000-00004F0B0000}"/>
    <cellStyle name="Currency 3 2 5 4 3 2" xfId="14329" xr:uid="{FF923723-0C54-4F4F-9F11-D5FC312CE9A3}"/>
    <cellStyle name="Currency 3 2 5 4 4" xfId="10111" xr:uid="{5D32E28A-508E-4749-93C5-5FFE8671DC9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806BA940-6472-446E-8D36-8CA37530CCEF}"/>
    <cellStyle name="Currency 3 2 5 5 2 3" xfId="12669" xr:uid="{D0152AEE-0F6F-4133-8A57-B4E00BBD1E8D}"/>
    <cellStyle name="Currency 3 2 5 5 3" xfId="6292" xr:uid="{00000000-0005-0000-0000-0000530B0000}"/>
    <cellStyle name="Currency 3 2 5 5 3 2" xfId="14742" xr:uid="{2F8C3BE8-749D-4E66-8713-2C9BF28C3F17}"/>
    <cellStyle name="Currency 3 2 5 5 4" xfId="10524" xr:uid="{57597B93-50B8-4A9E-9246-4BF3C9378B84}"/>
    <cellStyle name="Currency 3 2 5 6" xfId="2421" xr:uid="{00000000-0005-0000-0000-0000540B0000}"/>
    <cellStyle name="Currency 3 2 5 6 2" xfId="6705" xr:uid="{00000000-0005-0000-0000-0000550B0000}"/>
    <cellStyle name="Currency 3 2 5 6 2 2" xfId="15155" xr:uid="{25B8CB7F-449E-40AB-9858-BAD110FE4B84}"/>
    <cellStyle name="Currency 3 2 5 6 3" xfId="10937" xr:uid="{ABB50550-ECBF-4F78-860D-E70982EB27B5}"/>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ECD44BAA-3EA8-4EE4-BDA4-9FC9FB39CF6D}"/>
    <cellStyle name="Currency 3 2 5 8 3" xfId="11254" xr:uid="{C320282D-C1EC-4D74-9164-B0E48F2DDECF}"/>
    <cellStyle name="Currency 3 2 5 9" xfId="4639" xr:uid="{00000000-0005-0000-0000-0000590B0000}"/>
    <cellStyle name="Currency 3 2 5 9 2" xfId="13089" xr:uid="{DD6349D7-AA45-4AD2-9283-A2DA4E8AFC48}"/>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3B213110-2B30-45D1-8E44-F0BBDDAFB707}"/>
    <cellStyle name="Currency 5 2 2 2 10 3" xfId="11255" xr:uid="{7809AEFE-CF64-4532-AFC6-307BB627792C}"/>
    <cellStyle name="Currency 5 2 2 2 11" xfId="4640" xr:uid="{00000000-0005-0000-0000-00006C0B0000}"/>
    <cellStyle name="Currency 5 2 2 2 11 2" xfId="13090" xr:uid="{721BEFD4-3167-4DA7-90B6-23DD0B931E78}"/>
    <cellStyle name="Currency 5 2 2 2 12" xfId="8872" xr:uid="{E5F3A10A-52D0-46E5-B823-38FD30D3A972}"/>
    <cellStyle name="Currency 5 2 2 2 2" xfId="197" xr:uid="{00000000-0005-0000-0000-00006D0B0000}"/>
    <cellStyle name="Currency 5 2 2 2 2 10" xfId="4641" xr:uid="{00000000-0005-0000-0000-00006E0B0000}"/>
    <cellStyle name="Currency 5 2 2 2 2 10 2" xfId="13091" xr:uid="{256A53E9-61E6-45FC-BEEE-BE2481275045}"/>
    <cellStyle name="Currency 5 2 2 2 2 11" xfId="8873" xr:uid="{95EC4403-4732-4067-A696-88758AF72D4B}"/>
    <cellStyle name="Currency 5 2 2 2 2 2" xfId="198" xr:uid="{00000000-0005-0000-0000-00006F0B0000}"/>
    <cellStyle name="Currency 5 2 2 2 2 2 10" xfId="8874" xr:uid="{867E44AE-3DE1-495F-89C7-A9A9D932CC5C}"/>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6FD5130A-DAC7-4124-8200-C7C4EAC2E96F}"/>
    <cellStyle name="Currency 5 2 2 2 2 2 2 2 3" xfId="11433" xr:uid="{A525FA2F-904A-4B0F-A693-2C55CC9DD1D9}"/>
    <cellStyle name="Currency 5 2 2 2 2 2 2 3" xfId="5056" xr:uid="{00000000-0005-0000-0000-0000730B0000}"/>
    <cellStyle name="Currency 5 2 2 2 2 2 2 3 2" xfId="13506" xr:uid="{6F50F611-2DD1-4707-8BCC-240CCD110E99}"/>
    <cellStyle name="Currency 5 2 2 2 2 2 2 4" xfId="9288" xr:uid="{11A28240-5BCD-440C-A530-735DEB8FC1E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8FF4BD89-F02E-4955-9D96-316E401B49B4}"/>
    <cellStyle name="Currency 5 2 2 2 2 2 3 2 3" xfId="11846" xr:uid="{2A23EDD0-5414-4F05-9266-E25A65156434}"/>
    <cellStyle name="Currency 5 2 2 2 2 2 3 3" xfId="5469" xr:uid="{00000000-0005-0000-0000-0000770B0000}"/>
    <cellStyle name="Currency 5 2 2 2 2 2 3 3 2" xfId="13919" xr:uid="{CE02AA67-0ADC-4B00-A01C-F23088AAB807}"/>
    <cellStyle name="Currency 5 2 2 2 2 2 3 4" xfId="9701" xr:uid="{1B49B71B-E281-48A5-A92C-07968BEAF979}"/>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E2BFBF57-4DC0-4261-B0F5-58339FB986FD}"/>
    <cellStyle name="Currency 5 2 2 2 2 2 4 2 3" xfId="12259" xr:uid="{C7072246-6BA3-49F1-994C-5130848740EE}"/>
    <cellStyle name="Currency 5 2 2 2 2 2 4 3" xfId="5882" xr:uid="{00000000-0005-0000-0000-00007B0B0000}"/>
    <cellStyle name="Currency 5 2 2 2 2 2 4 3 2" xfId="14332" xr:uid="{3853192E-C207-476F-9361-CFF286857079}"/>
    <cellStyle name="Currency 5 2 2 2 2 2 4 4" xfId="10114" xr:uid="{D3E4EBC8-FB27-4F8E-B2D3-561D3CF5D76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B39276F0-1E5A-4E96-8F1E-AD347586BCE2}"/>
    <cellStyle name="Currency 5 2 2 2 2 2 5 2 3" xfId="12672" xr:uid="{AAB71574-00F7-42F8-9C83-0E84030F9C2D}"/>
    <cellStyle name="Currency 5 2 2 2 2 2 5 3" xfId="6295" xr:uid="{00000000-0005-0000-0000-00007F0B0000}"/>
    <cellStyle name="Currency 5 2 2 2 2 2 5 3 2" xfId="14745" xr:uid="{4EB352E8-D33F-4D9E-83A4-625ECF7B3206}"/>
    <cellStyle name="Currency 5 2 2 2 2 2 5 4" xfId="10527" xr:uid="{01C94491-8E2C-451E-B9CD-FB8E2CC61D92}"/>
    <cellStyle name="Currency 5 2 2 2 2 2 6" xfId="2424" xr:uid="{00000000-0005-0000-0000-0000800B0000}"/>
    <cellStyle name="Currency 5 2 2 2 2 2 6 2" xfId="6708" xr:uid="{00000000-0005-0000-0000-0000810B0000}"/>
    <cellStyle name="Currency 5 2 2 2 2 2 6 2 2" xfId="15158" xr:uid="{5C202313-0397-48DF-ACDC-2AD31949EACE}"/>
    <cellStyle name="Currency 5 2 2 2 2 2 6 3" xfId="10940" xr:uid="{0A5BA484-3C27-4D1D-BB58-B3E16854E4CE}"/>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6B09AB71-8C45-4518-B38D-E4AA2293D4E0}"/>
    <cellStyle name="Currency 5 2 2 2 2 2 8 3" xfId="11257" xr:uid="{99132CCF-BB8C-48B7-9E90-962364B7C8D2}"/>
    <cellStyle name="Currency 5 2 2 2 2 2 9" xfId="4642" xr:uid="{00000000-0005-0000-0000-0000850B0000}"/>
    <cellStyle name="Currency 5 2 2 2 2 2 9 2" xfId="13092" xr:uid="{22235862-45A1-4790-A617-5DCC5D4F9E4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502EE4DA-06A8-406D-9A50-51EC45346EB4}"/>
    <cellStyle name="Currency 5 2 2 2 2 3 2 3" xfId="11432" xr:uid="{0FD0F097-D0D2-41C7-AFEF-E7C832A8F256}"/>
    <cellStyle name="Currency 5 2 2 2 2 3 3" xfId="5055" xr:uid="{00000000-0005-0000-0000-0000890B0000}"/>
    <cellStyle name="Currency 5 2 2 2 2 3 3 2" xfId="13505" xr:uid="{3278DB53-C897-4954-98F3-81737BBBD057}"/>
    <cellStyle name="Currency 5 2 2 2 2 3 4" xfId="9287" xr:uid="{0F01AEB9-DD71-4A92-B2FB-0827FD3A128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5E602B79-1319-4204-A79A-71C409A285B9}"/>
    <cellStyle name="Currency 5 2 2 2 2 4 2 3" xfId="11845" xr:uid="{59C918E4-42F0-458B-8E46-8C35415A9D35}"/>
    <cellStyle name="Currency 5 2 2 2 2 4 3" xfId="5468" xr:uid="{00000000-0005-0000-0000-00008D0B0000}"/>
    <cellStyle name="Currency 5 2 2 2 2 4 3 2" xfId="13918" xr:uid="{13BBE651-F4B3-4D5A-A034-A739056E0DC4}"/>
    <cellStyle name="Currency 5 2 2 2 2 4 4" xfId="9700" xr:uid="{BD59351D-1FD9-4C05-B878-B3EC6DD3E523}"/>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364E7B1A-DC06-4E13-8F61-C064EB9C15B3}"/>
    <cellStyle name="Currency 5 2 2 2 2 5 2 3" xfId="12258" xr:uid="{B0DFFF50-300C-431C-B99C-3522359ED43F}"/>
    <cellStyle name="Currency 5 2 2 2 2 5 3" xfId="5881" xr:uid="{00000000-0005-0000-0000-0000910B0000}"/>
    <cellStyle name="Currency 5 2 2 2 2 5 3 2" xfId="14331" xr:uid="{954658AC-AD0D-4406-98CE-C2AFF074EE66}"/>
    <cellStyle name="Currency 5 2 2 2 2 5 4" xfId="10113" xr:uid="{05F583D0-7C96-4BC1-BFB5-5409DDD32F31}"/>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28C4AD47-40B7-4BDF-9F6B-97CFA3FBBA50}"/>
    <cellStyle name="Currency 5 2 2 2 2 6 2 3" xfId="12671" xr:uid="{46D1B627-B64F-4459-9A15-C4EDFDED8F56}"/>
    <cellStyle name="Currency 5 2 2 2 2 6 3" xfId="6294" xr:uid="{00000000-0005-0000-0000-0000950B0000}"/>
    <cellStyle name="Currency 5 2 2 2 2 6 3 2" xfId="14744" xr:uid="{1CD42451-2630-49E1-9E6C-2EA2329055AC}"/>
    <cellStyle name="Currency 5 2 2 2 2 6 4" xfId="10526" xr:uid="{78B60C88-0DFB-4AB2-A04B-A636609F10F2}"/>
    <cellStyle name="Currency 5 2 2 2 2 7" xfId="2423" xr:uid="{00000000-0005-0000-0000-0000960B0000}"/>
    <cellStyle name="Currency 5 2 2 2 2 7 2" xfId="6707" xr:uid="{00000000-0005-0000-0000-0000970B0000}"/>
    <cellStyle name="Currency 5 2 2 2 2 7 2 2" xfId="15157" xr:uid="{6463CAED-DF58-494C-800C-A2194689CB13}"/>
    <cellStyle name="Currency 5 2 2 2 2 7 3" xfId="10939" xr:uid="{6BFCF7A2-9D36-4187-B607-8EC0C98985D8}"/>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40DF9B8C-4166-4138-8980-0ECC94F181FF}"/>
    <cellStyle name="Currency 5 2 2 2 2 9 3" xfId="11256" xr:uid="{3E5DF413-2A8A-4954-865E-6DC6C34533A7}"/>
    <cellStyle name="Currency 5 2 2 2 3" xfId="199" xr:uid="{00000000-0005-0000-0000-00009B0B0000}"/>
    <cellStyle name="Currency 5 2 2 2 3 10" xfId="8875" xr:uid="{CEA083D9-1A6E-433F-896B-B1ED35037D1A}"/>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978AB71D-CC6E-40D9-8A50-7FFDEABDA5A4}"/>
    <cellStyle name="Currency 5 2 2 2 3 2 2 3" xfId="11434" xr:uid="{2D240FAF-4A89-48A5-AD0B-7D95B2D6F162}"/>
    <cellStyle name="Currency 5 2 2 2 3 2 3" xfId="5057" xr:uid="{00000000-0005-0000-0000-00009F0B0000}"/>
    <cellStyle name="Currency 5 2 2 2 3 2 3 2" xfId="13507" xr:uid="{D28EB0BD-E181-4FDB-97C0-AFA372CE688B}"/>
    <cellStyle name="Currency 5 2 2 2 3 2 4" xfId="9289" xr:uid="{C464CCB3-69C6-464D-B3A8-E8C74999BB65}"/>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57D1729D-E7D0-48D6-A48E-AB221333082C}"/>
    <cellStyle name="Currency 5 2 2 2 3 3 2 3" xfId="11847" xr:uid="{B969A339-4CE7-4747-A4D7-B3F765DF5401}"/>
    <cellStyle name="Currency 5 2 2 2 3 3 3" xfId="5470" xr:uid="{00000000-0005-0000-0000-0000A30B0000}"/>
    <cellStyle name="Currency 5 2 2 2 3 3 3 2" xfId="13920" xr:uid="{8C78A84E-0610-4F33-AE43-569B0C2F8FF2}"/>
    <cellStyle name="Currency 5 2 2 2 3 3 4" xfId="9702" xr:uid="{0AAC3EF3-3832-46E7-B7E1-5B4619567CB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4B3A30A8-373A-4685-AA10-B231546C5661}"/>
    <cellStyle name="Currency 5 2 2 2 3 4 2 3" xfId="12260" xr:uid="{8425FAA3-DD3E-4C8F-955F-2A4F559E2EC0}"/>
    <cellStyle name="Currency 5 2 2 2 3 4 3" xfId="5883" xr:uid="{00000000-0005-0000-0000-0000A70B0000}"/>
    <cellStyle name="Currency 5 2 2 2 3 4 3 2" xfId="14333" xr:uid="{027289D1-8812-4D5C-A395-C4C5F912E381}"/>
    <cellStyle name="Currency 5 2 2 2 3 4 4" xfId="10115" xr:uid="{76D49946-FB41-484E-9E0B-7BDC1A6BA12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E1CACAE8-320C-44BC-87D1-91D30904E526}"/>
    <cellStyle name="Currency 5 2 2 2 3 5 2 3" xfId="12673" xr:uid="{B078728B-DB5C-407F-B211-B9F3ABB88ABA}"/>
    <cellStyle name="Currency 5 2 2 2 3 5 3" xfId="6296" xr:uid="{00000000-0005-0000-0000-0000AB0B0000}"/>
    <cellStyle name="Currency 5 2 2 2 3 5 3 2" xfId="14746" xr:uid="{D3C617CA-F048-4072-B138-D5D2E7D8A900}"/>
    <cellStyle name="Currency 5 2 2 2 3 5 4" xfId="10528" xr:uid="{15FEB83C-58CE-4FA8-83DD-FF7A720D03C0}"/>
    <cellStyle name="Currency 5 2 2 2 3 6" xfId="2425" xr:uid="{00000000-0005-0000-0000-0000AC0B0000}"/>
    <cellStyle name="Currency 5 2 2 2 3 6 2" xfId="6709" xr:uid="{00000000-0005-0000-0000-0000AD0B0000}"/>
    <cellStyle name="Currency 5 2 2 2 3 6 2 2" xfId="15159" xr:uid="{2FE0C07F-6D26-48CB-815F-B513630BC384}"/>
    <cellStyle name="Currency 5 2 2 2 3 6 3" xfId="10941" xr:uid="{0D804C74-E5F9-4C66-B5A9-854344A36D92}"/>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1ABC3F89-58A4-4FD7-B486-B5BD15509D97}"/>
    <cellStyle name="Currency 5 2 2 2 3 8 3" xfId="11258" xr:uid="{39C2A803-DAC0-4150-9569-A6198C8518B6}"/>
    <cellStyle name="Currency 5 2 2 2 3 9" xfId="4643" xr:uid="{00000000-0005-0000-0000-0000B10B0000}"/>
    <cellStyle name="Currency 5 2 2 2 3 9 2" xfId="13093" xr:uid="{21CD3D40-F5E5-454E-B819-85B00A0B9133}"/>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2F5367F4-E72C-41D4-840C-38E2D47FF5DF}"/>
    <cellStyle name="Currency 5 2 2 2 4 2 3" xfId="11431" xr:uid="{6D979BBA-BFDE-49D6-911B-694DC71714B4}"/>
    <cellStyle name="Currency 5 2 2 2 4 3" xfId="5054" xr:uid="{00000000-0005-0000-0000-0000B50B0000}"/>
    <cellStyle name="Currency 5 2 2 2 4 3 2" xfId="13504" xr:uid="{4E0940F2-5927-48AB-9963-36B6B8471797}"/>
    <cellStyle name="Currency 5 2 2 2 4 4" xfId="9286" xr:uid="{6885BE57-4C1D-4286-99B7-11FC0F66CA4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F4CA003F-A695-46A6-ACEB-62A71FDD56B9}"/>
    <cellStyle name="Currency 5 2 2 2 5 2 3" xfId="11844" xr:uid="{1193C4B0-B4BE-4318-9D0D-30AC020684BA}"/>
    <cellStyle name="Currency 5 2 2 2 5 3" xfId="5467" xr:uid="{00000000-0005-0000-0000-0000B90B0000}"/>
    <cellStyle name="Currency 5 2 2 2 5 3 2" xfId="13917" xr:uid="{CD28BD4E-D415-49D1-8756-2B3609E48D93}"/>
    <cellStyle name="Currency 5 2 2 2 5 4" xfId="9699" xr:uid="{B27D92D6-F775-4B9C-8A97-7EAE79A77A8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465C8537-062E-4E54-932A-5381B01B5CC9}"/>
    <cellStyle name="Currency 5 2 2 2 6 2 3" xfId="12257" xr:uid="{07019ABD-C3B1-46EB-9119-F44D1D9F8F43}"/>
    <cellStyle name="Currency 5 2 2 2 6 3" xfId="5880" xr:uid="{00000000-0005-0000-0000-0000BD0B0000}"/>
    <cellStyle name="Currency 5 2 2 2 6 3 2" xfId="14330" xr:uid="{4C87732B-48D6-43EA-9DAD-9511EE483901}"/>
    <cellStyle name="Currency 5 2 2 2 6 4" xfId="10112" xr:uid="{9715F483-1926-4001-B4BB-8E70B20DAFE6}"/>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E7B5782B-35B0-4298-AA0D-BD042C018E42}"/>
    <cellStyle name="Currency 5 2 2 2 7 2 3" xfId="12670" xr:uid="{01B65B53-CB4F-4159-ADB2-54F565BD74F3}"/>
    <cellStyle name="Currency 5 2 2 2 7 3" xfId="6293" xr:uid="{00000000-0005-0000-0000-0000C10B0000}"/>
    <cellStyle name="Currency 5 2 2 2 7 3 2" xfId="14743" xr:uid="{EC35C20E-E7DD-4718-9AAA-455826ABA7E0}"/>
    <cellStyle name="Currency 5 2 2 2 7 4" xfId="10525" xr:uid="{E3416DD3-2A21-4E13-9D55-BF78A2F9BFD2}"/>
    <cellStyle name="Currency 5 2 2 2 8" xfId="2422" xr:uid="{00000000-0005-0000-0000-0000C20B0000}"/>
    <cellStyle name="Currency 5 2 2 2 8 2" xfId="6706" xr:uid="{00000000-0005-0000-0000-0000C30B0000}"/>
    <cellStyle name="Currency 5 2 2 2 8 2 2" xfId="15156" xr:uid="{23E9B43C-621E-4DF9-9FF8-748195B05A75}"/>
    <cellStyle name="Currency 5 2 2 2 8 3" xfId="10938" xr:uid="{3FA7776E-7CDF-4B7C-BAA3-2C5A51F4EBB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342E8C20-E274-4185-A498-E5BD21EB3E20}"/>
    <cellStyle name="Currency 5 2 2 3 11" xfId="8876" xr:uid="{5668666D-25D1-46C9-A686-7D07281C0903}"/>
    <cellStyle name="Currency 5 2 2 3 2" xfId="201" xr:uid="{00000000-0005-0000-0000-0000C70B0000}"/>
    <cellStyle name="Currency 5 2 2 3 2 10" xfId="8877" xr:uid="{C41D2CE1-46B1-4371-8DB0-D46E2F71608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A578EADC-3164-4C20-9D83-CD8F5B0F5D7B}"/>
    <cellStyle name="Currency 5 2 2 3 2 2 2 3" xfId="11436" xr:uid="{5D1E5AF9-C7D4-4B92-8565-8841FE66D952}"/>
    <cellStyle name="Currency 5 2 2 3 2 2 3" xfId="5059" xr:uid="{00000000-0005-0000-0000-0000CB0B0000}"/>
    <cellStyle name="Currency 5 2 2 3 2 2 3 2" xfId="13509" xr:uid="{C88D2509-B5E3-4999-A0A2-B451BBBDB2BF}"/>
    <cellStyle name="Currency 5 2 2 3 2 2 4" xfId="9291" xr:uid="{7B4F856C-EF98-4DCC-BEBB-06FBB2C2226A}"/>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AD684127-7BE2-44CC-9E7F-B35BC4B27E8D}"/>
    <cellStyle name="Currency 5 2 2 3 2 3 2 3" xfId="11849" xr:uid="{7650678A-358B-44BB-9391-63143E2ABB50}"/>
    <cellStyle name="Currency 5 2 2 3 2 3 3" xfId="5472" xr:uid="{00000000-0005-0000-0000-0000CF0B0000}"/>
    <cellStyle name="Currency 5 2 2 3 2 3 3 2" xfId="13922" xr:uid="{5AAA0C33-0741-4592-914B-EAA14871717A}"/>
    <cellStyle name="Currency 5 2 2 3 2 3 4" xfId="9704" xr:uid="{0827123C-1623-4EB6-B01B-95CC83DC861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B0641A93-5700-4664-8913-816EA1209A16}"/>
    <cellStyle name="Currency 5 2 2 3 2 4 2 3" xfId="12262" xr:uid="{F5BA6252-4ACB-4A49-8478-2A15AB706D43}"/>
    <cellStyle name="Currency 5 2 2 3 2 4 3" xfId="5885" xr:uid="{00000000-0005-0000-0000-0000D30B0000}"/>
    <cellStyle name="Currency 5 2 2 3 2 4 3 2" xfId="14335" xr:uid="{EC905101-6BB2-4477-AC67-5B68358B98CC}"/>
    <cellStyle name="Currency 5 2 2 3 2 4 4" xfId="10117" xr:uid="{DF27C1E7-C029-4C52-B3DB-ECC27D15702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FE016D4C-F8F4-4E6B-8901-E81606D71772}"/>
    <cellStyle name="Currency 5 2 2 3 2 5 2 3" xfId="12675" xr:uid="{4BB6A25E-38CC-4B30-9EA5-92A00BE108BF}"/>
    <cellStyle name="Currency 5 2 2 3 2 5 3" xfId="6298" xr:uid="{00000000-0005-0000-0000-0000D70B0000}"/>
    <cellStyle name="Currency 5 2 2 3 2 5 3 2" xfId="14748" xr:uid="{D384BF0C-6F0D-4B61-96F3-5087C4C113DB}"/>
    <cellStyle name="Currency 5 2 2 3 2 5 4" xfId="10530" xr:uid="{BFF617A3-093A-4216-8FF2-B95AF1D258C5}"/>
    <cellStyle name="Currency 5 2 2 3 2 6" xfId="2427" xr:uid="{00000000-0005-0000-0000-0000D80B0000}"/>
    <cellStyle name="Currency 5 2 2 3 2 6 2" xfId="6711" xr:uid="{00000000-0005-0000-0000-0000D90B0000}"/>
    <cellStyle name="Currency 5 2 2 3 2 6 2 2" xfId="15161" xr:uid="{CA082849-7C53-460F-88F2-2179B43DE39F}"/>
    <cellStyle name="Currency 5 2 2 3 2 6 3" xfId="10943" xr:uid="{614CCA84-A6D8-4DD9-8C07-E23254319C69}"/>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E7DA2598-90BC-4BDA-9CEA-DB314580A6AA}"/>
    <cellStyle name="Currency 5 2 2 3 2 8 3" xfId="11260" xr:uid="{2ADEC4AA-9514-4664-AE64-771E8B3082F4}"/>
    <cellStyle name="Currency 5 2 2 3 2 9" xfId="4645" xr:uid="{00000000-0005-0000-0000-0000DD0B0000}"/>
    <cellStyle name="Currency 5 2 2 3 2 9 2" xfId="13095" xr:uid="{E37B7B8D-50B5-4A1D-95F6-7C8868E6FC18}"/>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9318E84F-3DF4-4B3E-B340-D8044EA60DBA}"/>
    <cellStyle name="Currency 5 2 2 3 3 2 3" xfId="11435" xr:uid="{1C026BFF-F550-4D54-9CFC-E532954C3C2F}"/>
    <cellStyle name="Currency 5 2 2 3 3 3" xfId="5058" xr:uid="{00000000-0005-0000-0000-0000E10B0000}"/>
    <cellStyle name="Currency 5 2 2 3 3 3 2" xfId="13508" xr:uid="{A26CC9EC-DDED-475B-BD19-6B1123C2D5C5}"/>
    <cellStyle name="Currency 5 2 2 3 3 4" xfId="9290" xr:uid="{FEC24201-1E1E-4B90-858D-6FA3FE39AC81}"/>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510D13E0-2274-4C5D-BBFD-B3060C615700}"/>
    <cellStyle name="Currency 5 2 2 3 4 2 3" xfId="11848" xr:uid="{31F63400-3D30-45CB-8804-C153AD441B38}"/>
    <cellStyle name="Currency 5 2 2 3 4 3" xfId="5471" xr:uid="{00000000-0005-0000-0000-0000E50B0000}"/>
    <cellStyle name="Currency 5 2 2 3 4 3 2" xfId="13921" xr:uid="{C6AD5FD9-77E6-4D49-8F39-67D5C31D029F}"/>
    <cellStyle name="Currency 5 2 2 3 4 4" xfId="9703" xr:uid="{289B4206-3469-4BC7-8ACF-F96AB183B929}"/>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A5B6B863-DB32-4B48-A4A3-8ACD91BA4070}"/>
    <cellStyle name="Currency 5 2 2 3 5 2 3" xfId="12261" xr:uid="{D8597C3D-D409-4852-B96B-BAD4B0BE72A8}"/>
    <cellStyle name="Currency 5 2 2 3 5 3" xfId="5884" xr:uid="{00000000-0005-0000-0000-0000E90B0000}"/>
    <cellStyle name="Currency 5 2 2 3 5 3 2" xfId="14334" xr:uid="{B9BFE86D-11A9-40B4-960B-4B46DEF8B889}"/>
    <cellStyle name="Currency 5 2 2 3 5 4" xfId="10116" xr:uid="{A3480C45-DCF5-451E-9440-6309879FD59D}"/>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C5862BBF-C9ED-4F3D-8AE2-E4DC021537D1}"/>
    <cellStyle name="Currency 5 2 2 3 6 2 3" xfId="12674" xr:uid="{9B3AC162-C52E-4C29-8720-5D6B56EE2039}"/>
    <cellStyle name="Currency 5 2 2 3 6 3" xfId="6297" xr:uid="{00000000-0005-0000-0000-0000ED0B0000}"/>
    <cellStyle name="Currency 5 2 2 3 6 3 2" xfId="14747" xr:uid="{C453230B-90E4-4CB9-A6D4-0435F4BA07D7}"/>
    <cellStyle name="Currency 5 2 2 3 6 4" xfId="10529" xr:uid="{D2DE97D4-155A-42BE-A08F-299B58CE22F1}"/>
    <cellStyle name="Currency 5 2 2 3 7" xfId="2426" xr:uid="{00000000-0005-0000-0000-0000EE0B0000}"/>
    <cellStyle name="Currency 5 2 2 3 7 2" xfId="6710" xr:uid="{00000000-0005-0000-0000-0000EF0B0000}"/>
    <cellStyle name="Currency 5 2 2 3 7 2 2" xfId="15160" xr:uid="{C9F689F8-3BD4-4274-9A27-D5712C92F752}"/>
    <cellStyle name="Currency 5 2 2 3 7 3" xfId="10942" xr:uid="{CF374AF1-4581-4BE8-9D1D-0BE03BAB0EE4}"/>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3878A723-F7C3-46CB-9231-8EBF6522066C}"/>
    <cellStyle name="Currency 5 2 2 3 9 3" xfId="11259" xr:uid="{3B68623B-FDA5-4B92-9C8A-39347F1A52BE}"/>
    <cellStyle name="Currency 5 2 2 4" xfId="202" xr:uid="{00000000-0005-0000-0000-0000F30B0000}"/>
    <cellStyle name="Currency 5 2 2 4 10" xfId="8878" xr:uid="{051C94AE-4E01-455F-A11A-947FD72F3B4D}"/>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390FB839-4B1D-4252-8456-78E90995EAB1}"/>
    <cellStyle name="Currency 5 2 2 4 2 2 3" xfId="11437" xr:uid="{69D56C0E-0A03-40EC-B7E4-C7D910B17F05}"/>
    <cellStyle name="Currency 5 2 2 4 2 3" xfId="5060" xr:uid="{00000000-0005-0000-0000-0000F70B0000}"/>
    <cellStyle name="Currency 5 2 2 4 2 3 2" xfId="13510" xr:uid="{D60AC74C-E8D0-491C-829B-759E03FAEB87}"/>
    <cellStyle name="Currency 5 2 2 4 2 4" xfId="9292" xr:uid="{BE2A1DA0-FD32-442C-AF6D-03F7F05844D8}"/>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79E74811-0482-41D8-A570-AF6859B79E29}"/>
    <cellStyle name="Currency 5 2 2 4 3 2 3" xfId="11850" xr:uid="{063BEEEB-50B6-43AF-97C0-7BB8A74DC704}"/>
    <cellStyle name="Currency 5 2 2 4 3 3" xfId="5473" xr:uid="{00000000-0005-0000-0000-0000FB0B0000}"/>
    <cellStyle name="Currency 5 2 2 4 3 3 2" xfId="13923" xr:uid="{909E9257-1EC2-4D42-B31F-ADAE6C4711AB}"/>
    <cellStyle name="Currency 5 2 2 4 3 4" xfId="9705" xr:uid="{629EE6E9-6D67-4B61-AF60-8A38C4F7C48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06C1EB12-594F-491F-8596-EAAA406DF564}"/>
    <cellStyle name="Currency 5 2 2 4 4 2 3" xfId="12263" xr:uid="{06AD1F54-6F4C-4859-B37B-5E8B76B48E9F}"/>
    <cellStyle name="Currency 5 2 2 4 4 3" xfId="5886" xr:uid="{00000000-0005-0000-0000-0000FF0B0000}"/>
    <cellStyle name="Currency 5 2 2 4 4 3 2" xfId="14336" xr:uid="{E358A8FD-2CE5-4D39-B09C-84C7848B92CE}"/>
    <cellStyle name="Currency 5 2 2 4 4 4" xfId="10118" xr:uid="{BDD34A33-805A-46B0-B58F-578BB255354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201ABD27-388B-495F-AE4E-55F5D2BDAE2A}"/>
    <cellStyle name="Currency 5 2 2 4 5 2 3" xfId="12676" xr:uid="{5A6059F3-A5E4-49B8-A3F2-820A493700D7}"/>
    <cellStyle name="Currency 5 2 2 4 5 3" xfId="6299" xr:uid="{00000000-0005-0000-0000-0000030C0000}"/>
    <cellStyle name="Currency 5 2 2 4 5 3 2" xfId="14749" xr:uid="{698B6B6D-264A-41C0-834E-4BDEC877CD14}"/>
    <cellStyle name="Currency 5 2 2 4 5 4" xfId="10531" xr:uid="{4AFB9F89-6A65-464A-BB31-8D975E5FC1E8}"/>
    <cellStyle name="Currency 5 2 2 4 6" xfId="2428" xr:uid="{00000000-0005-0000-0000-0000040C0000}"/>
    <cellStyle name="Currency 5 2 2 4 6 2" xfId="6712" xr:uid="{00000000-0005-0000-0000-0000050C0000}"/>
    <cellStyle name="Currency 5 2 2 4 6 2 2" xfId="15162" xr:uid="{B98B1B64-1C16-4681-822C-10AF5AD74A4B}"/>
    <cellStyle name="Currency 5 2 2 4 6 3" xfId="10944" xr:uid="{BF62A232-2A66-40E4-AE94-BECD6CB25667}"/>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949B2319-B679-4BB4-8C9B-699AAD11990C}"/>
    <cellStyle name="Currency 5 2 2 4 8 3" xfId="11261" xr:uid="{6EC42249-C904-4CE2-AB7E-D278D9540D3C}"/>
    <cellStyle name="Currency 5 2 2 4 9" xfId="4646" xr:uid="{00000000-0005-0000-0000-0000090C0000}"/>
    <cellStyle name="Currency 5 2 2 4 9 2" xfId="13096" xr:uid="{49A6D6DB-EFAC-4EF9-A63B-261F1DF4B0A5}"/>
    <cellStyle name="Currency 5 2 2 5" xfId="203" xr:uid="{00000000-0005-0000-0000-00000A0C0000}"/>
    <cellStyle name="Currency 5 2 2 5 10" xfId="8879" xr:uid="{C9C095BD-8AC9-40AB-8BE5-8402BAC32CE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69CCF3CA-AADA-4E2E-AD4A-12E82A5F8BA0}"/>
    <cellStyle name="Currency 5 2 2 5 2 2 3" xfId="11438" xr:uid="{5622E3E3-039B-46DE-B0A1-8E9EA5385D7A}"/>
    <cellStyle name="Currency 5 2 2 5 2 3" xfId="5061" xr:uid="{00000000-0005-0000-0000-00000E0C0000}"/>
    <cellStyle name="Currency 5 2 2 5 2 3 2" xfId="13511" xr:uid="{0DBA4BBD-4143-4B07-9B0A-4DF9E8779F43}"/>
    <cellStyle name="Currency 5 2 2 5 2 4" xfId="9293" xr:uid="{8423BE04-6E2C-446C-8FF8-31A1D2A81D5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9BCB31E-63F7-4712-8CBC-1F2A9B32924C}"/>
    <cellStyle name="Currency 5 2 2 5 3 2 3" xfId="11851" xr:uid="{71D68C65-6057-42C6-BA61-00BF6B26887B}"/>
    <cellStyle name="Currency 5 2 2 5 3 3" xfId="5474" xr:uid="{00000000-0005-0000-0000-0000120C0000}"/>
    <cellStyle name="Currency 5 2 2 5 3 3 2" xfId="13924" xr:uid="{2C34517E-578C-4AB1-8EE7-E1D16A2A7FE1}"/>
    <cellStyle name="Currency 5 2 2 5 3 4" xfId="9706" xr:uid="{E4A0BF1D-6BEF-47C3-9F94-B57D945A4378}"/>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2BCA4236-F115-41B9-B653-CEEEAEA8F3D8}"/>
    <cellStyle name="Currency 5 2 2 5 4 2 3" xfId="12264" xr:uid="{BEC066C1-0CE4-425C-A608-93B43530AAFB}"/>
    <cellStyle name="Currency 5 2 2 5 4 3" xfId="5887" xr:uid="{00000000-0005-0000-0000-0000160C0000}"/>
    <cellStyle name="Currency 5 2 2 5 4 3 2" xfId="14337" xr:uid="{1A33BC07-8DDE-40FE-9CB1-21CA842A89AC}"/>
    <cellStyle name="Currency 5 2 2 5 4 4" xfId="10119" xr:uid="{4FBC672C-4DAB-48F1-B635-6676A4F1DD77}"/>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FFD379FE-B309-4171-9E44-0AC1E75BA2A6}"/>
    <cellStyle name="Currency 5 2 2 5 5 2 3" xfId="12677" xr:uid="{E4DB61C1-99BE-4829-84C8-10D7EE8BADD1}"/>
    <cellStyle name="Currency 5 2 2 5 5 3" xfId="6300" xr:uid="{00000000-0005-0000-0000-00001A0C0000}"/>
    <cellStyle name="Currency 5 2 2 5 5 3 2" xfId="14750" xr:uid="{6400CE2A-C882-4372-88A7-A977F05DA149}"/>
    <cellStyle name="Currency 5 2 2 5 5 4" xfId="10532" xr:uid="{BBAA2473-E5C9-418B-9AE9-D7D42E04B845}"/>
    <cellStyle name="Currency 5 2 2 5 6" xfId="2429" xr:uid="{00000000-0005-0000-0000-00001B0C0000}"/>
    <cellStyle name="Currency 5 2 2 5 6 2" xfId="6713" xr:uid="{00000000-0005-0000-0000-00001C0C0000}"/>
    <cellStyle name="Currency 5 2 2 5 6 2 2" xfId="15163" xr:uid="{3767DC27-F9C8-4DF7-AA98-E594BDEAFE0D}"/>
    <cellStyle name="Currency 5 2 2 5 6 3" xfId="10945" xr:uid="{26C8BC05-0976-4F31-8736-D72E0C35C0FF}"/>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D834EFE4-AE61-497C-886A-A020C0E083DE}"/>
    <cellStyle name="Currency 5 2 2 5 8 3" xfId="11262" xr:uid="{51D61DE6-B401-4D7E-8331-C5F1262FAA68}"/>
    <cellStyle name="Currency 5 2 2 5 9" xfId="4647" xr:uid="{00000000-0005-0000-0000-0000200C0000}"/>
    <cellStyle name="Currency 5 2 2 5 9 2" xfId="13097" xr:uid="{9D32237D-7DF4-403F-BA8B-BD433CF14D86}"/>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FE6F0E15-140E-4E74-9D3D-EF5D98992AC8}"/>
    <cellStyle name="Currency 5 2 4 11" xfId="8880" xr:uid="{AF7D0F1C-9D80-4158-A12E-4DC1EC6D225B}"/>
    <cellStyle name="Currency 5 2 4 2" xfId="206" xr:uid="{00000000-0005-0000-0000-0000250C0000}"/>
    <cellStyle name="Currency 5 2 4 2 10" xfId="8881" xr:uid="{B3DF4EF7-2158-4A18-BF8A-E83A1D089B0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9F9FF9AE-41D7-446E-9EFF-C2D9339D96EA}"/>
    <cellStyle name="Currency 5 2 4 2 2 2 3" xfId="11440" xr:uid="{57057D6F-C3D8-43A1-B6C8-454B14A2F22C}"/>
    <cellStyle name="Currency 5 2 4 2 2 3" xfId="5063" xr:uid="{00000000-0005-0000-0000-0000290C0000}"/>
    <cellStyle name="Currency 5 2 4 2 2 3 2" xfId="13513" xr:uid="{9699F7F7-308C-4F4D-9B3D-731CD06FA012}"/>
    <cellStyle name="Currency 5 2 4 2 2 4" xfId="9295" xr:uid="{26D83CEF-B0CE-42BE-8848-E93709479B9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1F13015C-7C32-46C3-9071-DD0E2F37ACC9}"/>
    <cellStyle name="Currency 5 2 4 2 3 2 3" xfId="11853" xr:uid="{E0157A66-9853-4637-843C-5B1A717FED66}"/>
    <cellStyle name="Currency 5 2 4 2 3 3" xfId="5476" xr:uid="{00000000-0005-0000-0000-00002D0C0000}"/>
    <cellStyle name="Currency 5 2 4 2 3 3 2" xfId="13926" xr:uid="{6ADF9BB2-B183-48CC-9E63-B1EF4B9CD8DA}"/>
    <cellStyle name="Currency 5 2 4 2 3 4" xfId="9708" xr:uid="{AD892763-6B55-4EC1-9D64-8F9C3F0AFB6F}"/>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F2988008-7ADA-4937-918B-A688B688C1B3}"/>
    <cellStyle name="Currency 5 2 4 2 4 2 3" xfId="12266" xr:uid="{88981BB3-563E-4CE3-A65E-F8C890D2DBBC}"/>
    <cellStyle name="Currency 5 2 4 2 4 3" xfId="5889" xr:uid="{00000000-0005-0000-0000-0000310C0000}"/>
    <cellStyle name="Currency 5 2 4 2 4 3 2" xfId="14339" xr:uid="{988A30F5-2A84-43FD-B929-6A96EFB2E82E}"/>
    <cellStyle name="Currency 5 2 4 2 4 4" xfId="10121" xr:uid="{06994F49-4645-4075-B14F-3B8BC42D9016}"/>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0AC6DD9A-3A6D-424C-A0B1-CFBDA58712C8}"/>
    <cellStyle name="Currency 5 2 4 2 5 2 3" xfId="12679" xr:uid="{C03284E8-77EE-4662-A8F4-30D452BFE32C}"/>
    <cellStyle name="Currency 5 2 4 2 5 3" xfId="6302" xr:uid="{00000000-0005-0000-0000-0000350C0000}"/>
    <cellStyle name="Currency 5 2 4 2 5 3 2" xfId="14752" xr:uid="{56D1F8CA-A10C-4DA4-886E-1A98CA2D967D}"/>
    <cellStyle name="Currency 5 2 4 2 5 4" xfId="10534" xr:uid="{5B953CD5-5EB1-40B2-87C3-A963C67BFDD1}"/>
    <cellStyle name="Currency 5 2 4 2 6" xfId="2431" xr:uid="{00000000-0005-0000-0000-0000360C0000}"/>
    <cellStyle name="Currency 5 2 4 2 6 2" xfId="6715" xr:uid="{00000000-0005-0000-0000-0000370C0000}"/>
    <cellStyle name="Currency 5 2 4 2 6 2 2" xfId="15165" xr:uid="{D3EFFD94-850B-4553-88E3-CDDDA53DF06A}"/>
    <cellStyle name="Currency 5 2 4 2 6 3" xfId="10947" xr:uid="{A117CDEF-BD2A-4785-BB83-D321ABDB3177}"/>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2728361E-8F53-4363-B254-52653E40782E}"/>
    <cellStyle name="Currency 5 2 4 2 8 3" xfId="11264" xr:uid="{AC26AB0A-C5BB-4E99-8B71-1D4B550EBB3F}"/>
    <cellStyle name="Currency 5 2 4 2 9" xfId="4649" xr:uid="{00000000-0005-0000-0000-00003B0C0000}"/>
    <cellStyle name="Currency 5 2 4 2 9 2" xfId="13099" xr:uid="{309614DB-DE42-498B-9E15-6E6F80C581B3}"/>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B8D1908A-9BA7-453C-B3E7-B6188D163C9F}"/>
    <cellStyle name="Currency 5 2 4 3 2 3" xfId="11439" xr:uid="{C111B4FC-824E-4346-9D65-273944C1A8D9}"/>
    <cellStyle name="Currency 5 2 4 3 3" xfId="5062" xr:uid="{00000000-0005-0000-0000-00003F0C0000}"/>
    <cellStyle name="Currency 5 2 4 3 3 2" xfId="13512" xr:uid="{878E133B-D6DD-44E8-8E73-358C7A26BB5A}"/>
    <cellStyle name="Currency 5 2 4 3 4" xfId="9294" xr:uid="{11CC081E-7E52-4AA3-82BF-88202C236D47}"/>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D83112C3-6D8D-41F0-B263-2AD21BDB76A4}"/>
    <cellStyle name="Currency 5 2 4 4 2 3" xfId="11852" xr:uid="{C11EE6A8-C703-4DDD-A92C-80F6E5620597}"/>
    <cellStyle name="Currency 5 2 4 4 3" xfId="5475" xr:uid="{00000000-0005-0000-0000-0000430C0000}"/>
    <cellStyle name="Currency 5 2 4 4 3 2" xfId="13925" xr:uid="{85B40F0C-9E46-42C4-B599-C51EDD8D0F08}"/>
    <cellStyle name="Currency 5 2 4 4 4" xfId="9707" xr:uid="{CE65D977-69EB-4836-9A54-EC02EA98E1F5}"/>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F35C2EEF-5FD6-4D5F-BE4A-F47AB49E394B}"/>
    <cellStyle name="Currency 5 2 4 5 2 3" xfId="12265" xr:uid="{7A873CB8-EDDF-4D9C-859E-84DA31C72115}"/>
    <cellStyle name="Currency 5 2 4 5 3" xfId="5888" xr:uid="{00000000-0005-0000-0000-0000470C0000}"/>
    <cellStyle name="Currency 5 2 4 5 3 2" xfId="14338" xr:uid="{5E9A7803-5AAF-4DDC-A994-C5D25267793E}"/>
    <cellStyle name="Currency 5 2 4 5 4" xfId="10120" xr:uid="{82532F1A-71CA-432D-B8AA-5D04F483F615}"/>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FC7E0A26-6568-4678-B617-9BDB98877598}"/>
    <cellStyle name="Currency 5 2 4 6 2 3" xfId="12678" xr:uid="{A0C89309-AE65-4DBF-92CD-0DF0163077CF}"/>
    <cellStyle name="Currency 5 2 4 6 3" xfId="6301" xr:uid="{00000000-0005-0000-0000-00004B0C0000}"/>
    <cellStyle name="Currency 5 2 4 6 3 2" xfId="14751" xr:uid="{2F2CCCA7-5E42-4F0F-BD55-61E281564618}"/>
    <cellStyle name="Currency 5 2 4 6 4" xfId="10533" xr:uid="{24C584A3-E6EE-43EC-9AF1-ED045C0AD29C}"/>
    <cellStyle name="Currency 5 2 4 7" xfId="2430" xr:uid="{00000000-0005-0000-0000-00004C0C0000}"/>
    <cellStyle name="Currency 5 2 4 7 2" xfId="6714" xr:uid="{00000000-0005-0000-0000-00004D0C0000}"/>
    <cellStyle name="Currency 5 2 4 7 2 2" xfId="15164" xr:uid="{DAC747DB-CB1B-4A98-B618-51C7246EA849}"/>
    <cellStyle name="Currency 5 2 4 7 3" xfId="10946" xr:uid="{E44341C3-7A9F-4285-A0CB-7FF603F4AECC}"/>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85A20B90-6CE8-458D-8D83-17DC9615A19D}"/>
    <cellStyle name="Currency 5 2 4 9 3" xfId="11263" xr:uid="{876BA771-CB1E-4035-9FD2-E5BCA279C214}"/>
    <cellStyle name="Currency 5 2 5" xfId="207" xr:uid="{00000000-0005-0000-0000-0000510C0000}"/>
    <cellStyle name="Currency 5 2 5 10" xfId="8882" xr:uid="{E69443C5-D0B7-4A93-ABA9-ABBA28F221C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0D051F9D-891F-4C79-85FF-2BDCE3155525}"/>
    <cellStyle name="Currency 5 2 5 2 2 3" xfId="11441" xr:uid="{6920DC00-8956-4D72-8C57-9074CE4C54F3}"/>
    <cellStyle name="Currency 5 2 5 2 3" xfId="5064" xr:uid="{00000000-0005-0000-0000-0000550C0000}"/>
    <cellStyle name="Currency 5 2 5 2 3 2" xfId="13514" xr:uid="{9E9B8949-F75B-4D12-A70A-4F4E44864B53}"/>
    <cellStyle name="Currency 5 2 5 2 4" xfId="9296" xr:uid="{D0415BA5-A9CC-41DC-8A1D-5BCC96293F3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5C404004-4EF6-44BE-87CE-28FA6EFABDE6}"/>
    <cellStyle name="Currency 5 2 5 3 2 3" xfId="11854" xr:uid="{FA1974FE-ED80-4937-9B77-030B56E6F138}"/>
    <cellStyle name="Currency 5 2 5 3 3" xfId="5477" xr:uid="{00000000-0005-0000-0000-0000590C0000}"/>
    <cellStyle name="Currency 5 2 5 3 3 2" xfId="13927" xr:uid="{D9472F4F-A028-4137-AA1B-872606436D2C}"/>
    <cellStyle name="Currency 5 2 5 3 4" xfId="9709" xr:uid="{F34CA5E7-0A66-447F-8521-AB377B4F17FC}"/>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437225B2-E072-4EE8-81A5-8B6DBEAF8461}"/>
    <cellStyle name="Currency 5 2 5 4 2 3" xfId="12267" xr:uid="{4FE6D322-2443-48DA-9B96-714E5D9DAC3A}"/>
    <cellStyle name="Currency 5 2 5 4 3" xfId="5890" xr:uid="{00000000-0005-0000-0000-00005D0C0000}"/>
    <cellStyle name="Currency 5 2 5 4 3 2" xfId="14340" xr:uid="{636676D3-A1F5-4F39-A829-2184231507BA}"/>
    <cellStyle name="Currency 5 2 5 4 4" xfId="10122" xr:uid="{A25EC2B0-1FBB-47AD-B6CF-9E3F83C04DB2}"/>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8DFA4A37-F409-4836-8A24-63BF9B73D85E}"/>
    <cellStyle name="Currency 5 2 5 5 2 3" xfId="12680" xr:uid="{DF135A85-7A74-4B49-8EAA-359B48AC75E6}"/>
    <cellStyle name="Currency 5 2 5 5 3" xfId="6303" xr:uid="{00000000-0005-0000-0000-0000610C0000}"/>
    <cellStyle name="Currency 5 2 5 5 3 2" xfId="14753" xr:uid="{30734CBC-B74F-49B1-A63C-CD0F48A40221}"/>
    <cellStyle name="Currency 5 2 5 5 4" xfId="10535" xr:uid="{233865A5-8369-43C4-9BD8-9D72A1D46A34}"/>
    <cellStyle name="Currency 5 2 5 6" xfId="2432" xr:uid="{00000000-0005-0000-0000-0000620C0000}"/>
    <cellStyle name="Currency 5 2 5 6 2" xfId="6716" xr:uid="{00000000-0005-0000-0000-0000630C0000}"/>
    <cellStyle name="Currency 5 2 5 6 2 2" xfId="15166" xr:uid="{22C72098-3656-4022-BDC2-A338D7591868}"/>
    <cellStyle name="Currency 5 2 5 6 3" xfId="10948" xr:uid="{432E866D-7B3D-4C03-B7D4-59354479A061}"/>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A387EA44-E0AD-4CD0-A990-16588F192BFB}"/>
    <cellStyle name="Currency 5 2 5 8 3" xfId="11265" xr:uid="{5A419D4C-8D01-4CDF-89B8-74D8284F586B}"/>
    <cellStyle name="Currency 5 2 5 9" xfId="4650" xr:uid="{00000000-0005-0000-0000-0000670C0000}"/>
    <cellStyle name="Currency 5 2 5 9 2" xfId="13100" xr:uid="{C4C69561-52A9-4428-B0BA-0E5CB3C6A942}"/>
    <cellStyle name="Currency 5 2 6" xfId="208" xr:uid="{00000000-0005-0000-0000-0000680C0000}"/>
    <cellStyle name="Currency 5 2 6 10" xfId="8883" xr:uid="{8AB92CC7-DE92-456F-8C82-C19F49E5F8F5}"/>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F03D4B80-B638-4026-9BA6-1105583D6F15}"/>
    <cellStyle name="Currency 5 2 6 2 2 3" xfId="11442" xr:uid="{A9B97BEC-7B9F-4F4A-9EBC-17A435873884}"/>
    <cellStyle name="Currency 5 2 6 2 3" xfId="5065" xr:uid="{00000000-0005-0000-0000-00006C0C0000}"/>
    <cellStyle name="Currency 5 2 6 2 3 2" xfId="13515" xr:uid="{D0229036-CE71-4EBC-ACB9-B5EDC5A45C97}"/>
    <cellStyle name="Currency 5 2 6 2 4" xfId="9297" xr:uid="{D314BEC1-CA44-48CC-A59E-13DF3E4CBFE0}"/>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FEC0A9D5-4E85-47D6-BB00-CC4A1C72068B}"/>
    <cellStyle name="Currency 5 2 6 3 2 3" xfId="11855" xr:uid="{CB98D8E3-7BB0-4187-98C9-5065A6C1FCB7}"/>
    <cellStyle name="Currency 5 2 6 3 3" xfId="5478" xr:uid="{00000000-0005-0000-0000-0000700C0000}"/>
    <cellStyle name="Currency 5 2 6 3 3 2" xfId="13928" xr:uid="{3A492A5C-2B5E-41D3-8B0B-A0BA5488081E}"/>
    <cellStyle name="Currency 5 2 6 3 4" xfId="9710" xr:uid="{8939DFC1-0B2F-472B-AF76-4E5A539B032E}"/>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52FC0CC5-8361-4EEA-91C4-F0ACD53F3AC9}"/>
    <cellStyle name="Currency 5 2 6 4 2 3" xfId="12268" xr:uid="{6AB30567-4BA6-4686-B9E7-76091A4772DE}"/>
    <cellStyle name="Currency 5 2 6 4 3" xfId="5891" xr:uid="{00000000-0005-0000-0000-0000740C0000}"/>
    <cellStyle name="Currency 5 2 6 4 3 2" xfId="14341" xr:uid="{B3571D21-3D2F-4378-9C28-B2B752D78C03}"/>
    <cellStyle name="Currency 5 2 6 4 4" xfId="10123" xr:uid="{4996C56A-9065-48D5-8632-C7E659F1E29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D621733C-7027-4BB3-A570-AD7AB83670E6}"/>
    <cellStyle name="Currency 5 2 6 5 2 3" xfId="12681" xr:uid="{391D62DB-2990-4EF0-A517-F8466FC906FD}"/>
    <cellStyle name="Currency 5 2 6 5 3" xfId="6304" xr:uid="{00000000-0005-0000-0000-0000780C0000}"/>
    <cellStyle name="Currency 5 2 6 5 3 2" xfId="14754" xr:uid="{B73BF46E-AFA6-47EE-A87F-CA552E8B4226}"/>
    <cellStyle name="Currency 5 2 6 5 4" xfId="10536" xr:uid="{1C0681E6-1EB0-4243-A82C-3AC915986803}"/>
    <cellStyle name="Currency 5 2 6 6" xfId="2433" xr:uid="{00000000-0005-0000-0000-0000790C0000}"/>
    <cellStyle name="Currency 5 2 6 6 2" xfId="6717" xr:uid="{00000000-0005-0000-0000-00007A0C0000}"/>
    <cellStyle name="Currency 5 2 6 6 2 2" xfId="15167" xr:uid="{6BDA73CE-F7EE-464B-97A1-E65C67E39AD8}"/>
    <cellStyle name="Currency 5 2 6 6 3" xfId="10949" xr:uid="{FEF7FC6D-75E7-46A6-8F5B-AC18877BEC59}"/>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2FDB81D9-E986-4801-AF43-1A8E5D985A2E}"/>
    <cellStyle name="Currency 5 2 6 8 3" xfId="11266" xr:uid="{593967E1-A193-4514-90B9-66771D4FDA3F}"/>
    <cellStyle name="Currency 5 2 6 9" xfId="4651" xr:uid="{00000000-0005-0000-0000-00007E0C0000}"/>
    <cellStyle name="Currency 5 2 6 9 2" xfId="13101" xr:uid="{9A8B948F-D20A-4AD2-8C08-22204ECC2686}"/>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FEDBB8AE-F2AE-4790-86BC-C8C64F452EA5}"/>
    <cellStyle name="Currency 5 3 2 10 3" xfId="11267" xr:uid="{2635F439-2371-4019-8CC2-41E1CCF76389}"/>
    <cellStyle name="Currency 5 3 2 11" xfId="4652" xr:uid="{00000000-0005-0000-0000-0000840C0000}"/>
    <cellStyle name="Currency 5 3 2 11 2" xfId="13102" xr:uid="{03BE863D-5B33-4F2F-8D94-448559658EA2}"/>
    <cellStyle name="Currency 5 3 2 12" xfId="8884" xr:uid="{F352029F-9444-4A20-9032-D47FFB6AB7A0}"/>
    <cellStyle name="Currency 5 3 2 2" xfId="211" xr:uid="{00000000-0005-0000-0000-0000850C0000}"/>
    <cellStyle name="Currency 5 3 2 2 10" xfId="4653" xr:uid="{00000000-0005-0000-0000-0000860C0000}"/>
    <cellStyle name="Currency 5 3 2 2 10 2" xfId="13103" xr:uid="{91E29A24-6D59-462F-B7FE-852B3192F310}"/>
    <cellStyle name="Currency 5 3 2 2 11" xfId="8885" xr:uid="{3036321D-C022-4CF3-8107-140B4D34844F}"/>
    <cellStyle name="Currency 5 3 2 2 2" xfId="212" xr:uid="{00000000-0005-0000-0000-0000870C0000}"/>
    <cellStyle name="Currency 5 3 2 2 2 10" xfId="8886" xr:uid="{C0F1AE0A-62A7-4594-8926-6E8ADF44EAAF}"/>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33CC1026-0EB5-466B-A4A9-A5C8811909E3}"/>
    <cellStyle name="Currency 5 3 2 2 2 2 2 3" xfId="11445" xr:uid="{79DA33BA-AE3C-48B7-8825-F42036A9D6C8}"/>
    <cellStyle name="Currency 5 3 2 2 2 2 3" xfId="5068" xr:uid="{00000000-0005-0000-0000-00008B0C0000}"/>
    <cellStyle name="Currency 5 3 2 2 2 2 3 2" xfId="13518" xr:uid="{6C452021-15CF-428C-92EB-C05F3D3914F4}"/>
    <cellStyle name="Currency 5 3 2 2 2 2 4" xfId="9300" xr:uid="{C5BC92AD-F2E2-4BBC-B553-1B2EA4FDA7F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DB564ADB-D14A-41D4-8F34-E2CB2EF39133}"/>
    <cellStyle name="Currency 5 3 2 2 2 3 2 3" xfId="11858" xr:uid="{7D418AEB-8405-4ACD-A49F-CFE63589BBDD}"/>
    <cellStyle name="Currency 5 3 2 2 2 3 3" xfId="5481" xr:uid="{00000000-0005-0000-0000-00008F0C0000}"/>
    <cellStyle name="Currency 5 3 2 2 2 3 3 2" xfId="13931" xr:uid="{C2B905F7-4F70-4E27-A8BF-7D7E9BF51EBD}"/>
    <cellStyle name="Currency 5 3 2 2 2 3 4" xfId="9713" xr:uid="{830348A1-FA07-4A29-B9D0-565448F70063}"/>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0694C013-62BF-458B-B872-069F971AE83D}"/>
    <cellStyle name="Currency 5 3 2 2 2 4 2 3" xfId="12271" xr:uid="{F6E903EA-56DB-4F77-A79B-0B1834835261}"/>
    <cellStyle name="Currency 5 3 2 2 2 4 3" xfId="5894" xr:uid="{00000000-0005-0000-0000-0000930C0000}"/>
    <cellStyle name="Currency 5 3 2 2 2 4 3 2" xfId="14344" xr:uid="{D95071EB-32BC-4739-ACD7-7916522E76CD}"/>
    <cellStyle name="Currency 5 3 2 2 2 4 4" xfId="10126" xr:uid="{A96E4679-6BAA-4FA9-A596-B432B5AFE16A}"/>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E02E15FA-BACC-4743-B37D-218E1504F5B5}"/>
    <cellStyle name="Currency 5 3 2 2 2 5 2 3" xfId="12684" xr:uid="{B84B33A7-6700-422D-BBCC-D32F153CD989}"/>
    <cellStyle name="Currency 5 3 2 2 2 5 3" xfId="6307" xr:uid="{00000000-0005-0000-0000-0000970C0000}"/>
    <cellStyle name="Currency 5 3 2 2 2 5 3 2" xfId="14757" xr:uid="{0DBCD048-CBB3-4B5F-8168-7147EB5E3255}"/>
    <cellStyle name="Currency 5 3 2 2 2 5 4" xfId="10539" xr:uid="{7028A3CE-0CF4-415C-830E-54567B4F0546}"/>
    <cellStyle name="Currency 5 3 2 2 2 6" xfId="2436" xr:uid="{00000000-0005-0000-0000-0000980C0000}"/>
    <cellStyle name="Currency 5 3 2 2 2 6 2" xfId="6720" xr:uid="{00000000-0005-0000-0000-0000990C0000}"/>
    <cellStyle name="Currency 5 3 2 2 2 6 2 2" xfId="15170" xr:uid="{208CFA1A-7C35-47E7-93F6-8BE3C1639E50}"/>
    <cellStyle name="Currency 5 3 2 2 2 6 3" xfId="10952" xr:uid="{D1B90A70-DB4F-4E47-AC5B-AC1965AA614C}"/>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3559BD43-4992-481B-A7E1-FA0A60C5142C}"/>
    <cellStyle name="Currency 5 3 2 2 2 8 3" xfId="11269" xr:uid="{14079CB4-C7C2-4F15-B09F-D488A30E583D}"/>
    <cellStyle name="Currency 5 3 2 2 2 9" xfId="4654" xr:uid="{00000000-0005-0000-0000-00009D0C0000}"/>
    <cellStyle name="Currency 5 3 2 2 2 9 2" xfId="13104" xr:uid="{19FA15FE-8B6A-46DE-A786-598DC752A023}"/>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D078D57C-C080-4507-A9D7-E33B3BDE4111}"/>
    <cellStyle name="Currency 5 3 2 2 3 2 3" xfId="11444" xr:uid="{0176A96C-C3BF-4E2D-9593-44F268122EC4}"/>
    <cellStyle name="Currency 5 3 2 2 3 3" xfId="5067" xr:uid="{00000000-0005-0000-0000-0000A10C0000}"/>
    <cellStyle name="Currency 5 3 2 2 3 3 2" xfId="13517" xr:uid="{D5616938-56F1-4973-827F-2F40346817F5}"/>
    <cellStyle name="Currency 5 3 2 2 3 4" xfId="9299" xr:uid="{73B39C64-66D3-4502-BE2C-B3ADF8E1951F}"/>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FC7705C4-B8B8-464E-8741-9868DD2AD116}"/>
    <cellStyle name="Currency 5 3 2 2 4 2 3" xfId="11857" xr:uid="{0200F60A-B8DA-46AD-B28C-F71E3CCE8BE8}"/>
    <cellStyle name="Currency 5 3 2 2 4 3" xfId="5480" xr:uid="{00000000-0005-0000-0000-0000A50C0000}"/>
    <cellStyle name="Currency 5 3 2 2 4 3 2" xfId="13930" xr:uid="{3CB61489-0412-46DD-AF91-772BA82C069F}"/>
    <cellStyle name="Currency 5 3 2 2 4 4" xfId="9712" xr:uid="{5FF6303D-4C4A-45C6-AE9F-E8786A29590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29F0F718-D875-4617-BA1D-2C4C371B65FA}"/>
    <cellStyle name="Currency 5 3 2 2 5 2 3" xfId="12270" xr:uid="{E8ECCE01-3B9D-4BDE-93A5-651FF88E340F}"/>
    <cellStyle name="Currency 5 3 2 2 5 3" xfId="5893" xr:uid="{00000000-0005-0000-0000-0000A90C0000}"/>
    <cellStyle name="Currency 5 3 2 2 5 3 2" xfId="14343" xr:uid="{AB658FCF-A62A-4D4D-8335-3BD1B3F8DA8B}"/>
    <cellStyle name="Currency 5 3 2 2 5 4" xfId="10125" xr:uid="{F007B538-958B-4E6D-930E-C15117AE163A}"/>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31C96639-A208-4333-B9DC-F4809943EA2D}"/>
    <cellStyle name="Currency 5 3 2 2 6 2 3" xfId="12683" xr:uid="{9E7FFC11-88CC-44EA-A85A-C825D291F1F1}"/>
    <cellStyle name="Currency 5 3 2 2 6 3" xfId="6306" xr:uid="{00000000-0005-0000-0000-0000AD0C0000}"/>
    <cellStyle name="Currency 5 3 2 2 6 3 2" xfId="14756" xr:uid="{9BE544E8-DEED-4326-9E26-3E5056E2408D}"/>
    <cellStyle name="Currency 5 3 2 2 6 4" xfId="10538" xr:uid="{29787BA2-A438-4264-BA70-712E5043E9DB}"/>
    <cellStyle name="Currency 5 3 2 2 7" xfId="2435" xr:uid="{00000000-0005-0000-0000-0000AE0C0000}"/>
    <cellStyle name="Currency 5 3 2 2 7 2" xfId="6719" xr:uid="{00000000-0005-0000-0000-0000AF0C0000}"/>
    <cellStyle name="Currency 5 3 2 2 7 2 2" xfId="15169" xr:uid="{D9ECCE88-51CA-4877-8AF0-A30EE8743F21}"/>
    <cellStyle name="Currency 5 3 2 2 7 3" xfId="10951" xr:uid="{530F8820-C429-4C1E-BDA5-6F0F73649A36}"/>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87B0C48E-2E3B-445D-A04E-4E63EB1A5440}"/>
    <cellStyle name="Currency 5 3 2 2 9 3" xfId="11268" xr:uid="{6E57C2E1-3F32-4A7D-85E5-9255BA533D72}"/>
    <cellStyle name="Currency 5 3 2 3" xfId="213" xr:uid="{00000000-0005-0000-0000-0000B30C0000}"/>
    <cellStyle name="Currency 5 3 2 3 10" xfId="8887" xr:uid="{6AA3B61F-789B-428B-BF78-0CC15D75AC7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E8B019DD-42A4-4CE7-8593-942455411E7A}"/>
    <cellStyle name="Currency 5 3 2 3 2 2 3" xfId="11446" xr:uid="{EDEA7613-84E2-497E-92C6-F0F5F95DB52E}"/>
    <cellStyle name="Currency 5 3 2 3 2 3" xfId="5069" xr:uid="{00000000-0005-0000-0000-0000B70C0000}"/>
    <cellStyle name="Currency 5 3 2 3 2 3 2" xfId="13519" xr:uid="{4F90D459-7101-4EB2-81F0-E24E23263C12}"/>
    <cellStyle name="Currency 5 3 2 3 2 4" xfId="9301" xr:uid="{6893131B-264E-4C12-8864-ADC782CC26BD}"/>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C481A5BE-B553-4B1B-BB92-478CABE38545}"/>
    <cellStyle name="Currency 5 3 2 3 3 2 3" xfId="11859" xr:uid="{A97531BA-8429-4F18-893C-AB475A90C29F}"/>
    <cellStyle name="Currency 5 3 2 3 3 3" xfId="5482" xr:uid="{00000000-0005-0000-0000-0000BB0C0000}"/>
    <cellStyle name="Currency 5 3 2 3 3 3 2" xfId="13932" xr:uid="{FF6FFA03-7751-40F2-A500-40DE6CA11E41}"/>
    <cellStyle name="Currency 5 3 2 3 3 4" xfId="9714" xr:uid="{4A221803-BCB4-44C4-9DC8-1C1DDF34A0D6}"/>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E473F4A7-518A-4FE3-8A53-4487718CEEBC}"/>
    <cellStyle name="Currency 5 3 2 3 4 2 3" xfId="12272" xr:uid="{416A2A2C-A76D-44B8-AF7C-51B48B6DE2D2}"/>
    <cellStyle name="Currency 5 3 2 3 4 3" xfId="5895" xr:uid="{00000000-0005-0000-0000-0000BF0C0000}"/>
    <cellStyle name="Currency 5 3 2 3 4 3 2" xfId="14345" xr:uid="{72157251-0A07-4296-A49A-0F502011562F}"/>
    <cellStyle name="Currency 5 3 2 3 4 4" xfId="10127" xr:uid="{0F84B828-03E9-4423-9355-A71EBBCABFB4}"/>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08C71CB7-6A1F-4A2D-895A-B1600B1FB08B}"/>
    <cellStyle name="Currency 5 3 2 3 5 2 3" xfId="12685" xr:uid="{7CC96110-4203-44EB-AB28-B85B6A654458}"/>
    <cellStyle name="Currency 5 3 2 3 5 3" xfId="6308" xr:uid="{00000000-0005-0000-0000-0000C30C0000}"/>
    <cellStyle name="Currency 5 3 2 3 5 3 2" xfId="14758" xr:uid="{2978D30D-B719-4E5D-9500-CCD80B1D7B3F}"/>
    <cellStyle name="Currency 5 3 2 3 5 4" xfId="10540" xr:uid="{50CCB180-0408-4596-8B0C-3682F21DA9BB}"/>
    <cellStyle name="Currency 5 3 2 3 6" xfId="2437" xr:uid="{00000000-0005-0000-0000-0000C40C0000}"/>
    <cellStyle name="Currency 5 3 2 3 6 2" xfId="6721" xr:uid="{00000000-0005-0000-0000-0000C50C0000}"/>
    <cellStyle name="Currency 5 3 2 3 6 2 2" xfId="15171" xr:uid="{8787A6E2-0A86-4684-9E40-C27CA7818E2C}"/>
    <cellStyle name="Currency 5 3 2 3 6 3" xfId="10953" xr:uid="{9ABED68D-BD0E-44B8-88B4-7E26E5094274}"/>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17E36CBF-6508-498F-84E6-BAA804F34035}"/>
    <cellStyle name="Currency 5 3 2 3 8 3" xfId="11270" xr:uid="{0B621F58-9644-49C5-965E-7841668F3252}"/>
    <cellStyle name="Currency 5 3 2 3 9" xfId="4655" xr:uid="{00000000-0005-0000-0000-0000C90C0000}"/>
    <cellStyle name="Currency 5 3 2 3 9 2" xfId="13105" xr:uid="{1F0451FF-5F11-4619-B4A1-697A2EBCD4C2}"/>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0E5AE7B2-E6FF-4877-8701-5E8DC88C3F77}"/>
    <cellStyle name="Currency 5 3 2 4 2 3" xfId="11443" xr:uid="{976F472B-0425-4DD8-AB05-1EAEE825AFE2}"/>
    <cellStyle name="Currency 5 3 2 4 3" xfId="5066" xr:uid="{00000000-0005-0000-0000-0000CD0C0000}"/>
    <cellStyle name="Currency 5 3 2 4 3 2" xfId="13516" xr:uid="{55682FB8-1288-4AF7-BA86-7FBD08B00917}"/>
    <cellStyle name="Currency 5 3 2 4 4" xfId="9298" xr:uid="{8554D3E4-15C3-4BA4-B4DD-4E508181BAC6}"/>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6FB2733C-07F6-42CB-A267-B3C09FD7BFDC}"/>
    <cellStyle name="Currency 5 3 2 5 2 3" xfId="11856" xr:uid="{3569E753-B2AD-432D-8C19-73096F865E0E}"/>
    <cellStyle name="Currency 5 3 2 5 3" xfId="5479" xr:uid="{00000000-0005-0000-0000-0000D10C0000}"/>
    <cellStyle name="Currency 5 3 2 5 3 2" xfId="13929" xr:uid="{D6735108-4A09-4D1F-949E-191E9D07C829}"/>
    <cellStyle name="Currency 5 3 2 5 4" xfId="9711" xr:uid="{42D8953D-2D42-44E2-B445-24B27650D58B}"/>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7AF09F9F-EA8D-4C6A-948E-FEC677CEA89B}"/>
    <cellStyle name="Currency 5 3 2 6 2 3" xfId="12269" xr:uid="{C51ACE33-6954-4786-9C97-4C31B81F429D}"/>
    <cellStyle name="Currency 5 3 2 6 3" xfId="5892" xr:uid="{00000000-0005-0000-0000-0000D50C0000}"/>
    <cellStyle name="Currency 5 3 2 6 3 2" xfId="14342" xr:uid="{D9D71341-9387-4045-A0F2-03AE3C7A22FA}"/>
    <cellStyle name="Currency 5 3 2 6 4" xfId="10124" xr:uid="{C04872D3-8A78-4586-938A-DB5069F5A970}"/>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D2F52BC9-8937-4931-AE38-DA7CB039058C}"/>
    <cellStyle name="Currency 5 3 2 7 2 3" xfId="12682" xr:uid="{644A86D1-6A59-4EDC-AF33-28EDB06B6D8E}"/>
    <cellStyle name="Currency 5 3 2 7 3" xfId="6305" xr:uid="{00000000-0005-0000-0000-0000D90C0000}"/>
    <cellStyle name="Currency 5 3 2 7 3 2" xfId="14755" xr:uid="{37F33B01-4E91-47A6-BE86-4DEBEB22AAA6}"/>
    <cellStyle name="Currency 5 3 2 7 4" xfId="10537" xr:uid="{E1229E19-F2AF-45C1-9C37-F176666AE5F9}"/>
    <cellStyle name="Currency 5 3 2 8" xfId="2434" xr:uid="{00000000-0005-0000-0000-0000DA0C0000}"/>
    <cellStyle name="Currency 5 3 2 8 2" xfId="6718" xr:uid="{00000000-0005-0000-0000-0000DB0C0000}"/>
    <cellStyle name="Currency 5 3 2 8 2 2" xfId="15168" xr:uid="{BFB740D5-7C32-4C3F-AAF5-A78D4808ACDA}"/>
    <cellStyle name="Currency 5 3 2 8 3" xfId="10950" xr:uid="{BEFDADFA-E9CB-48DE-9876-82664BBD2BA6}"/>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466E915D-7086-4333-B4CB-395E95B5D34C}"/>
    <cellStyle name="Currency 5 3 3 11" xfId="8888" xr:uid="{8313E608-41B6-48FC-9E52-6BD8915629E0}"/>
    <cellStyle name="Currency 5 3 3 2" xfId="215" xr:uid="{00000000-0005-0000-0000-0000DF0C0000}"/>
    <cellStyle name="Currency 5 3 3 2 10" xfId="8889" xr:uid="{0538849F-4D99-487F-AA0E-47B2230B4B0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2590ACEB-7C99-4354-A643-5D48491D3F1D}"/>
    <cellStyle name="Currency 5 3 3 2 2 2 3" xfId="11448" xr:uid="{F30C416D-2D88-4459-BDC5-2CEC25073523}"/>
    <cellStyle name="Currency 5 3 3 2 2 3" xfId="5071" xr:uid="{00000000-0005-0000-0000-0000E30C0000}"/>
    <cellStyle name="Currency 5 3 3 2 2 3 2" xfId="13521" xr:uid="{00AF9581-17B2-47CD-835E-5AA39C891FB5}"/>
    <cellStyle name="Currency 5 3 3 2 2 4" xfId="9303" xr:uid="{CB303B32-82A4-4CF3-88C4-28F547E7AAC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36683942-6953-405E-AC46-74657E065EC9}"/>
    <cellStyle name="Currency 5 3 3 2 3 2 3" xfId="11861" xr:uid="{03BF6C0E-DBF5-45ED-B534-228A15A92F20}"/>
    <cellStyle name="Currency 5 3 3 2 3 3" xfId="5484" xr:uid="{00000000-0005-0000-0000-0000E70C0000}"/>
    <cellStyle name="Currency 5 3 3 2 3 3 2" xfId="13934" xr:uid="{208FA85C-C19C-4DA8-815F-8E31E3F0000A}"/>
    <cellStyle name="Currency 5 3 3 2 3 4" xfId="9716" xr:uid="{FB687186-E866-4FD4-BBFA-211719934C6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DB2F0EEC-3104-4CAD-B7BA-79F0A804F893}"/>
    <cellStyle name="Currency 5 3 3 2 4 2 3" xfId="12274" xr:uid="{860ECEF4-C66F-44B6-B3C8-E5C5923B7AF9}"/>
    <cellStyle name="Currency 5 3 3 2 4 3" xfId="5897" xr:uid="{00000000-0005-0000-0000-0000EB0C0000}"/>
    <cellStyle name="Currency 5 3 3 2 4 3 2" xfId="14347" xr:uid="{A9190BC6-0F2F-4216-A350-FD06F2DE10D6}"/>
    <cellStyle name="Currency 5 3 3 2 4 4" xfId="10129" xr:uid="{619A5B15-28C4-48BB-ABCA-C0C95ABC62FD}"/>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32DD214C-3BAD-4359-AD54-6042EB8CE2C2}"/>
    <cellStyle name="Currency 5 3 3 2 5 2 3" xfId="12687" xr:uid="{472FDD4C-0FA2-44B5-9881-8419E86A8CA8}"/>
    <cellStyle name="Currency 5 3 3 2 5 3" xfId="6310" xr:uid="{00000000-0005-0000-0000-0000EF0C0000}"/>
    <cellStyle name="Currency 5 3 3 2 5 3 2" xfId="14760" xr:uid="{0B32F68A-E025-4E85-99F8-E982CC78733D}"/>
    <cellStyle name="Currency 5 3 3 2 5 4" xfId="10542" xr:uid="{C5C30E6D-825A-42DF-AEB6-DB452AC4C347}"/>
    <cellStyle name="Currency 5 3 3 2 6" xfId="2439" xr:uid="{00000000-0005-0000-0000-0000F00C0000}"/>
    <cellStyle name="Currency 5 3 3 2 6 2" xfId="6723" xr:uid="{00000000-0005-0000-0000-0000F10C0000}"/>
    <cellStyle name="Currency 5 3 3 2 6 2 2" xfId="15173" xr:uid="{B81FD834-D54C-41D4-B9C7-5D4BF46FF391}"/>
    <cellStyle name="Currency 5 3 3 2 6 3" xfId="10955" xr:uid="{A1292CB8-20E3-4EE3-9C07-B2F9BE5BABE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2E6AF2DB-3F8C-45C5-9C30-530A3C7B2BCF}"/>
    <cellStyle name="Currency 5 3 3 2 8 3" xfId="11272" xr:uid="{4C4D09B0-8C34-4550-AA2E-8BA05148AB4D}"/>
    <cellStyle name="Currency 5 3 3 2 9" xfId="4657" xr:uid="{00000000-0005-0000-0000-0000F50C0000}"/>
    <cellStyle name="Currency 5 3 3 2 9 2" xfId="13107" xr:uid="{515092DD-0F8D-4E82-9811-11B0057BE033}"/>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AEF5B49E-9E68-473E-934F-BFBEDDF27984}"/>
    <cellStyle name="Currency 5 3 3 3 2 3" xfId="11447" xr:uid="{99CEBF53-FE3F-4394-8C40-BA353FFBE037}"/>
    <cellStyle name="Currency 5 3 3 3 3" xfId="5070" xr:uid="{00000000-0005-0000-0000-0000F90C0000}"/>
    <cellStyle name="Currency 5 3 3 3 3 2" xfId="13520" xr:uid="{1462B1E6-AD53-4F9C-880A-39C3331EDA5E}"/>
    <cellStyle name="Currency 5 3 3 3 4" xfId="9302" xr:uid="{D47C65E5-9491-4568-BA34-A5F9043EFD40}"/>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86606455-0FB1-4147-8656-DA5F2D302235}"/>
    <cellStyle name="Currency 5 3 3 4 2 3" xfId="11860" xr:uid="{708A493A-7DC7-4711-956E-8D1019C42B30}"/>
    <cellStyle name="Currency 5 3 3 4 3" xfId="5483" xr:uid="{00000000-0005-0000-0000-0000FD0C0000}"/>
    <cellStyle name="Currency 5 3 3 4 3 2" xfId="13933" xr:uid="{4184982D-F8DB-4BFC-B8C5-870C1F88C508}"/>
    <cellStyle name="Currency 5 3 3 4 4" xfId="9715" xr:uid="{F00ABE7E-9922-47AB-AEEC-02D70F38744B}"/>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E1CAAB3B-D2C3-4E3F-81F4-73E3F6623AA0}"/>
    <cellStyle name="Currency 5 3 3 5 2 3" xfId="12273" xr:uid="{3FFBFBDC-8A83-4E41-A7E6-A9BD1AF63C88}"/>
    <cellStyle name="Currency 5 3 3 5 3" xfId="5896" xr:uid="{00000000-0005-0000-0000-0000010D0000}"/>
    <cellStyle name="Currency 5 3 3 5 3 2" xfId="14346" xr:uid="{0C788F59-E900-47EA-83E7-FB878DCEAC7C}"/>
    <cellStyle name="Currency 5 3 3 5 4" xfId="10128" xr:uid="{717DC28D-675C-4E49-9F75-F1337F2AED3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4D21FF2B-B3E4-4648-902D-D0BE9F24AA6A}"/>
    <cellStyle name="Currency 5 3 3 6 2 3" xfId="12686" xr:uid="{A549B653-7A32-4770-B004-A656C01F27F1}"/>
    <cellStyle name="Currency 5 3 3 6 3" xfId="6309" xr:uid="{00000000-0005-0000-0000-0000050D0000}"/>
    <cellStyle name="Currency 5 3 3 6 3 2" xfId="14759" xr:uid="{A4DE696C-BF1E-4064-85FB-602FBC841640}"/>
    <cellStyle name="Currency 5 3 3 6 4" xfId="10541" xr:uid="{02C37179-D71C-42EE-8B04-BCADCABA6C49}"/>
    <cellStyle name="Currency 5 3 3 7" xfId="2438" xr:uid="{00000000-0005-0000-0000-0000060D0000}"/>
    <cellStyle name="Currency 5 3 3 7 2" xfId="6722" xr:uid="{00000000-0005-0000-0000-0000070D0000}"/>
    <cellStyle name="Currency 5 3 3 7 2 2" xfId="15172" xr:uid="{A7E35C84-708C-451D-8068-20DC8EFCA14B}"/>
    <cellStyle name="Currency 5 3 3 7 3" xfId="10954" xr:uid="{ECC06766-FD94-412D-8C78-913653A0A8AB}"/>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40486F22-B368-4089-A2B2-0733C2FD909A}"/>
    <cellStyle name="Currency 5 3 3 9 3" xfId="11271" xr:uid="{C8B0DDFC-C581-4A37-A02B-4168BE0A2DC8}"/>
    <cellStyle name="Currency 5 3 4" xfId="216" xr:uid="{00000000-0005-0000-0000-00000B0D0000}"/>
    <cellStyle name="Currency 5 3 4 10" xfId="8890" xr:uid="{60BB6DF9-757E-43F1-912D-2C06A636CE84}"/>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DEC84560-E8A9-4F9A-85B1-6FFF9B575FF9}"/>
    <cellStyle name="Currency 5 3 4 2 2 3" xfId="11449" xr:uid="{1DDDD0AE-919A-4595-AAE9-48B35BD8AF6B}"/>
    <cellStyle name="Currency 5 3 4 2 3" xfId="5072" xr:uid="{00000000-0005-0000-0000-00000F0D0000}"/>
    <cellStyle name="Currency 5 3 4 2 3 2" xfId="13522" xr:uid="{92EA640E-3C7D-4D85-B000-D67315DD3118}"/>
    <cellStyle name="Currency 5 3 4 2 4" xfId="9304" xr:uid="{3E6C316C-E49B-4408-85C7-3B10EA8B13F9}"/>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72E56599-38DA-43D2-9C4D-2B14DB2B6EA7}"/>
    <cellStyle name="Currency 5 3 4 3 2 3" xfId="11862" xr:uid="{5E8BB68D-1640-4E78-93CC-6FC1D6AE802A}"/>
    <cellStyle name="Currency 5 3 4 3 3" xfId="5485" xr:uid="{00000000-0005-0000-0000-0000130D0000}"/>
    <cellStyle name="Currency 5 3 4 3 3 2" xfId="13935" xr:uid="{7019D929-B0D5-4DA4-9272-16C7E08B535B}"/>
    <cellStyle name="Currency 5 3 4 3 4" xfId="9717" xr:uid="{99938541-EE82-40EB-B6D8-5479ED7B926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C26232FB-77AC-4965-A075-D60CB486142E}"/>
    <cellStyle name="Currency 5 3 4 4 2 3" xfId="12275" xr:uid="{25D95080-53D3-41D8-80E4-4A0CAF493775}"/>
    <cellStyle name="Currency 5 3 4 4 3" xfId="5898" xr:uid="{00000000-0005-0000-0000-0000170D0000}"/>
    <cellStyle name="Currency 5 3 4 4 3 2" xfId="14348" xr:uid="{E5DAD9DA-5FEA-4867-96F5-B37EA601B5EA}"/>
    <cellStyle name="Currency 5 3 4 4 4" xfId="10130" xr:uid="{CCDE67F4-725C-4F10-AAEE-DCC2EFBDF118}"/>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5C9EC339-95B1-471C-88B1-1A791331845F}"/>
    <cellStyle name="Currency 5 3 4 5 2 3" xfId="12688" xr:uid="{E9842D90-84C6-4147-8A01-40209DE989F6}"/>
    <cellStyle name="Currency 5 3 4 5 3" xfId="6311" xr:uid="{00000000-0005-0000-0000-00001B0D0000}"/>
    <cellStyle name="Currency 5 3 4 5 3 2" xfId="14761" xr:uid="{7E3C081D-EAB1-4B72-AE91-56FE4D28BA6E}"/>
    <cellStyle name="Currency 5 3 4 5 4" xfId="10543" xr:uid="{4DDFA4E3-0634-440A-96B0-9B28CAE9679B}"/>
    <cellStyle name="Currency 5 3 4 6" xfId="2440" xr:uid="{00000000-0005-0000-0000-00001C0D0000}"/>
    <cellStyle name="Currency 5 3 4 6 2" xfId="6724" xr:uid="{00000000-0005-0000-0000-00001D0D0000}"/>
    <cellStyle name="Currency 5 3 4 6 2 2" xfId="15174" xr:uid="{9B324E88-DEBC-4630-99CE-FA0955401E3B}"/>
    <cellStyle name="Currency 5 3 4 6 3" xfId="10956" xr:uid="{E6E839CE-7E84-4D8F-9CE5-3A96570B1299}"/>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C3411B4A-4987-4986-8460-A5408FAB39DA}"/>
    <cellStyle name="Currency 5 3 4 8 3" xfId="11273" xr:uid="{72BD86FA-82BE-43B5-99F6-7665A24C8BF7}"/>
    <cellStyle name="Currency 5 3 4 9" xfId="4658" xr:uid="{00000000-0005-0000-0000-0000210D0000}"/>
    <cellStyle name="Currency 5 3 4 9 2" xfId="13108" xr:uid="{AC53C13C-07A5-4395-BEFE-AD1E9B2D59AF}"/>
    <cellStyle name="Currency 5 3 5" xfId="217" xr:uid="{00000000-0005-0000-0000-0000220D0000}"/>
    <cellStyle name="Currency 5 3 5 10" xfId="8891" xr:uid="{9344830F-B19E-4832-88F2-49A16FAFD7C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C559BD5A-B756-40CF-8432-78E37A3CDEA2}"/>
    <cellStyle name="Currency 5 3 5 2 2 3" xfId="11450" xr:uid="{67EC0907-2D05-4A3E-88C8-C1633D0DC4B3}"/>
    <cellStyle name="Currency 5 3 5 2 3" xfId="5073" xr:uid="{00000000-0005-0000-0000-0000260D0000}"/>
    <cellStyle name="Currency 5 3 5 2 3 2" xfId="13523" xr:uid="{4AF63A30-B834-4F74-B46B-A0ED8A7E87CB}"/>
    <cellStyle name="Currency 5 3 5 2 4" xfId="9305" xr:uid="{230EB3E0-04D6-4A23-8F06-205190AD0CF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BEE53821-AB6D-4ECE-A4A7-E6F1D7439BE1}"/>
    <cellStyle name="Currency 5 3 5 3 2 3" xfId="11863" xr:uid="{AA276ECB-5417-4A71-8053-D4E2682577A9}"/>
    <cellStyle name="Currency 5 3 5 3 3" xfId="5486" xr:uid="{00000000-0005-0000-0000-00002A0D0000}"/>
    <cellStyle name="Currency 5 3 5 3 3 2" xfId="13936" xr:uid="{4552363C-0F06-46AE-803D-3C03A08FE192}"/>
    <cellStyle name="Currency 5 3 5 3 4" xfId="9718" xr:uid="{35501817-0F6A-43D5-913E-7CC15CE7753B}"/>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F6F98D59-CF97-46E7-A330-AA8A57AB9C89}"/>
    <cellStyle name="Currency 5 3 5 4 2 3" xfId="12276" xr:uid="{04B1A831-496F-4D56-A6E8-F197E6F39CD4}"/>
    <cellStyle name="Currency 5 3 5 4 3" xfId="5899" xr:uid="{00000000-0005-0000-0000-00002E0D0000}"/>
    <cellStyle name="Currency 5 3 5 4 3 2" xfId="14349" xr:uid="{238CC54E-95A9-48B5-9B28-CDBD4985BDAC}"/>
    <cellStyle name="Currency 5 3 5 4 4" xfId="10131" xr:uid="{CA5DD28F-1427-4A02-A026-4FEC1BA13574}"/>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79C4FB87-ED4D-4ED1-95CD-2A3B95DC31AC}"/>
    <cellStyle name="Currency 5 3 5 5 2 3" xfId="12689" xr:uid="{8AE6FAA4-C27E-4B17-8376-37278E6C4745}"/>
    <cellStyle name="Currency 5 3 5 5 3" xfId="6312" xr:uid="{00000000-0005-0000-0000-0000320D0000}"/>
    <cellStyle name="Currency 5 3 5 5 3 2" xfId="14762" xr:uid="{8B8B86E6-D54B-426A-A51A-94C6823B2F6A}"/>
    <cellStyle name="Currency 5 3 5 5 4" xfId="10544" xr:uid="{7993615B-2E09-4FA9-9D08-C2382F7ECB95}"/>
    <cellStyle name="Currency 5 3 5 6" xfId="2441" xr:uid="{00000000-0005-0000-0000-0000330D0000}"/>
    <cellStyle name="Currency 5 3 5 6 2" xfId="6725" xr:uid="{00000000-0005-0000-0000-0000340D0000}"/>
    <cellStyle name="Currency 5 3 5 6 2 2" xfId="15175" xr:uid="{BCC53494-1E9A-49C7-9106-A893B6159C02}"/>
    <cellStyle name="Currency 5 3 5 6 3" xfId="10957" xr:uid="{7F86DDA4-3C65-451B-B39A-0A77DE939EB3}"/>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92C6261D-2F01-4530-81BD-E1A5D29727C4}"/>
    <cellStyle name="Currency 5 3 5 8 3" xfId="11274" xr:uid="{3F9D7411-BCCA-4922-9508-F68E8463E7F2}"/>
    <cellStyle name="Currency 5 3 5 9" xfId="4659" xr:uid="{00000000-0005-0000-0000-0000380D0000}"/>
    <cellStyle name="Currency 5 3 5 9 2" xfId="13109" xr:uid="{BF5B7470-EC43-4B96-835A-36203BD6AE4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4D049DD2-2DB4-4375-9E6A-45A1CF7DC5F7}"/>
    <cellStyle name="Currency 5 5 11" xfId="8892" xr:uid="{5D6BA037-6387-4E30-A58D-69C4763F1F18}"/>
    <cellStyle name="Currency 5 5 2" xfId="220" xr:uid="{00000000-0005-0000-0000-00003D0D0000}"/>
    <cellStyle name="Currency 5 5 2 10" xfId="8893" xr:uid="{472F1B24-D474-4838-9481-F17A2EB0B98D}"/>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29D1D284-92F0-48DE-AB7D-5BD441029487}"/>
    <cellStyle name="Currency 5 5 2 2 2 3" xfId="11452" xr:uid="{617027DF-ED7E-4A12-B626-8DAE00CBA237}"/>
    <cellStyle name="Currency 5 5 2 2 3" xfId="5075" xr:uid="{00000000-0005-0000-0000-0000410D0000}"/>
    <cellStyle name="Currency 5 5 2 2 3 2" xfId="13525" xr:uid="{C39E3A1F-64B8-4A68-82D4-0CF67CEE0215}"/>
    <cellStyle name="Currency 5 5 2 2 4" xfId="9307" xr:uid="{9A6978DC-A162-4A17-84CD-AE085AF3476D}"/>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A536D4D5-635B-43EB-901D-F1DF56AE49C8}"/>
    <cellStyle name="Currency 5 5 2 3 2 3" xfId="11865" xr:uid="{F7093801-9FAD-4691-B3DB-8A8404898ACC}"/>
    <cellStyle name="Currency 5 5 2 3 3" xfId="5488" xr:uid="{00000000-0005-0000-0000-0000450D0000}"/>
    <cellStyle name="Currency 5 5 2 3 3 2" xfId="13938" xr:uid="{92524418-1A83-424A-8FF2-4EEA47245A66}"/>
    <cellStyle name="Currency 5 5 2 3 4" xfId="9720" xr:uid="{C729167F-0901-4858-AEDA-705E7EE9647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60E2EE45-7BE0-42E9-AF8F-AFA82AA1BE5B}"/>
    <cellStyle name="Currency 5 5 2 4 2 3" xfId="12278" xr:uid="{3750764B-B510-409D-9A71-77FD16EF05A5}"/>
    <cellStyle name="Currency 5 5 2 4 3" xfId="5901" xr:uid="{00000000-0005-0000-0000-0000490D0000}"/>
    <cellStyle name="Currency 5 5 2 4 3 2" xfId="14351" xr:uid="{237BE295-02BC-44B2-BA68-2CC2FCB370FD}"/>
    <cellStyle name="Currency 5 5 2 4 4" xfId="10133" xr:uid="{06AE7E84-F3B9-4F31-AB79-0D6D116928E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8366DE45-D4AD-4B9C-A98E-D452D43397D2}"/>
    <cellStyle name="Currency 5 5 2 5 2 3" xfId="12691" xr:uid="{F04805C1-2CF6-48F3-A340-44F39DA3E904}"/>
    <cellStyle name="Currency 5 5 2 5 3" xfId="6314" xr:uid="{00000000-0005-0000-0000-00004D0D0000}"/>
    <cellStyle name="Currency 5 5 2 5 3 2" xfId="14764" xr:uid="{28DDDFA4-91C1-481D-A3E8-6C7DA056CBB6}"/>
    <cellStyle name="Currency 5 5 2 5 4" xfId="10546" xr:uid="{37FCBC25-A813-47B4-98CA-D34670BDFB22}"/>
    <cellStyle name="Currency 5 5 2 6" xfId="2443" xr:uid="{00000000-0005-0000-0000-00004E0D0000}"/>
    <cellStyle name="Currency 5 5 2 6 2" xfId="6727" xr:uid="{00000000-0005-0000-0000-00004F0D0000}"/>
    <cellStyle name="Currency 5 5 2 6 2 2" xfId="15177" xr:uid="{B863DC58-FE17-4608-86C8-39D484210DA3}"/>
    <cellStyle name="Currency 5 5 2 6 3" xfId="10959" xr:uid="{401A23D5-389F-45E3-88BD-9BD900F6053E}"/>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46C4BD30-F202-440B-B5E1-F0977CB49BE7}"/>
    <cellStyle name="Currency 5 5 2 8 3" xfId="11276" xr:uid="{02E215A9-DFE7-40E9-A286-342A68C2C7F4}"/>
    <cellStyle name="Currency 5 5 2 9" xfId="4661" xr:uid="{00000000-0005-0000-0000-0000530D0000}"/>
    <cellStyle name="Currency 5 5 2 9 2" xfId="13111" xr:uid="{F0178BAB-E7E4-4F1A-831A-336CBB02EFDA}"/>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3924AF25-BF4A-44A4-8BD0-5E0D91C44BB5}"/>
    <cellStyle name="Currency 5 5 3 2 3" xfId="11451" xr:uid="{93A98E1A-6A84-4C2F-B303-3A583A3B8ED1}"/>
    <cellStyle name="Currency 5 5 3 3" xfId="5074" xr:uid="{00000000-0005-0000-0000-0000570D0000}"/>
    <cellStyle name="Currency 5 5 3 3 2" xfId="13524" xr:uid="{7CF39642-D219-41A2-B91F-E43D7BC16F76}"/>
    <cellStyle name="Currency 5 5 3 4" xfId="9306" xr:uid="{9B79EF58-6573-4214-A594-B9416116A4A4}"/>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05F235BC-6F64-4750-BCAA-06C7B6E46589}"/>
    <cellStyle name="Currency 5 5 4 2 3" xfId="11864" xr:uid="{6ED9F10B-5B34-4AA7-B8A7-753DBAA7D487}"/>
    <cellStyle name="Currency 5 5 4 3" xfId="5487" xr:uid="{00000000-0005-0000-0000-00005B0D0000}"/>
    <cellStyle name="Currency 5 5 4 3 2" xfId="13937" xr:uid="{8E1E6B4A-1088-4012-88F5-B1C03D50E85C}"/>
    <cellStyle name="Currency 5 5 4 4" xfId="9719" xr:uid="{70421379-E5F6-4FEB-B1CD-A5A1B4C189B0}"/>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018EAFC3-A9EF-49B0-A077-FE5881827BCA}"/>
    <cellStyle name="Currency 5 5 5 2 3" xfId="12277" xr:uid="{1C5DCA57-55CC-489F-B36B-FCF8ED5C02D8}"/>
    <cellStyle name="Currency 5 5 5 3" xfId="5900" xr:uid="{00000000-0005-0000-0000-00005F0D0000}"/>
    <cellStyle name="Currency 5 5 5 3 2" xfId="14350" xr:uid="{363E190B-875E-4104-9B00-225460B2A360}"/>
    <cellStyle name="Currency 5 5 5 4" xfId="10132" xr:uid="{E491EEE4-2514-4386-928B-6CAEA65AE632}"/>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3B7FDB0D-ED51-4E5D-8AC1-2280B0892643}"/>
    <cellStyle name="Currency 5 5 6 2 3" xfId="12690" xr:uid="{73365141-EE9D-4FCD-8CDF-8A9ADE48CA4D}"/>
    <cellStyle name="Currency 5 5 6 3" xfId="6313" xr:uid="{00000000-0005-0000-0000-0000630D0000}"/>
    <cellStyle name="Currency 5 5 6 3 2" xfId="14763" xr:uid="{D2886F9E-9EDD-4015-A435-31E981043B09}"/>
    <cellStyle name="Currency 5 5 6 4" xfId="10545" xr:uid="{2BAC96FF-544E-4E1C-9F4F-942C42622BB3}"/>
    <cellStyle name="Currency 5 5 7" xfId="2442" xr:uid="{00000000-0005-0000-0000-0000640D0000}"/>
    <cellStyle name="Currency 5 5 7 2" xfId="6726" xr:uid="{00000000-0005-0000-0000-0000650D0000}"/>
    <cellStyle name="Currency 5 5 7 2 2" xfId="15176" xr:uid="{E78C416F-6772-4013-9967-7E2AD51D3CA8}"/>
    <cellStyle name="Currency 5 5 7 3" xfId="10958" xr:uid="{7FC12517-DB0A-4978-A2F7-60B586D5E8A2}"/>
    <cellStyle name="Currency 5 5 8" xfId="2739" xr:uid="{00000000-0005-0000-0000-0000660D0000}"/>
    <cellStyle name="Currency 5 5 9" xfId="2820" xr:uid="{00000000-0005-0000-0000-0000670D0000}"/>
    <cellStyle name="Currency 5 5 9 2" xfId="7043" xr:uid="{00000000-0005-0000-0000-0000680D0000}"/>
    <cellStyle name="Currency 5 5 9 2 2" xfId="15493" xr:uid="{86A0D0EC-0CF0-49AE-BCC1-FE0AEC90C46B}"/>
    <cellStyle name="Currency 5 5 9 3" xfId="11275" xr:uid="{C2FB397F-19DC-4233-8248-83C225C1BACA}"/>
    <cellStyle name="Currency 5 6" xfId="221" xr:uid="{00000000-0005-0000-0000-0000690D0000}"/>
    <cellStyle name="Currency 5 6 10" xfId="8894" xr:uid="{B58A365B-3E5B-42A1-9423-4F58C1E454C1}"/>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83E28661-FC54-4575-9760-9E6D3F53E913}"/>
    <cellStyle name="Currency 5 6 2 2 3" xfId="11453" xr:uid="{EDEEE7DC-8983-4C39-A7DD-B63550FF5206}"/>
    <cellStyle name="Currency 5 6 2 3" xfId="5076" xr:uid="{00000000-0005-0000-0000-00006D0D0000}"/>
    <cellStyle name="Currency 5 6 2 3 2" xfId="13526" xr:uid="{30A9C061-C252-448B-9694-839D78420970}"/>
    <cellStyle name="Currency 5 6 2 4" xfId="9308" xr:uid="{70CB5311-9350-4865-8E6D-5313543A007C}"/>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E9C3F41A-9320-4F13-A43B-A65CE5DAEB83}"/>
    <cellStyle name="Currency 5 6 3 2 3" xfId="11866" xr:uid="{9AA986E2-F21A-4439-BA3C-074D3EB0F9C3}"/>
    <cellStyle name="Currency 5 6 3 3" xfId="5489" xr:uid="{00000000-0005-0000-0000-0000710D0000}"/>
    <cellStyle name="Currency 5 6 3 3 2" xfId="13939" xr:uid="{E3998474-66EA-42EC-B7A6-5A44D2BEF03C}"/>
    <cellStyle name="Currency 5 6 3 4" xfId="9721" xr:uid="{3349F1F6-03E6-45E5-989F-712627769C0B}"/>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D65D0BCA-6C23-411C-A25D-F797AD766F9A}"/>
    <cellStyle name="Currency 5 6 4 2 3" xfId="12279" xr:uid="{C5EAC102-9C33-4AEE-AD0E-ABDF3C51CC00}"/>
    <cellStyle name="Currency 5 6 4 3" xfId="5902" xr:uid="{00000000-0005-0000-0000-0000750D0000}"/>
    <cellStyle name="Currency 5 6 4 3 2" xfId="14352" xr:uid="{96DF6346-BE7C-419B-9D1C-36EB8A39AB35}"/>
    <cellStyle name="Currency 5 6 4 4" xfId="10134" xr:uid="{3948C7D5-F611-43CA-8BDD-521E489D8C9E}"/>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144E8F0E-B8EE-4C23-A19C-3483BAF25BB9}"/>
    <cellStyle name="Currency 5 6 5 2 3" xfId="12692" xr:uid="{1CF68047-D047-4453-8382-F6FBB46AA3D1}"/>
    <cellStyle name="Currency 5 6 5 3" xfId="6315" xr:uid="{00000000-0005-0000-0000-0000790D0000}"/>
    <cellStyle name="Currency 5 6 5 3 2" xfId="14765" xr:uid="{F7030ECE-BD45-43DA-9067-25522D350BF8}"/>
    <cellStyle name="Currency 5 6 5 4" xfId="10547" xr:uid="{3874F1E3-7BB4-4C3E-A2FD-13858E367C87}"/>
    <cellStyle name="Currency 5 6 6" xfId="2444" xr:uid="{00000000-0005-0000-0000-00007A0D0000}"/>
    <cellStyle name="Currency 5 6 6 2" xfId="6728" xr:uid="{00000000-0005-0000-0000-00007B0D0000}"/>
    <cellStyle name="Currency 5 6 6 2 2" xfId="15178" xr:uid="{9A12ED6D-5C19-43F7-AB75-FFCC54A42ED9}"/>
    <cellStyle name="Currency 5 6 6 3" xfId="10960" xr:uid="{48F82516-88ED-4AD9-B2A0-1DB3BC764C4E}"/>
    <cellStyle name="Currency 5 6 7" xfId="2741" xr:uid="{00000000-0005-0000-0000-00007C0D0000}"/>
    <cellStyle name="Currency 5 6 8" xfId="2822" xr:uid="{00000000-0005-0000-0000-00007D0D0000}"/>
    <cellStyle name="Currency 5 6 8 2" xfId="7045" xr:uid="{00000000-0005-0000-0000-00007E0D0000}"/>
    <cellStyle name="Currency 5 6 8 2 2" xfId="15495" xr:uid="{7C80DD11-227C-403D-8193-1094A881B292}"/>
    <cellStyle name="Currency 5 6 8 3" xfId="11277" xr:uid="{14C1F43A-0709-4E3D-BD6D-2FB464427E51}"/>
    <cellStyle name="Currency 5 6 9" xfId="4662" xr:uid="{00000000-0005-0000-0000-00007F0D0000}"/>
    <cellStyle name="Currency 5 6 9 2" xfId="13112" xr:uid="{6723C899-D943-4B85-A965-1EC6683AAC68}"/>
    <cellStyle name="Currency 5 7" xfId="222" xr:uid="{00000000-0005-0000-0000-0000800D0000}"/>
    <cellStyle name="Currency 5 7 10" xfId="8895" xr:uid="{98A2297A-AB09-4EBA-9233-A52EFA061461}"/>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A79B16A7-EF93-4010-B9A8-446C534FAAE0}"/>
    <cellStyle name="Currency 5 7 2 2 3" xfId="11454" xr:uid="{E0EA3E62-AACF-47BE-A39F-2B0C552FFCB7}"/>
    <cellStyle name="Currency 5 7 2 3" xfId="5077" xr:uid="{00000000-0005-0000-0000-0000840D0000}"/>
    <cellStyle name="Currency 5 7 2 3 2" xfId="13527" xr:uid="{5EDA9AAF-A5D6-48DC-8609-9254CB82F2AF}"/>
    <cellStyle name="Currency 5 7 2 4" xfId="9309" xr:uid="{E26B0E53-A81A-44E2-AD1E-224B12F294D2}"/>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42913AF6-98D1-47E4-9C84-3865C4E37DD4}"/>
    <cellStyle name="Currency 5 7 3 2 3" xfId="11867" xr:uid="{FFDEC0B5-9A5A-4D86-A8CC-C58D676F1D10}"/>
    <cellStyle name="Currency 5 7 3 3" xfId="5490" xr:uid="{00000000-0005-0000-0000-0000880D0000}"/>
    <cellStyle name="Currency 5 7 3 3 2" xfId="13940" xr:uid="{93C89337-BD5D-45A4-855B-56EEE262A6A2}"/>
    <cellStyle name="Currency 5 7 3 4" xfId="9722" xr:uid="{B350D9BF-4215-419B-86EF-A7E331076C93}"/>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A94D0634-6223-4B49-9924-D35742ADCEE2}"/>
    <cellStyle name="Currency 5 7 4 2 3" xfId="12280" xr:uid="{4CBF559E-1511-4FC1-9705-3EECD120EC70}"/>
    <cellStyle name="Currency 5 7 4 3" xfId="5903" xr:uid="{00000000-0005-0000-0000-00008C0D0000}"/>
    <cellStyle name="Currency 5 7 4 3 2" xfId="14353" xr:uid="{1CA9FD44-821B-4A16-AA94-69F50087B5C8}"/>
    <cellStyle name="Currency 5 7 4 4" xfId="10135" xr:uid="{078E77D0-E86B-4F28-8605-64F400BEB1A5}"/>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A347C808-9019-4ECF-8DCD-7CD2C5733989}"/>
    <cellStyle name="Currency 5 7 5 2 3" xfId="12693" xr:uid="{4D1961A3-09F1-403C-818A-97E5F38E95C6}"/>
    <cellStyle name="Currency 5 7 5 3" xfId="6316" xr:uid="{00000000-0005-0000-0000-0000900D0000}"/>
    <cellStyle name="Currency 5 7 5 3 2" xfId="14766" xr:uid="{B12DB89C-7949-46D5-A029-AAF11C8D57C2}"/>
    <cellStyle name="Currency 5 7 5 4" xfId="10548" xr:uid="{2B114A47-B93E-46A8-82E5-5994624C97D4}"/>
    <cellStyle name="Currency 5 7 6" xfId="2445" xr:uid="{00000000-0005-0000-0000-0000910D0000}"/>
    <cellStyle name="Currency 5 7 6 2" xfId="6729" xr:uid="{00000000-0005-0000-0000-0000920D0000}"/>
    <cellStyle name="Currency 5 7 6 2 2" xfId="15179" xr:uid="{75AD5A82-6865-4B96-842B-B62CA50ABA15}"/>
    <cellStyle name="Currency 5 7 6 3" xfId="10961" xr:uid="{C36F68E6-BD1A-4EB5-B5FD-917E0D23D702}"/>
    <cellStyle name="Currency 5 7 7" xfId="2742" xr:uid="{00000000-0005-0000-0000-0000930D0000}"/>
    <cellStyle name="Currency 5 7 8" xfId="2823" xr:uid="{00000000-0005-0000-0000-0000940D0000}"/>
    <cellStyle name="Currency 5 7 8 2" xfId="7046" xr:uid="{00000000-0005-0000-0000-0000950D0000}"/>
    <cellStyle name="Currency 5 7 8 2 2" xfId="15496" xr:uid="{9A164789-724E-472C-987F-C7E8E836380B}"/>
    <cellStyle name="Currency 5 7 8 3" xfId="11278" xr:uid="{2DF20488-8048-4D88-9F2B-701CF3770261}"/>
    <cellStyle name="Currency 5 7 9" xfId="4663" xr:uid="{00000000-0005-0000-0000-0000960D0000}"/>
    <cellStyle name="Currency 5 7 9 2" xfId="13113" xr:uid="{9A0F0F66-AEFB-4FD7-9E20-2B7ECA3CCCBA}"/>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EB899C1D-4E15-4BAC-A67D-2C100D8E59F9}"/>
    <cellStyle name="Normal 12 10 3" xfId="10962" xr:uid="{18DB461D-C41A-45C8-A65B-81DA6E409B63}"/>
    <cellStyle name="Normal 12 11" xfId="4664" xr:uid="{00000000-0005-0000-0000-0000CC0D0000}"/>
    <cellStyle name="Normal 12 11 2" xfId="13114" xr:uid="{CEE63946-EA72-4F12-97DA-883688B9A991}"/>
    <cellStyle name="Normal 12 12" xfId="8896" xr:uid="{0A4ECB7C-DBE4-43FB-BDA9-920C5A324BE3}"/>
    <cellStyle name="Normal 12 2" xfId="260" xr:uid="{00000000-0005-0000-0000-0000CD0D0000}"/>
    <cellStyle name="Normal 12 2 10" xfId="8897" xr:uid="{E234A0A6-E98E-494F-B173-5BBCC4C4B1D1}"/>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1993B65B-986B-424E-993D-779C30655C60}"/>
    <cellStyle name="Normal 12 2 2 2 2 2 3" xfId="11458" xr:uid="{AAD64AD6-D949-4047-B390-9DB753AA88CA}"/>
    <cellStyle name="Normal 12 2 2 2 2 3" xfId="5081" xr:uid="{00000000-0005-0000-0000-0000D30D0000}"/>
    <cellStyle name="Normal 12 2 2 2 2 3 2" xfId="13531" xr:uid="{FC55D43B-AFE8-485D-B090-287F764D5667}"/>
    <cellStyle name="Normal 12 2 2 2 2 4" xfId="9313" xr:uid="{C07F56A1-42FC-48D8-AB3E-51C31B99C51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584AD2E8-D0F4-494D-963D-D8363E0C51F0}"/>
    <cellStyle name="Normal 12 2 2 2 3 2 3" xfId="11871" xr:uid="{B1334682-3F2A-42FE-89B9-9C08E7F8A069}"/>
    <cellStyle name="Normal 12 2 2 2 3 3" xfId="5494" xr:uid="{00000000-0005-0000-0000-0000D70D0000}"/>
    <cellStyle name="Normal 12 2 2 2 3 3 2" xfId="13944" xr:uid="{231348FE-F102-45C5-8255-D763F9087D49}"/>
    <cellStyle name="Normal 12 2 2 2 3 4" xfId="9726" xr:uid="{6037EFD0-75B9-42F5-B8DD-4576118B2FA4}"/>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D753766E-DB16-41CB-8F5B-DAF67B4533FF}"/>
    <cellStyle name="Normal 12 2 2 2 4 2 3" xfId="12284" xr:uid="{A541A2AF-D72D-4095-8B29-C6B33322F7F8}"/>
    <cellStyle name="Normal 12 2 2 2 4 3" xfId="5907" xr:uid="{00000000-0005-0000-0000-0000DB0D0000}"/>
    <cellStyle name="Normal 12 2 2 2 4 3 2" xfId="14357" xr:uid="{B48CB575-1DEE-477A-A58A-3B52084085CA}"/>
    <cellStyle name="Normal 12 2 2 2 4 4" xfId="10139" xr:uid="{450F597C-4DED-4416-96B2-477001B330F3}"/>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13B509D3-0BD2-40F3-9893-3677AE77FDB9}"/>
    <cellStyle name="Normal 12 2 2 2 5 2 3" xfId="12697" xr:uid="{2BABF326-2B3E-4D4A-A940-48CEFECFE16B}"/>
    <cellStyle name="Normal 12 2 2 2 5 3" xfId="6320" xr:uid="{00000000-0005-0000-0000-0000DF0D0000}"/>
    <cellStyle name="Normal 12 2 2 2 5 3 2" xfId="14770" xr:uid="{D70EBF39-D133-4937-92C4-AB5E834A9329}"/>
    <cellStyle name="Normal 12 2 2 2 5 4" xfId="10552" xr:uid="{3E60E558-5FFC-48BD-96DA-31AC4BA2DC5A}"/>
    <cellStyle name="Normal 12 2 2 2 6" xfId="2450" xr:uid="{00000000-0005-0000-0000-0000E00D0000}"/>
    <cellStyle name="Normal 12 2 2 2 6 2" xfId="6733" xr:uid="{00000000-0005-0000-0000-0000E10D0000}"/>
    <cellStyle name="Normal 12 2 2 2 6 2 2" xfId="15183" xr:uid="{24AA54F6-0C46-408B-8E7A-4EC9458D99FC}"/>
    <cellStyle name="Normal 12 2 2 2 6 3" xfId="10965" xr:uid="{80138C06-9749-473C-8D05-CA058A9137D7}"/>
    <cellStyle name="Normal 12 2 2 2 7" xfId="4667" xr:uid="{00000000-0005-0000-0000-0000E20D0000}"/>
    <cellStyle name="Normal 12 2 2 2 7 2" xfId="13117" xr:uid="{F203CC1A-2B7C-47FD-8CB6-02BDCFCA7AB0}"/>
    <cellStyle name="Normal 12 2 2 2 8" xfId="8899" xr:uid="{AB7F7608-0AC1-415B-B81F-477A0F18A224}"/>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02B520E0-0093-4BCA-AB46-A51283FDC713}"/>
    <cellStyle name="Normal 12 2 2 3 2 3" xfId="11457" xr:uid="{337848C7-F408-415D-86B6-240E91A20124}"/>
    <cellStyle name="Normal 12 2 2 3 3" xfId="5080" xr:uid="{00000000-0005-0000-0000-0000E60D0000}"/>
    <cellStyle name="Normal 12 2 2 3 3 2" xfId="13530" xr:uid="{4A5C390C-7B30-46A1-807E-7A52B32D7916}"/>
    <cellStyle name="Normal 12 2 2 3 4" xfId="9312" xr:uid="{115B2DA0-0A3C-4C81-AB3B-147F9A669D55}"/>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3D24EA1C-5B3E-41DF-B259-8570C41A8274}"/>
    <cellStyle name="Normal 12 2 2 4 2 3" xfId="11870" xr:uid="{54A7AC78-57D6-40BC-8352-C69314E2F9B9}"/>
    <cellStyle name="Normal 12 2 2 4 3" xfId="5493" xr:uid="{00000000-0005-0000-0000-0000EA0D0000}"/>
    <cellStyle name="Normal 12 2 2 4 3 2" xfId="13943" xr:uid="{D008C811-81D0-4108-A5F7-0C45CABB7BC2}"/>
    <cellStyle name="Normal 12 2 2 4 4" xfId="9725" xr:uid="{27D45682-572C-4215-B015-35BF1026B271}"/>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2821C023-C964-442A-9DF3-44C7EBDC2E37}"/>
    <cellStyle name="Normal 12 2 2 5 2 3" xfId="12283" xr:uid="{C3D506C5-3E5F-487F-B694-E2568557518C}"/>
    <cellStyle name="Normal 12 2 2 5 3" xfId="5906" xr:uid="{00000000-0005-0000-0000-0000EE0D0000}"/>
    <cellStyle name="Normal 12 2 2 5 3 2" xfId="14356" xr:uid="{A96C2444-69A9-40A8-99A7-FBF193250FFC}"/>
    <cellStyle name="Normal 12 2 2 5 4" xfId="10138" xr:uid="{F678995F-2E9C-4EC8-8C98-B2F3DDA738A1}"/>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DD82100F-DC11-45A0-8B19-C49086A74EA5}"/>
    <cellStyle name="Normal 12 2 2 6 2 3" xfId="12696" xr:uid="{DB8E9624-D78F-49A4-B61C-4FF33225C194}"/>
    <cellStyle name="Normal 12 2 2 6 3" xfId="6319" xr:uid="{00000000-0005-0000-0000-0000F20D0000}"/>
    <cellStyle name="Normal 12 2 2 6 3 2" xfId="14769" xr:uid="{8A0FFD65-3B2F-4CC0-B94F-52EE97837FB0}"/>
    <cellStyle name="Normal 12 2 2 6 4" xfId="10551" xr:uid="{E8D2B769-996A-4AC4-9926-11CE6E68C97E}"/>
    <cellStyle name="Normal 12 2 2 7" xfId="2449" xr:uid="{00000000-0005-0000-0000-0000F30D0000}"/>
    <cellStyle name="Normal 12 2 2 7 2" xfId="6732" xr:uid="{00000000-0005-0000-0000-0000F40D0000}"/>
    <cellStyle name="Normal 12 2 2 7 2 2" xfId="15182" xr:uid="{A3AEDD1D-222C-4ED3-8695-31E69E14E597}"/>
    <cellStyle name="Normal 12 2 2 7 3" xfId="10964" xr:uid="{9CF11C13-5E85-401E-8C5B-AAA4B0572AE7}"/>
    <cellStyle name="Normal 12 2 2 8" xfId="4666" xr:uid="{00000000-0005-0000-0000-0000F50D0000}"/>
    <cellStyle name="Normal 12 2 2 8 2" xfId="13116" xr:uid="{8EE2BBEB-DF01-4E6A-8AA3-3F6525E9D0E1}"/>
    <cellStyle name="Normal 12 2 2 9" xfId="8898" xr:uid="{C6F94D1F-06E7-4985-A72B-7938057D5A6E}"/>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A1326B9F-5B4B-49D9-86E9-73CF81C85AD6}"/>
    <cellStyle name="Normal 12 2 3 2 2 3" xfId="11459" xr:uid="{2D249C59-D26A-4517-B43A-134EA91BD43E}"/>
    <cellStyle name="Normal 12 2 3 2 3" xfId="5082" xr:uid="{00000000-0005-0000-0000-0000FA0D0000}"/>
    <cellStyle name="Normal 12 2 3 2 3 2" xfId="13532" xr:uid="{D4CDE7C1-EBA1-4229-A1F9-0880E58FDB65}"/>
    <cellStyle name="Normal 12 2 3 2 4" xfId="9314" xr:uid="{DDB2D865-FDD7-45A6-870C-F1B5F4C21EA2}"/>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E86C0F0C-1652-4147-B610-8C9547862427}"/>
    <cellStyle name="Normal 12 2 3 3 2 3" xfId="11872" xr:uid="{922F288D-DBDD-4AEF-A23D-F9FF950FE553}"/>
    <cellStyle name="Normal 12 2 3 3 3" xfId="5495" xr:uid="{00000000-0005-0000-0000-0000FE0D0000}"/>
    <cellStyle name="Normal 12 2 3 3 3 2" xfId="13945" xr:uid="{9D1D1148-F461-44E7-A2F5-9F530C48C08F}"/>
    <cellStyle name="Normal 12 2 3 3 4" xfId="9727" xr:uid="{89A5A676-AFD0-48F5-8A54-3C6B991415D8}"/>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4C90CCC7-F8F1-4C57-BD2C-8AE8874109FE}"/>
    <cellStyle name="Normal 12 2 3 4 2 3" xfId="12285" xr:uid="{32606858-060A-461F-AA04-0C5598FA0469}"/>
    <cellStyle name="Normal 12 2 3 4 3" xfId="5908" xr:uid="{00000000-0005-0000-0000-0000020E0000}"/>
    <cellStyle name="Normal 12 2 3 4 3 2" xfId="14358" xr:uid="{41679891-5044-44F7-9225-DB307FA66914}"/>
    <cellStyle name="Normal 12 2 3 4 4" xfId="10140" xr:uid="{E8579340-92C1-4F1C-96D5-542685AA893B}"/>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8F2C5831-BFB9-48EE-AB72-FAC3DF3EA994}"/>
    <cellStyle name="Normal 12 2 3 5 2 3" xfId="12698" xr:uid="{00AD7978-36B9-4DC5-ACD3-FB71F57FBEDF}"/>
    <cellStyle name="Normal 12 2 3 5 3" xfId="6321" xr:uid="{00000000-0005-0000-0000-0000060E0000}"/>
    <cellStyle name="Normal 12 2 3 5 3 2" xfId="14771" xr:uid="{9D4D2830-19BE-4AEE-A286-8FEA507EF8B9}"/>
    <cellStyle name="Normal 12 2 3 5 4" xfId="10553" xr:uid="{AF21C085-2807-453A-A257-FD6795A38F44}"/>
    <cellStyle name="Normal 12 2 3 6" xfId="2451" xr:uid="{00000000-0005-0000-0000-0000070E0000}"/>
    <cellStyle name="Normal 12 2 3 6 2" xfId="6734" xr:uid="{00000000-0005-0000-0000-0000080E0000}"/>
    <cellStyle name="Normal 12 2 3 6 2 2" xfId="15184" xr:uid="{99798D70-2987-40F0-BCC1-B091BFB7452C}"/>
    <cellStyle name="Normal 12 2 3 6 3" xfId="10966" xr:uid="{C5CB5B05-DA7B-4916-B1C8-BF019D268DE5}"/>
    <cellStyle name="Normal 12 2 3 7" xfId="4668" xr:uid="{00000000-0005-0000-0000-0000090E0000}"/>
    <cellStyle name="Normal 12 2 3 7 2" xfId="13118" xr:uid="{231EBC29-570A-43AB-B53B-67EB10174931}"/>
    <cellStyle name="Normal 12 2 3 8" xfId="8900" xr:uid="{0DAE78B7-E90F-467A-BB1A-D4AB86965966}"/>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BD0359A3-57A2-444E-B015-94335674469E}"/>
    <cellStyle name="Normal 12 2 4 2 3" xfId="11456" xr:uid="{88706F6C-EDAA-43EC-8F8E-4B19512B5B44}"/>
    <cellStyle name="Normal 12 2 4 3" xfId="5079" xr:uid="{00000000-0005-0000-0000-00000D0E0000}"/>
    <cellStyle name="Normal 12 2 4 3 2" xfId="13529" xr:uid="{89EFA4D3-C3FE-4BEC-8EA5-4B146D81D343}"/>
    <cellStyle name="Normal 12 2 4 4" xfId="9311" xr:uid="{660A312B-2D9A-428C-9C74-62FC54D44383}"/>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7B51E89F-B5EE-44EC-8F9F-CD1093766756}"/>
    <cellStyle name="Normal 12 2 5 2 3" xfId="11869" xr:uid="{F95885C4-99A6-419F-AB0E-FF7B4D1A1167}"/>
    <cellStyle name="Normal 12 2 5 3" xfId="5492" xr:uid="{00000000-0005-0000-0000-0000110E0000}"/>
    <cellStyle name="Normal 12 2 5 3 2" xfId="13942" xr:uid="{4E212658-622F-46E6-A77B-0C3C36292913}"/>
    <cellStyle name="Normal 12 2 5 4" xfId="9724" xr:uid="{BE62A330-2332-4A45-90C0-91EF02212483}"/>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2D6CFFE8-86C1-484D-8C84-93FA59EAB4BF}"/>
    <cellStyle name="Normal 12 2 6 2 3" xfId="12282" xr:uid="{F59F62DC-95B7-4EF5-BDF8-3574BB118A8D}"/>
    <cellStyle name="Normal 12 2 6 3" xfId="5905" xr:uid="{00000000-0005-0000-0000-0000150E0000}"/>
    <cellStyle name="Normal 12 2 6 3 2" xfId="14355" xr:uid="{417DAF60-6807-49AA-AB00-B12881796E4B}"/>
    <cellStyle name="Normal 12 2 6 4" xfId="10137" xr:uid="{05A53652-A828-4E4A-8E47-1955497015C0}"/>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936415FD-507E-49F5-A7CC-67A390BE8EF1}"/>
    <cellStyle name="Normal 12 2 7 2 3" xfId="12695" xr:uid="{82D2F81F-7857-4573-9D6A-87B00C834315}"/>
    <cellStyle name="Normal 12 2 7 3" xfId="6318" xr:uid="{00000000-0005-0000-0000-0000190E0000}"/>
    <cellStyle name="Normal 12 2 7 3 2" xfId="14768" xr:uid="{D7EB5C35-C70B-48A5-B411-CB3721C6A87E}"/>
    <cellStyle name="Normal 12 2 7 4" xfId="10550" xr:uid="{2CF253DB-34DF-471D-A9D4-E2FA70B67F2A}"/>
    <cellStyle name="Normal 12 2 8" xfId="2448" xr:uid="{00000000-0005-0000-0000-00001A0E0000}"/>
    <cellStyle name="Normal 12 2 8 2" xfId="6731" xr:uid="{00000000-0005-0000-0000-00001B0E0000}"/>
    <cellStyle name="Normal 12 2 8 2 2" xfId="15181" xr:uid="{06F76A99-CBE1-4BD7-A641-B9FAF5986E2F}"/>
    <cellStyle name="Normal 12 2 8 3" xfId="10963" xr:uid="{1339B1D7-F8E6-445D-B601-F3CB363230CB}"/>
    <cellStyle name="Normal 12 2 9" xfId="4665" xr:uid="{00000000-0005-0000-0000-00001C0E0000}"/>
    <cellStyle name="Normal 12 2 9 2" xfId="13115" xr:uid="{C4B56DCA-CE55-4620-876E-581D0B0C0E8A}"/>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F47DE2E8-E3C4-4163-AB79-5F40696FCDB7}"/>
    <cellStyle name="Normal 12 3 2 2 2 3" xfId="11461" xr:uid="{BD847F9F-4D21-44C7-8014-ADC64D3ABA0D}"/>
    <cellStyle name="Normal 12 3 2 2 3" xfId="5084" xr:uid="{00000000-0005-0000-0000-0000220E0000}"/>
    <cellStyle name="Normal 12 3 2 2 3 2" xfId="13534" xr:uid="{38D20E76-ADB4-45E3-A235-EBD3EE2DE774}"/>
    <cellStyle name="Normal 12 3 2 2 4" xfId="9316" xr:uid="{44480B63-CAD9-41DA-974C-D633F911D4F1}"/>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099130DF-D6CC-4C8B-ADA1-B6BFF40EE6D4}"/>
    <cellStyle name="Normal 12 3 2 3 2 3" xfId="11874" xr:uid="{50F04331-4F8D-49B2-AAA2-8579165EC4D3}"/>
    <cellStyle name="Normal 12 3 2 3 3" xfId="5497" xr:uid="{00000000-0005-0000-0000-0000260E0000}"/>
    <cellStyle name="Normal 12 3 2 3 3 2" xfId="13947" xr:uid="{8C70FA02-412E-440D-8404-18E1FA105022}"/>
    <cellStyle name="Normal 12 3 2 3 4" xfId="9729" xr:uid="{2F795609-403E-477A-949B-60A70B6E882D}"/>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5F45CEF6-F02A-478D-AD4E-25CE7B83441E}"/>
    <cellStyle name="Normal 12 3 2 4 2 3" xfId="12287" xr:uid="{B6C2E627-3BF9-44B0-8889-79C0DBFAC31E}"/>
    <cellStyle name="Normal 12 3 2 4 3" xfId="5910" xr:uid="{00000000-0005-0000-0000-00002A0E0000}"/>
    <cellStyle name="Normal 12 3 2 4 3 2" xfId="14360" xr:uid="{477F1378-A479-4822-BEC0-2A4E46CBED2D}"/>
    <cellStyle name="Normal 12 3 2 4 4" xfId="10142" xr:uid="{785B4B64-5CB4-472C-9351-8C9CAE68BBC1}"/>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9800FD81-3C3B-4BBF-8730-0CF61D527C27}"/>
    <cellStyle name="Normal 12 3 2 5 2 3" xfId="12700" xr:uid="{BB0AEFC4-BE36-44F9-B437-13352616911B}"/>
    <cellStyle name="Normal 12 3 2 5 3" xfId="6323" xr:uid="{00000000-0005-0000-0000-00002E0E0000}"/>
    <cellStyle name="Normal 12 3 2 5 3 2" xfId="14773" xr:uid="{AF2E57FB-935A-4B40-AEB4-F7856AFAB779}"/>
    <cellStyle name="Normal 12 3 2 5 4" xfId="10555" xr:uid="{6EBF6375-8029-49A8-9496-97FF3376B50C}"/>
    <cellStyle name="Normal 12 3 2 6" xfId="2453" xr:uid="{00000000-0005-0000-0000-00002F0E0000}"/>
    <cellStyle name="Normal 12 3 2 6 2" xfId="6736" xr:uid="{00000000-0005-0000-0000-0000300E0000}"/>
    <cellStyle name="Normal 12 3 2 6 2 2" xfId="15186" xr:uid="{693BDFD4-C1A8-49CE-92AB-C5DE817D0265}"/>
    <cellStyle name="Normal 12 3 2 6 3" xfId="10968" xr:uid="{A378C0F6-F601-4E9A-9DB2-690D5D08F5BD}"/>
    <cellStyle name="Normal 12 3 2 7" xfId="4670" xr:uid="{00000000-0005-0000-0000-0000310E0000}"/>
    <cellStyle name="Normal 12 3 2 7 2" xfId="13120" xr:uid="{BFF8072C-7CCC-4A8B-8D7F-760B9C7AE491}"/>
    <cellStyle name="Normal 12 3 2 8" xfId="8902" xr:uid="{B54FC4F2-0BF3-4D8A-A631-9DD5A5765DF8}"/>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A233D208-C558-4244-832B-B818FBCF1E09}"/>
    <cellStyle name="Normal 12 3 3 2 3" xfId="11460" xr:uid="{1936186A-2BF9-4559-B906-817782839EA0}"/>
    <cellStyle name="Normal 12 3 3 3" xfId="5083" xr:uid="{00000000-0005-0000-0000-0000350E0000}"/>
    <cellStyle name="Normal 12 3 3 3 2" xfId="13533" xr:uid="{83284DA1-8BA4-44D6-9A7B-C5A524896B50}"/>
    <cellStyle name="Normal 12 3 3 4" xfId="9315" xr:uid="{0829A898-A3FF-442D-A3ED-FB1E40FD5228}"/>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DD06088B-D71D-4A20-845F-B865C340F752}"/>
    <cellStyle name="Normal 12 3 4 2 3" xfId="11873" xr:uid="{B0591B65-510D-4873-A9FC-A18EA5C532F7}"/>
    <cellStyle name="Normal 12 3 4 3" xfId="5496" xr:uid="{00000000-0005-0000-0000-0000390E0000}"/>
    <cellStyle name="Normal 12 3 4 3 2" xfId="13946" xr:uid="{3E7AD51B-303A-42DC-84F8-FA508F01FD9C}"/>
    <cellStyle name="Normal 12 3 4 4" xfId="9728" xr:uid="{69F662C4-840F-4B43-91E0-992FE0BBE55C}"/>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FF67EA4A-FF54-421C-B132-76EFE3FBC711}"/>
    <cellStyle name="Normal 12 3 5 2 3" xfId="12286" xr:uid="{EAABE916-0FD1-4E15-B3A6-8991AC0B0410}"/>
    <cellStyle name="Normal 12 3 5 3" xfId="5909" xr:uid="{00000000-0005-0000-0000-00003D0E0000}"/>
    <cellStyle name="Normal 12 3 5 3 2" xfId="14359" xr:uid="{A5806141-CC55-4244-90E9-F1FA70E200E4}"/>
    <cellStyle name="Normal 12 3 5 4" xfId="10141" xr:uid="{DF8F1E42-E455-4A97-B921-C4CD678C5C0D}"/>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F8468E32-E0D2-4AEC-9DC3-9171FBE20E3D}"/>
    <cellStyle name="Normal 12 3 6 2 3" xfId="12699" xr:uid="{613397B3-8D32-4AC0-9A18-36B9DD03275E}"/>
    <cellStyle name="Normal 12 3 6 3" xfId="6322" xr:uid="{00000000-0005-0000-0000-0000410E0000}"/>
    <cellStyle name="Normal 12 3 6 3 2" xfId="14772" xr:uid="{407FCB74-3EFC-4B70-8991-9C2FA85A07A6}"/>
    <cellStyle name="Normal 12 3 6 4" xfId="10554" xr:uid="{AB1E203C-4CC8-4170-91EE-675F94A75515}"/>
    <cellStyle name="Normal 12 3 7" xfId="2452" xr:uid="{00000000-0005-0000-0000-0000420E0000}"/>
    <cellStyle name="Normal 12 3 7 2" xfId="6735" xr:uid="{00000000-0005-0000-0000-0000430E0000}"/>
    <cellStyle name="Normal 12 3 7 2 2" xfId="15185" xr:uid="{5DA7BC9E-8E6C-43E7-9948-C3B29C6C4F09}"/>
    <cellStyle name="Normal 12 3 7 3" xfId="10967" xr:uid="{0CDDBBEF-04FF-4DD5-9C46-F108C9252D1F}"/>
    <cellStyle name="Normal 12 3 8" xfId="4669" xr:uid="{00000000-0005-0000-0000-0000440E0000}"/>
    <cellStyle name="Normal 12 3 8 2" xfId="13119" xr:uid="{8FA183AE-3D90-436F-B44B-445F9B26ACBA}"/>
    <cellStyle name="Normal 12 3 9" xfId="8901" xr:uid="{47B32BA5-D14D-4F8B-B01A-5A6FF0812802}"/>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428889BA-DA3C-4389-86D6-F3F8A8043C87}"/>
    <cellStyle name="Normal 12 4 2 2 3" xfId="11462" xr:uid="{1F3A615A-E555-4C31-AE7B-3DF07F87D645}"/>
    <cellStyle name="Normal 12 4 2 3" xfId="5085" xr:uid="{00000000-0005-0000-0000-0000490E0000}"/>
    <cellStyle name="Normal 12 4 2 3 2" xfId="13535" xr:uid="{205AE036-B9D8-4400-896C-AC8503DBB22A}"/>
    <cellStyle name="Normal 12 4 2 4" xfId="9317" xr:uid="{6F41257A-BB51-4495-8A9A-C24E3B3D8B6F}"/>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C7112CFE-61E9-4097-B8BF-731698CE6A0E}"/>
    <cellStyle name="Normal 12 4 3 2 3" xfId="11875" xr:uid="{BCA191EA-CA8F-4D82-88B1-FD93D5214F9A}"/>
    <cellStyle name="Normal 12 4 3 3" xfId="5498" xr:uid="{00000000-0005-0000-0000-00004D0E0000}"/>
    <cellStyle name="Normal 12 4 3 3 2" xfId="13948" xr:uid="{7E8D6D85-7508-421D-8C3E-50EEB4D3B13F}"/>
    <cellStyle name="Normal 12 4 3 4" xfId="9730" xr:uid="{7DF45FAE-20D9-4CED-A27B-805D6D672BAB}"/>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3A40B916-1B3A-490D-94F8-755E41B9C29E}"/>
    <cellStyle name="Normal 12 4 4 2 3" xfId="12288" xr:uid="{7519FC7E-D170-44DF-84DB-2FAA3AAB3CFD}"/>
    <cellStyle name="Normal 12 4 4 3" xfId="5911" xr:uid="{00000000-0005-0000-0000-0000510E0000}"/>
    <cellStyle name="Normal 12 4 4 3 2" xfId="14361" xr:uid="{2F7BAF82-A7C7-4509-A71E-2CFE19D72EDC}"/>
    <cellStyle name="Normal 12 4 4 4" xfId="10143" xr:uid="{DEC81949-BF3C-4709-B801-DB8E76E78A64}"/>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6C187A31-AADC-47FE-ACBA-826035314586}"/>
    <cellStyle name="Normal 12 4 5 2 3" xfId="12701" xr:uid="{D2717193-E767-430A-B315-684BB895F431}"/>
    <cellStyle name="Normal 12 4 5 3" xfId="6324" xr:uid="{00000000-0005-0000-0000-0000550E0000}"/>
    <cellStyle name="Normal 12 4 5 3 2" xfId="14774" xr:uid="{6AEE472E-A6DF-4B4E-B9E9-DD16F0DE42E7}"/>
    <cellStyle name="Normal 12 4 5 4" xfId="10556" xr:uid="{701F158C-0681-4440-A953-562EAA8D396A}"/>
    <cellStyle name="Normal 12 4 6" xfId="2454" xr:uid="{00000000-0005-0000-0000-0000560E0000}"/>
    <cellStyle name="Normal 12 4 6 2" xfId="6737" xr:uid="{00000000-0005-0000-0000-0000570E0000}"/>
    <cellStyle name="Normal 12 4 6 2 2" xfId="15187" xr:uid="{BA389232-ED7E-4F95-B881-EEE9CB4EBCB5}"/>
    <cellStyle name="Normal 12 4 6 3" xfId="10969" xr:uid="{6B81540B-9C95-4A38-8DAD-4F10C52DC49A}"/>
    <cellStyle name="Normal 12 4 7" xfId="4671" xr:uid="{00000000-0005-0000-0000-0000580E0000}"/>
    <cellStyle name="Normal 12 4 7 2" xfId="13121" xr:uid="{DE183121-DAA6-4FD5-B061-51A7C7F6FA81}"/>
    <cellStyle name="Normal 12 4 8" xfId="8903" xr:uid="{87B0B70B-9D49-4D46-8A7D-BEEF70AA3F53}"/>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50E8172F-083C-42AE-9815-8AC01BE50300}"/>
    <cellStyle name="Normal 12 6 2 3" xfId="11455" xr:uid="{4B38E3B9-AA92-4AB9-81A5-00FA9EFFB920}"/>
    <cellStyle name="Normal 12 6 3" xfId="5078" xr:uid="{00000000-0005-0000-0000-00005D0E0000}"/>
    <cellStyle name="Normal 12 6 3 2" xfId="13528" xr:uid="{CB33F686-6E8F-450C-A1F8-63105F2EA89A}"/>
    <cellStyle name="Normal 12 6 4" xfId="9310" xr:uid="{9CEDB2FC-71A2-4B8E-A831-E01A3C487A67}"/>
    <cellStyle name="Normal 12 7" xfId="1183" xr:uid="{00000000-0005-0000-0000-00005E0E0000}"/>
    <cellStyle name="Normal 12 7 2" xfId="3414" xr:uid="{00000000-0005-0000-0000-00005F0E0000}"/>
    <cellStyle name="Normal 12 7 2 2" xfId="7636" xr:uid="{00000000-0005-0000-0000-0000600E0000}"/>
    <cellStyle name="Normal 12 7 2 2 2" xfId="16086" xr:uid="{ABC62026-679D-4967-ADC2-51D256CFFE78}"/>
    <cellStyle name="Normal 12 7 2 3" xfId="11868" xr:uid="{052AD19B-F02B-41E4-BB2B-FD32818DA4C7}"/>
    <cellStyle name="Normal 12 7 3" xfId="5491" xr:uid="{00000000-0005-0000-0000-0000610E0000}"/>
    <cellStyle name="Normal 12 7 3 2" xfId="13941" xr:uid="{F56DDC59-97EE-49F7-BF49-782059B25123}"/>
    <cellStyle name="Normal 12 7 4" xfId="9723" xr:uid="{D385AB81-2503-493F-AD3F-416023B6B46E}"/>
    <cellStyle name="Normal 12 8" xfId="1597" xr:uid="{00000000-0005-0000-0000-0000620E0000}"/>
    <cellStyle name="Normal 12 8 2" xfId="3827" xr:uid="{00000000-0005-0000-0000-0000630E0000}"/>
    <cellStyle name="Normal 12 8 2 2" xfId="8049" xr:uid="{00000000-0005-0000-0000-0000640E0000}"/>
    <cellStyle name="Normal 12 8 2 2 2" xfId="16499" xr:uid="{6D2F4799-5E1A-46FA-B890-AB2D0967539D}"/>
    <cellStyle name="Normal 12 8 2 3" xfId="12281" xr:uid="{9632868A-A591-4500-AA82-7AF515DA1FF1}"/>
    <cellStyle name="Normal 12 8 3" xfId="5904" xr:uid="{00000000-0005-0000-0000-0000650E0000}"/>
    <cellStyle name="Normal 12 8 3 2" xfId="14354" xr:uid="{68E8F61B-D381-4A46-AD3F-C50E54262A39}"/>
    <cellStyle name="Normal 12 8 4" xfId="10136" xr:uid="{104BD222-C2DC-4A1B-A928-4059EB538054}"/>
    <cellStyle name="Normal 12 9" xfId="2011" xr:uid="{00000000-0005-0000-0000-0000660E0000}"/>
    <cellStyle name="Normal 12 9 2" xfId="4240" xr:uid="{00000000-0005-0000-0000-0000670E0000}"/>
    <cellStyle name="Normal 12 9 2 2" xfId="8462" xr:uid="{00000000-0005-0000-0000-0000680E0000}"/>
    <cellStyle name="Normal 12 9 2 2 2" xfId="16912" xr:uid="{53C9ABF4-8E34-45E8-828B-E77FFA3E5E43}"/>
    <cellStyle name="Normal 12 9 2 3" xfId="12694" xr:uid="{A391DC6C-01F2-44CD-8A50-9CE361C4CFC0}"/>
    <cellStyle name="Normal 12 9 3" xfId="6317" xr:uid="{00000000-0005-0000-0000-0000690E0000}"/>
    <cellStyle name="Normal 12 9 3 2" xfId="14767" xr:uid="{2EE54D4E-D3F7-4EDB-A7C0-1299AEBCF39F}"/>
    <cellStyle name="Normal 12 9 4" xfId="10549" xr:uid="{D9F4FE30-6506-4FD8-AA87-9DFAC1C7583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765D7D79-FEEC-43C0-A200-48A298F396E9}"/>
    <cellStyle name="Normal 14 2 2 3" xfId="11463" xr:uid="{0D0DB122-7A76-4886-BDBA-62C002BAE66D}"/>
    <cellStyle name="Normal 14 2 3" xfId="5086" xr:uid="{00000000-0005-0000-0000-0000700E0000}"/>
    <cellStyle name="Normal 14 2 3 2" xfId="13536" xr:uid="{FA2391C1-6CCD-4A64-930F-DDB8E3B02728}"/>
    <cellStyle name="Normal 14 2 4" xfId="9318" xr:uid="{6D0DC83D-BE63-4E15-9619-5EE7B952ADF3}"/>
    <cellStyle name="Normal 14 3" xfId="1191" xr:uid="{00000000-0005-0000-0000-0000710E0000}"/>
    <cellStyle name="Normal 14 3 2" xfId="3422" xr:uid="{00000000-0005-0000-0000-0000720E0000}"/>
    <cellStyle name="Normal 14 3 2 2" xfId="7644" xr:uid="{00000000-0005-0000-0000-0000730E0000}"/>
    <cellStyle name="Normal 14 3 2 2 2" xfId="16094" xr:uid="{35FE1580-769F-4D9E-9951-FAC9BEF4CA85}"/>
    <cellStyle name="Normal 14 3 2 3" xfId="11876" xr:uid="{66DD5BEB-1880-4B61-A80A-6F95E0EB1EA8}"/>
    <cellStyle name="Normal 14 3 3" xfId="5499" xr:uid="{00000000-0005-0000-0000-0000740E0000}"/>
    <cellStyle name="Normal 14 3 3 2" xfId="13949" xr:uid="{7185DC7F-D42D-4074-8620-F44A255B174A}"/>
    <cellStyle name="Normal 14 3 4" xfId="9731" xr:uid="{376A426A-7640-4688-82A6-F7A49AB5681D}"/>
    <cellStyle name="Normal 14 4" xfId="1605" xr:uid="{00000000-0005-0000-0000-0000750E0000}"/>
    <cellStyle name="Normal 14 4 2" xfId="3835" xr:uid="{00000000-0005-0000-0000-0000760E0000}"/>
    <cellStyle name="Normal 14 4 2 2" xfId="8057" xr:uid="{00000000-0005-0000-0000-0000770E0000}"/>
    <cellStyle name="Normal 14 4 2 2 2" xfId="16507" xr:uid="{3CC1BFFD-3AB9-4F6C-9F7A-FA02609554DE}"/>
    <cellStyle name="Normal 14 4 2 3" xfId="12289" xr:uid="{38232AEB-A9EB-4343-B8B0-8246AADF3803}"/>
    <cellStyle name="Normal 14 4 3" xfId="5912" xr:uid="{00000000-0005-0000-0000-0000780E0000}"/>
    <cellStyle name="Normal 14 4 3 2" xfId="14362" xr:uid="{CD7B6172-0F76-4CBC-8602-260DE848DB00}"/>
    <cellStyle name="Normal 14 4 4" xfId="10144" xr:uid="{3EEFF213-F485-4BD1-AC19-AADE7BBC383C}"/>
    <cellStyle name="Normal 14 5" xfId="2019" xr:uid="{00000000-0005-0000-0000-0000790E0000}"/>
    <cellStyle name="Normal 14 5 2" xfId="4248" xr:uid="{00000000-0005-0000-0000-00007A0E0000}"/>
    <cellStyle name="Normal 14 5 2 2" xfId="8470" xr:uid="{00000000-0005-0000-0000-00007B0E0000}"/>
    <cellStyle name="Normal 14 5 2 2 2" xfId="16920" xr:uid="{F0492BC0-2C0A-462F-A66B-87454C631B8A}"/>
    <cellStyle name="Normal 14 5 2 3" xfId="12702" xr:uid="{5DB62BF9-A274-4F55-8D4E-14455C4AC91B}"/>
    <cellStyle name="Normal 14 5 3" xfId="6325" xr:uid="{00000000-0005-0000-0000-00007C0E0000}"/>
    <cellStyle name="Normal 14 5 3 2" xfId="14775" xr:uid="{525CF626-D439-46BD-921C-C91FC7131A4E}"/>
    <cellStyle name="Normal 14 5 4" xfId="10557" xr:uid="{66D64F6A-40E7-4896-B752-3B67F84AAC8E}"/>
    <cellStyle name="Normal 14 6" xfId="2455" xr:uid="{00000000-0005-0000-0000-00007D0E0000}"/>
    <cellStyle name="Normal 14 6 2" xfId="6738" xr:uid="{00000000-0005-0000-0000-00007E0E0000}"/>
    <cellStyle name="Normal 14 6 2 2" xfId="15188" xr:uid="{29607823-CD67-4E18-AEC0-8CB7B47A5028}"/>
    <cellStyle name="Normal 14 6 3" xfId="10970" xr:uid="{B25FCFE1-12AF-49CD-80AE-6733AC69E835}"/>
    <cellStyle name="Normal 14 7" xfId="4672" xr:uid="{00000000-0005-0000-0000-00007F0E0000}"/>
    <cellStyle name="Normal 14 7 2" xfId="13122" xr:uid="{257B8D3D-A688-40FE-A973-C6F40FCE8611}"/>
    <cellStyle name="Normal 14 8" xfId="8904" xr:uid="{3D82A4F2-D855-4EC4-9476-A6B295122308}"/>
    <cellStyle name="Normal 15" xfId="4496" xr:uid="{00000000-0005-0000-0000-0000800E0000}"/>
    <cellStyle name="Normal 15 2" xfId="12948" xr:uid="{3170B3E4-5E47-4F8F-93D6-36B926537F4B}"/>
    <cellStyle name="Normal 16" xfId="4500" xr:uid="{00000000-0005-0000-0000-0000810E0000}"/>
    <cellStyle name="Normal 16 2" xfId="8715" xr:uid="{00000000-0005-0000-0000-0000820E0000}"/>
    <cellStyle name="Normal 16 2 2" xfId="17165" xr:uid="{05CCE1B8-9C62-449D-B78D-13EBB49E6582}"/>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3" xfId="17174" xr:uid="{78F5B097-A349-4376-96C8-38010160A62A}"/>
    <cellStyle name="Normal 16 3 2 3" xfId="17171" xr:uid="{815456AF-F3AE-4E0A-8EBE-CB0810E5A41B}"/>
    <cellStyle name="Normal 16 3 3" xfId="17168" xr:uid="{2D02FDC9-EE11-4148-8329-C8E5A1B74FE3}"/>
    <cellStyle name="Normal 16 4" xfId="12951" xr:uid="{409DB18D-BCA3-4EE5-8A3F-662E0C4FF1BD}"/>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32820702-CD59-4C61-8796-1B0D7FE2ABF7}"/>
    <cellStyle name="Normal 2 4 2 10 2 3" xfId="12703" xr:uid="{6D23E2DF-D472-4AAF-82D0-51BFE2774BA2}"/>
    <cellStyle name="Normal 2 4 2 10 3" xfId="6326" xr:uid="{00000000-0005-0000-0000-0000910E0000}"/>
    <cellStyle name="Normal 2 4 2 10 3 2" xfId="14776" xr:uid="{1D9FA571-90DD-4320-9E69-B4B5A23C710E}"/>
    <cellStyle name="Normal 2 4 2 10 4" xfId="10558" xr:uid="{5081A9D7-DEEB-416C-AD12-1B7E7109E747}"/>
    <cellStyle name="Normal 2 4 2 11" xfId="2456" xr:uid="{00000000-0005-0000-0000-0000920E0000}"/>
    <cellStyle name="Normal 2 4 2 11 2" xfId="6739" xr:uid="{00000000-0005-0000-0000-0000930E0000}"/>
    <cellStyle name="Normal 2 4 2 11 2 2" xfId="15189" xr:uid="{13896A8F-1A1E-4605-9321-9CEFE10B26D8}"/>
    <cellStyle name="Normal 2 4 2 11 3" xfId="10971" xr:uid="{341112A6-2213-449A-8A88-6982E81DC642}"/>
    <cellStyle name="Normal 2 4 2 12" xfId="4673" xr:uid="{00000000-0005-0000-0000-0000940E0000}"/>
    <cellStyle name="Normal 2 4 2 12 2" xfId="13123" xr:uid="{CAD7EF7E-B2A3-4521-A153-FC578A4644B0}"/>
    <cellStyle name="Normal 2 4 2 13" xfId="8905" xr:uid="{714DA956-5763-4570-A459-03380175335A}"/>
    <cellStyle name="Normal 2 4 2 2" xfId="280" xr:uid="{00000000-0005-0000-0000-0000950E0000}"/>
    <cellStyle name="Normal 2 4 2 3" xfId="281" xr:uid="{00000000-0005-0000-0000-0000960E0000}"/>
    <cellStyle name="Normal 2 4 2 3 10" xfId="4674" xr:uid="{00000000-0005-0000-0000-0000970E0000}"/>
    <cellStyle name="Normal 2 4 2 3 10 2" xfId="13124" xr:uid="{7D8F63BC-393C-4642-AC0B-FDD9962292FD}"/>
    <cellStyle name="Normal 2 4 2 3 11" xfId="8906" xr:uid="{529FA3C4-F5A5-435F-BFB1-FF155E62CE00}"/>
    <cellStyle name="Normal 2 4 2 3 2" xfId="282" xr:uid="{00000000-0005-0000-0000-0000980E0000}"/>
    <cellStyle name="Normal 2 4 2 3 2 10" xfId="8907" xr:uid="{AEF4F782-F632-42A6-827E-B4EE85D5A4CB}"/>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17305DCD-DA1B-4CDD-8C92-1DF8EB662D32}"/>
    <cellStyle name="Normal 2 4 2 3 2 2 2 2 2 3" xfId="11468" xr:uid="{A87B130E-4A26-4915-9B3D-AA2AC6BA7252}"/>
    <cellStyle name="Normal 2 4 2 3 2 2 2 2 3" xfId="5091" xr:uid="{00000000-0005-0000-0000-00009E0E0000}"/>
    <cellStyle name="Normal 2 4 2 3 2 2 2 2 3 2" xfId="13541" xr:uid="{B2C0C4EA-BFCE-44DE-B6A0-750273A106F4}"/>
    <cellStyle name="Normal 2 4 2 3 2 2 2 2 4" xfId="9323" xr:uid="{0BD32697-B876-4C7E-AFF6-B5090E2CEED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18D004E9-A1FF-4093-BCD8-3D711E91BECB}"/>
    <cellStyle name="Normal 2 4 2 3 2 2 2 3 2 3" xfId="11881" xr:uid="{63731D8E-AAFF-433F-8BFC-91A6DD58DDC9}"/>
    <cellStyle name="Normal 2 4 2 3 2 2 2 3 3" xfId="5504" xr:uid="{00000000-0005-0000-0000-0000A20E0000}"/>
    <cellStyle name="Normal 2 4 2 3 2 2 2 3 3 2" xfId="13954" xr:uid="{34EF58A1-8393-469C-A75A-26893FA564A9}"/>
    <cellStyle name="Normal 2 4 2 3 2 2 2 3 4" xfId="9736" xr:uid="{7DC1F1E5-E88C-40EF-A200-9EF002E4C516}"/>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7BF25D52-4D4A-4CE4-862B-9C82DCFB2688}"/>
    <cellStyle name="Normal 2 4 2 3 2 2 2 4 2 3" xfId="12294" xr:uid="{B7910891-2CED-47CD-979F-3B9EDB3EBA78}"/>
    <cellStyle name="Normal 2 4 2 3 2 2 2 4 3" xfId="5917" xr:uid="{00000000-0005-0000-0000-0000A60E0000}"/>
    <cellStyle name="Normal 2 4 2 3 2 2 2 4 3 2" xfId="14367" xr:uid="{20CC9B6A-E418-45BE-A98E-FFFAFD819AE5}"/>
    <cellStyle name="Normal 2 4 2 3 2 2 2 4 4" xfId="10149" xr:uid="{43176924-A911-4FD9-96C5-2D9E87F0772F}"/>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983997E1-AAB9-4CD2-BD39-4DF19F577068}"/>
    <cellStyle name="Normal 2 4 2 3 2 2 2 5 2 3" xfId="12707" xr:uid="{8FC63334-F344-487C-836E-86EFB8149645}"/>
    <cellStyle name="Normal 2 4 2 3 2 2 2 5 3" xfId="6330" xr:uid="{00000000-0005-0000-0000-0000AA0E0000}"/>
    <cellStyle name="Normal 2 4 2 3 2 2 2 5 3 2" xfId="14780" xr:uid="{42350104-139F-4431-940E-72FC0CF62BC2}"/>
    <cellStyle name="Normal 2 4 2 3 2 2 2 5 4" xfId="10562" xr:uid="{052ABA86-F28B-46B9-9AB2-ECE47B2554D8}"/>
    <cellStyle name="Normal 2 4 2 3 2 2 2 6" xfId="2460" xr:uid="{00000000-0005-0000-0000-0000AB0E0000}"/>
    <cellStyle name="Normal 2 4 2 3 2 2 2 6 2" xfId="6743" xr:uid="{00000000-0005-0000-0000-0000AC0E0000}"/>
    <cellStyle name="Normal 2 4 2 3 2 2 2 6 2 2" xfId="15193" xr:uid="{45BA27D3-9791-4E20-AA2C-0676A663A2FC}"/>
    <cellStyle name="Normal 2 4 2 3 2 2 2 6 3" xfId="10975" xr:uid="{01A45544-FD5F-409E-A077-4CEAFAD248FA}"/>
    <cellStyle name="Normal 2 4 2 3 2 2 2 7" xfId="4677" xr:uid="{00000000-0005-0000-0000-0000AD0E0000}"/>
    <cellStyle name="Normal 2 4 2 3 2 2 2 7 2" xfId="13127" xr:uid="{E1BD9D26-426A-483C-981B-27EE4F0BC07E}"/>
    <cellStyle name="Normal 2 4 2 3 2 2 2 8" xfId="8909" xr:uid="{478CEC7C-51C4-4AA5-95B9-91411A0229DC}"/>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723B4066-9B9A-45E9-A8E3-79AB08B9C4F9}"/>
    <cellStyle name="Normal 2 4 2 3 2 2 3 2 3" xfId="11467" xr:uid="{5DEF470B-0A90-4323-8B2F-93869FFD522A}"/>
    <cellStyle name="Normal 2 4 2 3 2 2 3 3" xfId="5090" xr:uid="{00000000-0005-0000-0000-0000B10E0000}"/>
    <cellStyle name="Normal 2 4 2 3 2 2 3 3 2" xfId="13540" xr:uid="{4D688884-1D64-44F4-A926-9A6C135C1E58}"/>
    <cellStyle name="Normal 2 4 2 3 2 2 3 4" xfId="9322" xr:uid="{FFBC0072-650A-4596-8ECA-F652E5E6E80C}"/>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9BA81B57-314B-437C-BA9B-55ABFCAEB103}"/>
    <cellStyle name="Normal 2 4 2 3 2 2 4 2 3" xfId="11880" xr:uid="{DBD6EBE1-09EC-4AFB-9E26-171D68DD3DBA}"/>
    <cellStyle name="Normal 2 4 2 3 2 2 4 3" xfId="5503" xr:uid="{00000000-0005-0000-0000-0000B50E0000}"/>
    <cellStyle name="Normal 2 4 2 3 2 2 4 3 2" xfId="13953" xr:uid="{E0653D99-5281-47E5-99B2-136CCEB22D3E}"/>
    <cellStyle name="Normal 2 4 2 3 2 2 4 4" xfId="9735" xr:uid="{22D797D3-1FA9-4A42-8726-0C4DECEB0E2D}"/>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8999D351-51FE-4B55-BC3E-56D2FFDCB602}"/>
    <cellStyle name="Normal 2 4 2 3 2 2 5 2 3" xfId="12293" xr:uid="{442A47C9-E539-49F5-91AF-A8ACDC01D8AC}"/>
    <cellStyle name="Normal 2 4 2 3 2 2 5 3" xfId="5916" xr:uid="{00000000-0005-0000-0000-0000B90E0000}"/>
    <cellStyle name="Normal 2 4 2 3 2 2 5 3 2" xfId="14366" xr:uid="{B0FC6790-303E-4569-AD3E-B1E6751A4E81}"/>
    <cellStyle name="Normal 2 4 2 3 2 2 5 4" xfId="10148" xr:uid="{AD7E37FF-4FFC-4B58-A2A0-77403AB87148}"/>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203C5556-0C6E-449B-9962-56C700B58306}"/>
    <cellStyle name="Normal 2 4 2 3 2 2 6 2 3" xfId="12706" xr:uid="{B745FCCE-BB59-4A30-B182-C6D4B6E6D0D5}"/>
    <cellStyle name="Normal 2 4 2 3 2 2 6 3" xfId="6329" xr:uid="{00000000-0005-0000-0000-0000BD0E0000}"/>
    <cellStyle name="Normal 2 4 2 3 2 2 6 3 2" xfId="14779" xr:uid="{B6F477FE-A599-4E9E-AAD8-C0FEDD062B75}"/>
    <cellStyle name="Normal 2 4 2 3 2 2 6 4" xfId="10561" xr:uid="{F1B0EEF1-4174-4389-82B0-1D7E17D62FFB}"/>
    <cellStyle name="Normal 2 4 2 3 2 2 7" xfId="2459" xr:uid="{00000000-0005-0000-0000-0000BE0E0000}"/>
    <cellStyle name="Normal 2 4 2 3 2 2 7 2" xfId="6742" xr:uid="{00000000-0005-0000-0000-0000BF0E0000}"/>
    <cellStyle name="Normal 2 4 2 3 2 2 7 2 2" xfId="15192" xr:uid="{705B8E32-5B37-48D6-9BFE-6833615ABE9D}"/>
    <cellStyle name="Normal 2 4 2 3 2 2 7 3" xfId="10974" xr:uid="{E4C03564-98AC-460A-8DF5-C5887550D699}"/>
    <cellStyle name="Normal 2 4 2 3 2 2 8" xfId="4676" xr:uid="{00000000-0005-0000-0000-0000C00E0000}"/>
    <cellStyle name="Normal 2 4 2 3 2 2 8 2" xfId="13126" xr:uid="{5DE4F9A7-78A3-4C58-8D2D-FB3E0A939455}"/>
    <cellStyle name="Normal 2 4 2 3 2 2 9" xfId="8908" xr:uid="{07F07AD8-2114-4C31-84E7-BE981610D77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FE41A74B-FDBC-4674-B956-751F4E0EAE21}"/>
    <cellStyle name="Normal 2 4 2 3 2 3 2 2 3" xfId="11469" xr:uid="{817BE1E0-02B5-48F7-9FC2-8015301BA892}"/>
    <cellStyle name="Normal 2 4 2 3 2 3 2 3" xfId="5092" xr:uid="{00000000-0005-0000-0000-0000C50E0000}"/>
    <cellStyle name="Normal 2 4 2 3 2 3 2 3 2" xfId="13542" xr:uid="{F319BE51-7B68-4399-867C-582FBEA7875B}"/>
    <cellStyle name="Normal 2 4 2 3 2 3 2 4" xfId="9324" xr:uid="{E96F13AD-CE2F-4EBF-942E-446D9D464165}"/>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55886D6F-331E-4326-8D6F-D2CD2DD99BCD}"/>
    <cellStyle name="Normal 2 4 2 3 2 3 3 2 3" xfId="11882" xr:uid="{8E16CA8F-E362-49AD-81A7-2A105990D5E5}"/>
    <cellStyle name="Normal 2 4 2 3 2 3 3 3" xfId="5505" xr:uid="{00000000-0005-0000-0000-0000C90E0000}"/>
    <cellStyle name="Normal 2 4 2 3 2 3 3 3 2" xfId="13955" xr:uid="{AB20C679-601C-45D3-8B15-09E6143C6903}"/>
    <cellStyle name="Normal 2 4 2 3 2 3 3 4" xfId="9737" xr:uid="{815F7286-9F6E-4279-BA45-9696042B2A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01C21F8A-808A-40C2-B99C-637F48220646}"/>
    <cellStyle name="Normal 2 4 2 3 2 3 4 2 3" xfId="12295" xr:uid="{919C0826-EE4F-4CE1-9274-B26229C4E4F9}"/>
    <cellStyle name="Normal 2 4 2 3 2 3 4 3" xfId="5918" xr:uid="{00000000-0005-0000-0000-0000CD0E0000}"/>
    <cellStyle name="Normal 2 4 2 3 2 3 4 3 2" xfId="14368" xr:uid="{D9AF6E9F-1409-4470-93A0-795D04AAAD57}"/>
    <cellStyle name="Normal 2 4 2 3 2 3 4 4" xfId="10150" xr:uid="{5C4F751E-1AB5-4E5F-855B-7A2575C0A161}"/>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B62B5B8A-F78B-4691-8B3D-BD4EFC7AF527}"/>
    <cellStyle name="Normal 2 4 2 3 2 3 5 2 3" xfId="12708" xr:uid="{A80DA36E-8B5E-40A7-AAD4-41E83CC21D9B}"/>
    <cellStyle name="Normal 2 4 2 3 2 3 5 3" xfId="6331" xr:uid="{00000000-0005-0000-0000-0000D10E0000}"/>
    <cellStyle name="Normal 2 4 2 3 2 3 5 3 2" xfId="14781" xr:uid="{0E5C6566-E0DE-433C-A8DA-5CC0556F0AB1}"/>
    <cellStyle name="Normal 2 4 2 3 2 3 5 4" xfId="10563" xr:uid="{0CB3AE22-7CF9-4CF3-B262-3B8FFACE3B40}"/>
    <cellStyle name="Normal 2 4 2 3 2 3 6" xfId="2461" xr:uid="{00000000-0005-0000-0000-0000D20E0000}"/>
    <cellStyle name="Normal 2 4 2 3 2 3 6 2" xfId="6744" xr:uid="{00000000-0005-0000-0000-0000D30E0000}"/>
    <cellStyle name="Normal 2 4 2 3 2 3 6 2 2" xfId="15194" xr:uid="{6C56A403-0593-44A7-BC1B-46D68B1413C8}"/>
    <cellStyle name="Normal 2 4 2 3 2 3 6 3" xfId="10976" xr:uid="{0BA6ACD6-5856-471B-A9C6-878BA13BC819}"/>
    <cellStyle name="Normal 2 4 2 3 2 3 7" xfId="4678" xr:uid="{00000000-0005-0000-0000-0000D40E0000}"/>
    <cellStyle name="Normal 2 4 2 3 2 3 7 2" xfId="13128" xr:uid="{03CE1E67-38D8-4C76-AD43-FC2FA3A35DAA}"/>
    <cellStyle name="Normal 2 4 2 3 2 3 8" xfId="8910" xr:uid="{BCC5A72B-A30A-405E-A615-7050005DFBF5}"/>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856ABBA0-86B1-41B2-80EC-D3CF5A1BF204}"/>
    <cellStyle name="Normal 2 4 2 3 2 4 2 3" xfId="11466" xr:uid="{2A8DFCAC-DD93-4027-8634-D20FFC3549C6}"/>
    <cellStyle name="Normal 2 4 2 3 2 4 3" xfId="5089" xr:uid="{00000000-0005-0000-0000-0000D80E0000}"/>
    <cellStyle name="Normal 2 4 2 3 2 4 3 2" xfId="13539" xr:uid="{ECFCCD11-ED77-4136-8625-8CD1CFD918D9}"/>
    <cellStyle name="Normal 2 4 2 3 2 4 4" xfId="9321" xr:uid="{ECF7CF12-AADA-475D-9258-5516D856AA6D}"/>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E6095EBB-42BE-4C16-BD02-CFF873A19554}"/>
    <cellStyle name="Normal 2 4 2 3 2 5 2 3" xfId="11879" xr:uid="{8AF7B081-DC7E-40FB-92EF-FBABA4696755}"/>
    <cellStyle name="Normal 2 4 2 3 2 5 3" xfId="5502" xr:uid="{00000000-0005-0000-0000-0000DC0E0000}"/>
    <cellStyle name="Normal 2 4 2 3 2 5 3 2" xfId="13952" xr:uid="{10C8E26F-86EF-468A-AA5E-A9709EB2EE8B}"/>
    <cellStyle name="Normal 2 4 2 3 2 5 4" xfId="9734" xr:uid="{167D75F0-CB20-4DEE-A3EB-7790E0DB33DC}"/>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039EA322-3427-490B-9B02-C46DEE00ADC9}"/>
    <cellStyle name="Normal 2 4 2 3 2 6 2 3" xfId="12292" xr:uid="{B3500B10-F8A0-4A89-A009-E7F5D9F9579A}"/>
    <cellStyle name="Normal 2 4 2 3 2 6 3" xfId="5915" xr:uid="{00000000-0005-0000-0000-0000E00E0000}"/>
    <cellStyle name="Normal 2 4 2 3 2 6 3 2" xfId="14365" xr:uid="{E94FD0CF-9010-48DA-9358-BDCEE213170F}"/>
    <cellStyle name="Normal 2 4 2 3 2 6 4" xfId="10147" xr:uid="{8F16404E-EC70-477B-B6AC-0B88A6D6EF08}"/>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FA6D7824-C286-4C66-8F4C-6E2FB2CE7182}"/>
    <cellStyle name="Normal 2 4 2 3 2 7 2 3" xfId="12705" xr:uid="{84209F92-F33A-4B5B-AF9E-4116EC7600C0}"/>
    <cellStyle name="Normal 2 4 2 3 2 7 3" xfId="6328" xr:uid="{00000000-0005-0000-0000-0000E40E0000}"/>
    <cellStyle name="Normal 2 4 2 3 2 7 3 2" xfId="14778" xr:uid="{7EC98438-17B0-4EF1-9DCA-011D5FE28D72}"/>
    <cellStyle name="Normal 2 4 2 3 2 7 4" xfId="10560" xr:uid="{AB6C8F55-6D48-4F04-A7E3-45F81FB46024}"/>
    <cellStyle name="Normal 2 4 2 3 2 8" xfId="2458" xr:uid="{00000000-0005-0000-0000-0000E50E0000}"/>
    <cellStyle name="Normal 2 4 2 3 2 8 2" xfId="6741" xr:uid="{00000000-0005-0000-0000-0000E60E0000}"/>
    <cellStyle name="Normal 2 4 2 3 2 8 2 2" xfId="15191" xr:uid="{A9FC89F0-C3C5-4AA5-B017-64B62CA6276C}"/>
    <cellStyle name="Normal 2 4 2 3 2 8 3" xfId="10973" xr:uid="{6FD33B81-C5D6-4F3C-B38F-61FEBC584C82}"/>
    <cellStyle name="Normal 2 4 2 3 2 9" xfId="4675" xr:uid="{00000000-0005-0000-0000-0000E70E0000}"/>
    <cellStyle name="Normal 2 4 2 3 2 9 2" xfId="13125" xr:uid="{793C9419-4B5C-4240-83BD-4B9363072CB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E039AC23-E5A8-4317-AE42-F07A25CF6D02}"/>
    <cellStyle name="Normal 2 4 2 3 3 2 2 2 3" xfId="11471" xr:uid="{AEC4B7C0-1090-46EB-87F7-B1449A8FB6F5}"/>
    <cellStyle name="Normal 2 4 2 3 3 2 2 3" xfId="5094" xr:uid="{00000000-0005-0000-0000-0000ED0E0000}"/>
    <cellStyle name="Normal 2 4 2 3 3 2 2 3 2" xfId="13544" xr:uid="{3D75E439-C197-429E-93CF-FFB8A23F744A}"/>
    <cellStyle name="Normal 2 4 2 3 3 2 2 4" xfId="9326" xr:uid="{03A1437C-B940-4FFB-A72C-BE386D424B7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DCE54280-C770-4FBC-9262-F2DA3A2ABAD3}"/>
    <cellStyle name="Normal 2 4 2 3 3 2 3 2 3" xfId="11884" xr:uid="{460346F0-2BB1-43D9-80E6-6A0E972BD351}"/>
    <cellStyle name="Normal 2 4 2 3 3 2 3 3" xfId="5507" xr:uid="{00000000-0005-0000-0000-0000F10E0000}"/>
    <cellStyle name="Normal 2 4 2 3 3 2 3 3 2" xfId="13957" xr:uid="{7D513C35-2A3E-4857-B0BB-24A25C7BBA93}"/>
    <cellStyle name="Normal 2 4 2 3 3 2 3 4" xfId="9739" xr:uid="{78A2709C-13B6-4E12-AE66-C24A5CA97ECF}"/>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97FE7A49-1AE6-4C78-BBD5-115A86BC3B41}"/>
    <cellStyle name="Normal 2 4 2 3 3 2 4 2 3" xfId="12297" xr:uid="{185CC721-4CCF-4260-9E4D-CDCA87D380E8}"/>
    <cellStyle name="Normal 2 4 2 3 3 2 4 3" xfId="5920" xr:uid="{00000000-0005-0000-0000-0000F50E0000}"/>
    <cellStyle name="Normal 2 4 2 3 3 2 4 3 2" xfId="14370" xr:uid="{F9CAC8F0-E1F0-405B-8A48-23BAC9385714}"/>
    <cellStyle name="Normal 2 4 2 3 3 2 4 4" xfId="10152" xr:uid="{C37852D1-AD7A-42B1-8E00-094AA3A17505}"/>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B5DE31B1-6247-44C4-B734-9F5EDB1BFF37}"/>
    <cellStyle name="Normal 2 4 2 3 3 2 5 2 3" xfId="12710" xr:uid="{0CE6E6FE-2D03-4EAB-9518-475DC5804736}"/>
    <cellStyle name="Normal 2 4 2 3 3 2 5 3" xfId="6333" xr:uid="{00000000-0005-0000-0000-0000F90E0000}"/>
    <cellStyle name="Normal 2 4 2 3 3 2 5 3 2" xfId="14783" xr:uid="{0C0C9496-A7A6-452D-A7F1-BC1C713B79EA}"/>
    <cellStyle name="Normal 2 4 2 3 3 2 5 4" xfId="10565" xr:uid="{A3984744-7589-4A5A-8AA2-EF3356582785}"/>
    <cellStyle name="Normal 2 4 2 3 3 2 6" xfId="2463" xr:uid="{00000000-0005-0000-0000-0000FA0E0000}"/>
    <cellStyle name="Normal 2 4 2 3 3 2 6 2" xfId="6746" xr:uid="{00000000-0005-0000-0000-0000FB0E0000}"/>
    <cellStyle name="Normal 2 4 2 3 3 2 6 2 2" xfId="15196" xr:uid="{FC62574C-8F23-4167-B366-CD60149042B5}"/>
    <cellStyle name="Normal 2 4 2 3 3 2 6 3" xfId="10978" xr:uid="{DA321038-F128-4D4F-A083-ED0E53B39068}"/>
    <cellStyle name="Normal 2 4 2 3 3 2 7" xfId="4680" xr:uid="{00000000-0005-0000-0000-0000FC0E0000}"/>
    <cellStyle name="Normal 2 4 2 3 3 2 7 2" xfId="13130" xr:uid="{767AA52E-D421-45BC-810C-2B15E0755620}"/>
    <cellStyle name="Normal 2 4 2 3 3 2 8" xfId="8912" xr:uid="{962210A5-9B3A-4ABD-B4D8-BC5B378C1E0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8CC82C4B-C9E0-4C40-9BEA-4916AF7A19AE}"/>
    <cellStyle name="Normal 2 4 2 3 3 3 2 3" xfId="11470" xr:uid="{99D929A9-B1B5-46C5-A9AA-813BD0AEBD40}"/>
    <cellStyle name="Normal 2 4 2 3 3 3 3" xfId="5093" xr:uid="{00000000-0005-0000-0000-0000000F0000}"/>
    <cellStyle name="Normal 2 4 2 3 3 3 3 2" xfId="13543" xr:uid="{7498FC52-F1BA-41ED-A690-E14E3E714DEE}"/>
    <cellStyle name="Normal 2 4 2 3 3 3 4" xfId="9325" xr:uid="{DB62FA3D-C615-4D0A-A7D1-15934349C8E4}"/>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4A1E81DA-F19F-4E47-9ADA-B25E96FC4497}"/>
    <cellStyle name="Normal 2 4 2 3 3 4 2 3" xfId="11883" xr:uid="{D9E48F54-CEB1-4955-A76A-652DF336D13D}"/>
    <cellStyle name="Normal 2 4 2 3 3 4 3" xfId="5506" xr:uid="{00000000-0005-0000-0000-0000040F0000}"/>
    <cellStyle name="Normal 2 4 2 3 3 4 3 2" xfId="13956" xr:uid="{9F1BCC1C-AF98-4C17-B563-6C3B5B1D6390}"/>
    <cellStyle name="Normal 2 4 2 3 3 4 4" xfId="9738" xr:uid="{0FF658C8-54EF-484B-AEBE-09B14F9FD6F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F6F913FE-C390-4083-B3A8-991C683062E2}"/>
    <cellStyle name="Normal 2 4 2 3 3 5 2 3" xfId="12296" xr:uid="{E59B2A23-4C64-4405-9414-0E3A191BF5BF}"/>
    <cellStyle name="Normal 2 4 2 3 3 5 3" xfId="5919" xr:uid="{00000000-0005-0000-0000-0000080F0000}"/>
    <cellStyle name="Normal 2 4 2 3 3 5 3 2" xfId="14369" xr:uid="{DA9646E8-6F87-4E9D-AE7F-4B930659B1ED}"/>
    <cellStyle name="Normal 2 4 2 3 3 5 4" xfId="10151" xr:uid="{3FC7A134-49EB-4F47-827F-7B482A5A3D5C}"/>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1C24A3AA-0D9B-4C03-B69B-C9EB228733CA}"/>
    <cellStyle name="Normal 2 4 2 3 3 6 2 3" xfId="12709" xr:uid="{3AB20041-3B8F-44A1-9163-C93F99C30C09}"/>
    <cellStyle name="Normal 2 4 2 3 3 6 3" xfId="6332" xr:uid="{00000000-0005-0000-0000-00000C0F0000}"/>
    <cellStyle name="Normal 2 4 2 3 3 6 3 2" xfId="14782" xr:uid="{9237BBA5-BE88-4E53-BE5D-D71C93E7A5B2}"/>
    <cellStyle name="Normal 2 4 2 3 3 6 4" xfId="10564" xr:uid="{680FB3B7-CE64-409D-A5F3-6D1659921778}"/>
    <cellStyle name="Normal 2 4 2 3 3 7" xfId="2462" xr:uid="{00000000-0005-0000-0000-00000D0F0000}"/>
    <cellStyle name="Normal 2 4 2 3 3 7 2" xfId="6745" xr:uid="{00000000-0005-0000-0000-00000E0F0000}"/>
    <cellStyle name="Normal 2 4 2 3 3 7 2 2" xfId="15195" xr:uid="{132C9FA4-229F-43CF-9A24-8B806C0BC303}"/>
    <cellStyle name="Normal 2 4 2 3 3 7 3" xfId="10977" xr:uid="{9C29E9BF-94D4-48A0-8137-CBEEB0F8F7A4}"/>
    <cellStyle name="Normal 2 4 2 3 3 8" xfId="4679" xr:uid="{00000000-0005-0000-0000-00000F0F0000}"/>
    <cellStyle name="Normal 2 4 2 3 3 8 2" xfId="13129" xr:uid="{C3C12EA3-1BC8-40E9-B524-DD2194495298}"/>
    <cellStyle name="Normal 2 4 2 3 3 9" xfId="8911" xr:uid="{7099A847-0658-44C9-B358-9C716DDD167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D5F6B836-96EE-4C21-98FB-2264B10E0EA3}"/>
    <cellStyle name="Normal 2 4 2 3 4 2 2 3" xfId="11472" xr:uid="{53BB25FB-45C7-474C-ABF0-600751F07C84}"/>
    <cellStyle name="Normal 2 4 2 3 4 2 3" xfId="5095" xr:uid="{00000000-0005-0000-0000-0000140F0000}"/>
    <cellStyle name="Normal 2 4 2 3 4 2 3 2" xfId="13545" xr:uid="{7475AA8B-05CA-4D20-9C80-DDCD863C705C}"/>
    <cellStyle name="Normal 2 4 2 3 4 2 4" xfId="9327" xr:uid="{A7437714-3B53-4B42-9190-026482D6641E}"/>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8BB315A5-DFE5-4920-91B9-D0FD781CD50A}"/>
    <cellStyle name="Normal 2 4 2 3 4 3 2 3" xfId="11885" xr:uid="{85EF5DCF-4739-49C3-A049-FA380FC0A5A5}"/>
    <cellStyle name="Normal 2 4 2 3 4 3 3" xfId="5508" xr:uid="{00000000-0005-0000-0000-0000180F0000}"/>
    <cellStyle name="Normal 2 4 2 3 4 3 3 2" xfId="13958" xr:uid="{71D17364-791F-4B57-8DB4-00DC5A2E1936}"/>
    <cellStyle name="Normal 2 4 2 3 4 3 4" xfId="9740" xr:uid="{1E9755AE-29BE-425A-B0FF-50F62F29DEBC}"/>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189EF43D-F094-447A-A395-C8873207A69E}"/>
    <cellStyle name="Normal 2 4 2 3 4 4 2 3" xfId="12298" xr:uid="{4C288707-63D4-4317-A6D1-A5387E9B4DCD}"/>
    <cellStyle name="Normal 2 4 2 3 4 4 3" xfId="5921" xr:uid="{00000000-0005-0000-0000-00001C0F0000}"/>
    <cellStyle name="Normal 2 4 2 3 4 4 3 2" xfId="14371" xr:uid="{482732CC-4280-4D3A-AC0E-D7252029441A}"/>
    <cellStyle name="Normal 2 4 2 3 4 4 4" xfId="10153" xr:uid="{EBCB4252-610B-4919-9716-5205FD848F55}"/>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C579D8E7-02A5-4B45-9DAB-A29B32B2996E}"/>
    <cellStyle name="Normal 2 4 2 3 4 5 2 3" xfId="12711" xr:uid="{E239C743-5152-4DB3-B517-1FE59B133314}"/>
    <cellStyle name="Normal 2 4 2 3 4 5 3" xfId="6334" xr:uid="{00000000-0005-0000-0000-0000200F0000}"/>
    <cellStyle name="Normal 2 4 2 3 4 5 3 2" xfId="14784" xr:uid="{FAAA0F92-0EEA-49CE-B55F-4CDCC62FC601}"/>
    <cellStyle name="Normal 2 4 2 3 4 5 4" xfId="10566" xr:uid="{4BF7FCEE-6F4E-4ABE-8C27-A1DA04B600EA}"/>
    <cellStyle name="Normal 2 4 2 3 4 6" xfId="2464" xr:uid="{00000000-0005-0000-0000-0000210F0000}"/>
    <cellStyle name="Normal 2 4 2 3 4 6 2" xfId="6747" xr:uid="{00000000-0005-0000-0000-0000220F0000}"/>
    <cellStyle name="Normal 2 4 2 3 4 6 2 2" xfId="15197" xr:uid="{17CB8906-597F-49C2-A8E5-FC019F152635}"/>
    <cellStyle name="Normal 2 4 2 3 4 6 3" xfId="10979" xr:uid="{829AE808-BB21-4D6A-AE36-24B0E38F1E2A}"/>
    <cellStyle name="Normal 2 4 2 3 4 7" xfId="4681" xr:uid="{00000000-0005-0000-0000-0000230F0000}"/>
    <cellStyle name="Normal 2 4 2 3 4 7 2" xfId="13131" xr:uid="{FA27C993-14C6-46F1-9B06-5D645F9C2E8A}"/>
    <cellStyle name="Normal 2 4 2 3 4 8" xfId="8913" xr:uid="{3A3061C3-CFFE-4EC6-9495-EC9E4EBC1188}"/>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685F2DE2-C733-41D6-8127-FAF436CF3D6C}"/>
    <cellStyle name="Normal 2 4 2 3 5 2 3" xfId="11465" xr:uid="{C8C0927E-788A-4FEF-B9CE-E8DB58F0F324}"/>
    <cellStyle name="Normal 2 4 2 3 5 3" xfId="5088" xr:uid="{00000000-0005-0000-0000-0000270F0000}"/>
    <cellStyle name="Normal 2 4 2 3 5 3 2" xfId="13538" xr:uid="{1A45C2DE-B8EA-40A0-8C84-BF694A12ECFD}"/>
    <cellStyle name="Normal 2 4 2 3 5 4" xfId="9320" xr:uid="{1931D99D-C656-4C1F-9A55-CF4966BC576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0C991962-D7D1-4B14-B39D-096CEDD2F791}"/>
    <cellStyle name="Normal 2 4 2 3 6 2 3" xfId="11878" xr:uid="{C625C2FA-4B7F-431D-A2C0-133CD28373F9}"/>
    <cellStyle name="Normal 2 4 2 3 6 3" xfId="5501" xr:uid="{00000000-0005-0000-0000-00002B0F0000}"/>
    <cellStyle name="Normal 2 4 2 3 6 3 2" xfId="13951" xr:uid="{300FB812-63C2-435B-98F0-AE101332874A}"/>
    <cellStyle name="Normal 2 4 2 3 6 4" xfId="9733" xr:uid="{3CE9BFC3-E088-4A0F-855F-92566722026A}"/>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4525AD0B-5483-4A2A-9E5A-AF25D0E28F6D}"/>
    <cellStyle name="Normal 2 4 2 3 7 2 3" xfId="12291" xr:uid="{6F8969F6-CCBF-4A31-83A4-4247BCE79BC2}"/>
    <cellStyle name="Normal 2 4 2 3 7 3" xfId="5914" xr:uid="{00000000-0005-0000-0000-00002F0F0000}"/>
    <cellStyle name="Normal 2 4 2 3 7 3 2" xfId="14364" xr:uid="{0C5A0235-BBC9-41D3-83A9-14C09169D345}"/>
    <cellStyle name="Normal 2 4 2 3 7 4" xfId="10146" xr:uid="{5627185D-D9B1-4940-ACC3-E8CB6C83A111}"/>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2303C40A-5028-47A5-91CF-DF21A18C8F1C}"/>
    <cellStyle name="Normal 2 4 2 3 8 2 3" xfId="12704" xr:uid="{A6CDB6E2-0D28-44BE-8C6A-C39ABD1778D2}"/>
    <cellStyle name="Normal 2 4 2 3 8 3" xfId="6327" xr:uid="{00000000-0005-0000-0000-0000330F0000}"/>
    <cellStyle name="Normal 2 4 2 3 8 3 2" xfId="14777" xr:uid="{BC4C6244-06D3-4386-9896-89EF7563A204}"/>
    <cellStyle name="Normal 2 4 2 3 8 4" xfId="10559" xr:uid="{6A4CCD56-1302-487A-842C-542F1503C01D}"/>
    <cellStyle name="Normal 2 4 2 3 9" xfId="2457" xr:uid="{00000000-0005-0000-0000-0000340F0000}"/>
    <cellStyle name="Normal 2 4 2 3 9 2" xfId="6740" xr:uid="{00000000-0005-0000-0000-0000350F0000}"/>
    <cellStyle name="Normal 2 4 2 3 9 2 2" xfId="15190" xr:uid="{4373516E-5261-409D-9712-D507CBB33468}"/>
    <cellStyle name="Normal 2 4 2 3 9 3" xfId="10972" xr:uid="{684069C0-3F4A-4497-A8D1-925778DDE6E9}"/>
    <cellStyle name="Normal 2 4 2 4" xfId="289" xr:uid="{00000000-0005-0000-0000-0000360F0000}"/>
    <cellStyle name="Normal 2 4 2 4 10" xfId="8914" xr:uid="{C168D007-4E51-4BFB-BB75-043B40C691DC}"/>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A80E40D9-5449-47DE-8D2C-9BD7561A2CB0}"/>
    <cellStyle name="Normal 2 4 2 4 2 2 2 2 3" xfId="11475" xr:uid="{5BA8106F-2B5F-45B6-906B-6D4CED9B9D55}"/>
    <cellStyle name="Normal 2 4 2 4 2 2 2 3" xfId="5098" xr:uid="{00000000-0005-0000-0000-00003C0F0000}"/>
    <cellStyle name="Normal 2 4 2 4 2 2 2 3 2" xfId="13548" xr:uid="{CD1E637F-A13A-4E15-9C1F-4A4B33D57F5C}"/>
    <cellStyle name="Normal 2 4 2 4 2 2 2 4" xfId="9330" xr:uid="{62847668-76F5-42B2-B722-35096CFB9C8F}"/>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441B307E-AC16-4E35-A777-A237C8845BA8}"/>
    <cellStyle name="Normal 2 4 2 4 2 2 3 2 3" xfId="11888" xr:uid="{77E1109E-379F-41B3-A478-66FC9690C159}"/>
    <cellStyle name="Normal 2 4 2 4 2 2 3 3" xfId="5511" xr:uid="{00000000-0005-0000-0000-0000400F0000}"/>
    <cellStyle name="Normal 2 4 2 4 2 2 3 3 2" xfId="13961" xr:uid="{D73D0090-382C-4912-AE66-9ACC666988C0}"/>
    <cellStyle name="Normal 2 4 2 4 2 2 3 4" xfId="9743" xr:uid="{2868EDAC-5D1C-4309-A183-ADF27FB13EA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62C77EBA-1945-4ECC-AC3F-19EDDA909622}"/>
    <cellStyle name="Normal 2 4 2 4 2 2 4 2 3" xfId="12301" xr:uid="{53A3CA20-5625-461E-A3AE-A25C1D260BE0}"/>
    <cellStyle name="Normal 2 4 2 4 2 2 4 3" xfId="5924" xr:uid="{00000000-0005-0000-0000-0000440F0000}"/>
    <cellStyle name="Normal 2 4 2 4 2 2 4 3 2" xfId="14374" xr:uid="{7D46EDFF-BD37-4D61-B196-2A48E9179849}"/>
    <cellStyle name="Normal 2 4 2 4 2 2 4 4" xfId="10156" xr:uid="{99968FA7-A2FA-47B2-BB4D-1B134F67406E}"/>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F0C30E53-1348-4C17-AB62-7012D0D1D62F}"/>
    <cellStyle name="Normal 2 4 2 4 2 2 5 2 3" xfId="12714" xr:uid="{859A8F35-C145-466C-8505-40D978CC0679}"/>
    <cellStyle name="Normal 2 4 2 4 2 2 5 3" xfId="6337" xr:uid="{00000000-0005-0000-0000-0000480F0000}"/>
    <cellStyle name="Normal 2 4 2 4 2 2 5 3 2" xfId="14787" xr:uid="{49DCEF02-3CFB-465B-AFEF-C41CF6DAC6F0}"/>
    <cellStyle name="Normal 2 4 2 4 2 2 5 4" xfId="10569" xr:uid="{AB2D96B4-9FFD-4978-A16E-A3F0E5F23F95}"/>
    <cellStyle name="Normal 2 4 2 4 2 2 6" xfId="2467" xr:uid="{00000000-0005-0000-0000-0000490F0000}"/>
    <cellStyle name="Normal 2 4 2 4 2 2 6 2" xfId="6750" xr:uid="{00000000-0005-0000-0000-00004A0F0000}"/>
    <cellStyle name="Normal 2 4 2 4 2 2 6 2 2" xfId="15200" xr:uid="{CC93C590-35A6-4F65-9612-EAE7D9CDC5A6}"/>
    <cellStyle name="Normal 2 4 2 4 2 2 6 3" xfId="10982" xr:uid="{B3A41C2F-3C31-4A21-89BA-AAD081220A79}"/>
    <cellStyle name="Normal 2 4 2 4 2 2 7" xfId="4684" xr:uid="{00000000-0005-0000-0000-00004B0F0000}"/>
    <cellStyle name="Normal 2 4 2 4 2 2 7 2" xfId="13134" xr:uid="{6035AD18-3FF1-4A10-BC8E-B01FB1FCD569}"/>
    <cellStyle name="Normal 2 4 2 4 2 2 8" xfId="8916" xr:uid="{65C1D6C1-5858-48A1-9F3B-E6E4F7720B49}"/>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5C2EB6B1-D532-4EE1-93DB-3B0A7F882328}"/>
    <cellStyle name="Normal 2 4 2 4 2 3 2 3" xfId="11474" xr:uid="{9A55647E-CCA4-43C2-A1C7-49ABB1D5CA08}"/>
    <cellStyle name="Normal 2 4 2 4 2 3 3" xfId="5097" xr:uid="{00000000-0005-0000-0000-00004F0F0000}"/>
    <cellStyle name="Normal 2 4 2 4 2 3 3 2" xfId="13547" xr:uid="{35DD770D-FDC5-417B-8494-6BBD4D3EDF90}"/>
    <cellStyle name="Normal 2 4 2 4 2 3 4" xfId="9329" xr:uid="{893DFCF0-B611-45F9-A0B7-FF70620550D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06A1ECB4-E77D-4902-9DE5-08163631BA1F}"/>
    <cellStyle name="Normal 2 4 2 4 2 4 2 3" xfId="11887" xr:uid="{CE4495A2-EB27-42F7-8AA2-DC088CC778D2}"/>
    <cellStyle name="Normal 2 4 2 4 2 4 3" xfId="5510" xr:uid="{00000000-0005-0000-0000-0000530F0000}"/>
    <cellStyle name="Normal 2 4 2 4 2 4 3 2" xfId="13960" xr:uid="{EA25984D-5550-45F9-B48F-161D29D45359}"/>
    <cellStyle name="Normal 2 4 2 4 2 4 4" xfId="9742" xr:uid="{4825729B-C5D7-48B2-8FC1-F48DCA2D6121}"/>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97205999-1872-4CF5-BB94-54FED3D4C38E}"/>
    <cellStyle name="Normal 2 4 2 4 2 5 2 3" xfId="12300" xr:uid="{7610FC1F-C484-41BF-8DEF-57C0D4C18D89}"/>
    <cellStyle name="Normal 2 4 2 4 2 5 3" xfId="5923" xr:uid="{00000000-0005-0000-0000-0000570F0000}"/>
    <cellStyle name="Normal 2 4 2 4 2 5 3 2" xfId="14373" xr:uid="{809D02F4-B226-4C23-ADE5-2199DE472E6D}"/>
    <cellStyle name="Normal 2 4 2 4 2 5 4" xfId="10155" xr:uid="{31A196C2-2CC3-4CBA-A295-4DCB58B9A5D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4520D20C-D04A-47DA-BF98-3B72CFADE1D1}"/>
    <cellStyle name="Normal 2 4 2 4 2 6 2 3" xfId="12713" xr:uid="{C854323D-4810-41FA-8D78-1214CA5687B0}"/>
    <cellStyle name="Normal 2 4 2 4 2 6 3" xfId="6336" xr:uid="{00000000-0005-0000-0000-00005B0F0000}"/>
    <cellStyle name="Normal 2 4 2 4 2 6 3 2" xfId="14786" xr:uid="{13ED7C79-9ED8-46AC-A96E-A052AE1B81BB}"/>
    <cellStyle name="Normal 2 4 2 4 2 6 4" xfId="10568" xr:uid="{4CE2D44C-93DF-4512-8E66-9AA7F26685A4}"/>
    <cellStyle name="Normal 2 4 2 4 2 7" xfId="2466" xr:uid="{00000000-0005-0000-0000-00005C0F0000}"/>
    <cellStyle name="Normal 2 4 2 4 2 7 2" xfId="6749" xr:uid="{00000000-0005-0000-0000-00005D0F0000}"/>
    <cellStyle name="Normal 2 4 2 4 2 7 2 2" xfId="15199" xr:uid="{1112999C-DC12-420A-AAA3-F48F10224BD4}"/>
    <cellStyle name="Normal 2 4 2 4 2 7 3" xfId="10981" xr:uid="{988019C5-8B36-4B83-ACF0-9E3F7BCED98E}"/>
    <cellStyle name="Normal 2 4 2 4 2 8" xfId="4683" xr:uid="{00000000-0005-0000-0000-00005E0F0000}"/>
    <cellStyle name="Normal 2 4 2 4 2 8 2" xfId="13133" xr:uid="{9D5F6D5E-7B97-45B1-853D-0EAFD11F2E5E}"/>
    <cellStyle name="Normal 2 4 2 4 2 9" xfId="8915" xr:uid="{E393EEE7-1F34-4E87-B9F9-3EBE1E4F87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562DA698-46F5-47EB-AC62-BBED1497B4F2}"/>
    <cellStyle name="Normal 2 4 2 4 3 2 2 3" xfId="11476" xr:uid="{60D7B1D5-0123-4DA4-B0FF-F80D44F4084B}"/>
    <cellStyle name="Normal 2 4 2 4 3 2 3" xfId="5099" xr:uid="{00000000-0005-0000-0000-0000630F0000}"/>
    <cellStyle name="Normal 2 4 2 4 3 2 3 2" xfId="13549" xr:uid="{CFA3EEF0-A179-41BA-A5D0-02E162375CC3}"/>
    <cellStyle name="Normal 2 4 2 4 3 2 4" xfId="9331" xr:uid="{E3355B92-ADE5-4B32-88FA-E7CCAAD9CF4E}"/>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127221DE-26C9-46B3-8315-B6AC18A476C3}"/>
    <cellStyle name="Normal 2 4 2 4 3 3 2 3" xfId="11889" xr:uid="{82F270EF-AD66-4E04-89DE-15A292AB5877}"/>
    <cellStyle name="Normal 2 4 2 4 3 3 3" xfId="5512" xr:uid="{00000000-0005-0000-0000-0000670F0000}"/>
    <cellStyle name="Normal 2 4 2 4 3 3 3 2" xfId="13962" xr:uid="{AD2584FE-479A-4B54-A48D-1E8609110ED4}"/>
    <cellStyle name="Normal 2 4 2 4 3 3 4" xfId="9744" xr:uid="{AF8CB73E-FDBB-4865-8620-3F3C2A3207B3}"/>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5FD8E40A-EDF9-4B0F-B847-75C68ED7B559}"/>
    <cellStyle name="Normal 2 4 2 4 3 4 2 3" xfId="12302" xr:uid="{47D853A9-A56A-4EE1-81C4-0050CDCF12E8}"/>
    <cellStyle name="Normal 2 4 2 4 3 4 3" xfId="5925" xr:uid="{00000000-0005-0000-0000-00006B0F0000}"/>
    <cellStyle name="Normal 2 4 2 4 3 4 3 2" xfId="14375" xr:uid="{447C84F5-C526-42B5-A090-4D6500587DCE}"/>
    <cellStyle name="Normal 2 4 2 4 3 4 4" xfId="10157" xr:uid="{3B36956C-7A9D-400A-BC32-11C69024074F}"/>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8683A6EE-29CD-406B-AD37-CFB6D8D17BA4}"/>
    <cellStyle name="Normal 2 4 2 4 3 5 2 3" xfId="12715" xr:uid="{1B87DC1D-70AB-4885-B823-991439860A51}"/>
    <cellStyle name="Normal 2 4 2 4 3 5 3" xfId="6338" xr:uid="{00000000-0005-0000-0000-00006F0F0000}"/>
    <cellStyle name="Normal 2 4 2 4 3 5 3 2" xfId="14788" xr:uid="{3D3829D9-CEC9-404B-8C06-95568AFDDBE6}"/>
    <cellStyle name="Normal 2 4 2 4 3 5 4" xfId="10570" xr:uid="{571178AA-FF3F-4208-8276-4341F8DDF475}"/>
    <cellStyle name="Normal 2 4 2 4 3 6" xfId="2468" xr:uid="{00000000-0005-0000-0000-0000700F0000}"/>
    <cellStyle name="Normal 2 4 2 4 3 6 2" xfId="6751" xr:uid="{00000000-0005-0000-0000-0000710F0000}"/>
    <cellStyle name="Normal 2 4 2 4 3 6 2 2" xfId="15201" xr:uid="{FBAF857C-E041-4FC9-9C3B-F10BAD0960E7}"/>
    <cellStyle name="Normal 2 4 2 4 3 6 3" xfId="10983" xr:uid="{CBB09CBD-4BCC-4D48-89C9-8E5D7473BA16}"/>
    <cellStyle name="Normal 2 4 2 4 3 7" xfId="4685" xr:uid="{00000000-0005-0000-0000-0000720F0000}"/>
    <cellStyle name="Normal 2 4 2 4 3 7 2" xfId="13135" xr:uid="{40644126-CDB6-49B2-9EA5-C7BBA3060F99}"/>
    <cellStyle name="Normal 2 4 2 4 3 8" xfId="8917" xr:uid="{1767BF18-158C-4B65-A984-C8B85023246D}"/>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3A1353DF-08DC-4320-8416-B8BC3DE69B61}"/>
    <cellStyle name="Normal 2 4 2 4 4 2 3" xfId="11473" xr:uid="{73BD9FD9-0B93-4439-B5F2-928E3A029E3B}"/>
    <cellStyle name="Normal 2 4 2 4 4 3" xfId="5096" xr:uid="{00000000-0005-0000-0000-0000760F0000}"/>
    <cellStyle name="Normal 2 4 2 4 4 3 2" xfId="13546" xr:uid="{EBA34777-B88E-4484-91CD-2C1D5966082E}"/>
    <cellStyle name="Normal 2 4 2 4 4 4" xfId="9328" xr:uid="{5AA11DC9-3608-43EA-B6F1-825247BD30AD}"/>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009D76DD-A479-4F60-BC1A-A49C8F8A58AF}"/>
    <cellStyle name="Normal 2 4 2 4 5 2 3" xfId="11886" xr:uid="{C90FC20B-F881-49F0-912A-004D58155406}"/>
    <cellStyle name="Normal 2 4 2 4 5 3" xfId="5509" xr:uid="{00000000-0005-0000-0000-00007A0F0000}"/>
    <cellStyle name="Normal 2 4 2 4 5 3 2" xfId="13959" xr:uid="{C2B49EAD-845B-4DC3-BCD9-0ADDEE66EB16}"/>
    <cellStyle name="Normal 2 4 2 4 5 4" xfId="9741" xr:uid="{5E66741B-8AF8-4A4F-9EDB-4CAB395D2035}"/>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010176BA-C85A-4F03-9496-7868AB8A92A7}"/>
    <cellStyle name="Normal 2 4 2 4 6 2 3" xfId="12299" xr:uid="{2C759C06-3E41-46DE-B2C0-2FA68AC37B50}"/>
    <cellStyle name="Normal 2 4 2 4 6 3" xfId="5922" xr:uid="{00000000-0005-0000-0000-00007E0F0000}"/>
    <cellStyle name="Normal 2 4 2 4 6 3 2" xfId="14372" xr:uid="{48E06BF4-80AD-497E-A408-90975752D07B}"/>
    <cellStyle name="Normal 2 4 2 4 6 4" xfId="10154" xr:uid="{BEB24A0A-797F-4929-8DBF-4872E5AF51AD}"/>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1C59B26B-1A74-47A6-8EDC-51F4E6C2DB01}"/>
    <cellStyle name="Normal 2 4 2 4 7 2 3" xfId="12712" xr:uid="{30D816EA-732A-41DB-B727-D9FC4507FDE9}"/>
    <cellStyle name="Normal 2 4 2 4 7 3" xfId="6335" xr:uid="{00000000-0005-0000-0000-0000820F0000}"/>
    <cellStyle name="Normal 2 4 2 4 7 3 2" xfId="14785" xr:uid="{C60D4F53-4D15-4438-BC3B-C162D984FF02}"/>
    <cellStyle name="Normal 2 4 2 4 7 4" xfId="10567" xr:uid="{957B3018-170C-42F8-B25F-BFFD7BB2C3F0}"/>
    <cellStyle name="Normal 2 4 2 4 8" xfId="2465" xr:uid="{00000000-0005-0000-0000-0000830F0000}"/>
    <cellStyle name="Normal 2 4 2 4 8 2" xfId="6748" xr:uid="{00000000-0005-0000-0000-0000840F0000}"/>
    <cellStyle name="Normal 2 4 2 4 8 2 2" xfId="15198" xr:uid="{B069CA94-B446-4991-BCD9-3224F3E96AEA}"/>
    <cellStyle name="Normal 2 4 2 4 8 3" xfId="10980" xr:uid="{AF2D9B4A-C375-40DA-BDDB-2AE58C5466D2}"/>
    <cellStyle name="Normal 2 4 2 4 9" xfId="4682" xr:uid="{00000000-0005-0000-0000-0000850F0000}"/>
    <cellStyle name="Normal 2 4 2 4 9 2" xfId="13132" xr:uid="{6846AA1D-CDA5-457E-8927-D63E13D6006C}"/>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E6A38B6D-088C-44D2-A47F-0E0CAA9B20AE}"/>
    <cellStyle name="Normal 2 4 2 5 2 2 2 3" xfId="11478" xr:uid="{B68BC3B4-8B48-4597-BC17-6AA87C5C0E1C}"/>
    <cellStyle name="Normal 2 4 2 5 2 2 3" xfId="5101" xr:uid="{00000000-0005-0000-0000-00008B0F0000}"/>
    <cellStyle name="Normal 2 4 2 5 2 2 3 2" xfId="13551" xr:uid="{3766F14A-C45C-4DB5-AABB-643AFE1155C9}"/>
    <cellStyle name="Normal 2 4 2 5 2 2 4" xfId="9333" xr:uid="{B7EBEC15-1AE2-4217-BCDC-88D22BB3722A}"/>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F42F3D60-2DEE-4276-B1C6-20D3DC5315CD}"/>
    <cellStyle name="Normal 2 4 2 5 2 3 2 3" xfId="11891" xr:uid="{18572A3B-3F87-45EC-BD79-907363FB4994}"/>
    <cellStyle name="Normal 2 4 2 5 2 3 3" xfId="5514" xr:uid="{00000000-0005-0000-0000-00008F0F0000}"/>
    <cellStyle name="Normal 2 4 2 5 2 3 3 2" xfId="13964" xr:uid="{0784634A-A878-40BB-ACF1-64D2D482C763}"/>
    <cellStyle name="Normal 2 4 2 5 2 3 4" xfId="9746" xr:uid="{F66D5E2F-4F34-4068-89AF-B51A162F4FA9}"/>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1F9F7971-AE9E-4F95-B105-775F1CDA32A1}"/>
    <cellStyle name="Normal 2 4 2 5 2 4 2 3" xfId="12304" xr:uid="{FA96BC63-165D-42DD-9FC8-199CE58D8E00}"/>
    <cellStyle name="Normal 2 4 2 5 2 4 3" xfId="5927" xr:uid="{00000000-0005-0000-0000-0000930F0000}"/>
    <cellStyle name="Normal 2 4 2 5 2 4 3 2" xfId="14377" xr:uid="{849DC1F9-8D46-4142-9562-70A5CCA5F8B5}"/>
    <cellStyle name="Normal 2 4 2 5 2 4 4" xfId="10159" xr:uid="{24D66ACD-8695-42D0-B6B5-1C4815A8C29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1F224BAB-14E6-405D-A8E6-320361CA060C}"/>
    <cellStyle name="Normal 2 4 2 5 2 5 2 3" xfId="12717" xr:uid="{2535A4ED-BA13-4BB1-A7B7-2D8528E62CC0}"/>
    <cellStyle name="Normal 2 4 2 5 2 5 3" xfId="6340" xr:uid="{00000000-0005-0000-0000-0000970F0000}"/>
    <cellStyle name="Normal 2 4 2 5 2 5 3 2" xfId="14790" xr:uid="{83D24E2C-0464-4BB0-A3AB-444813D96570}"/>
    <cellStyle name="Normal 2 4 2 5 2 5 4" xfId="10572" xr:uid="{2BF5D0EC-DC9A-4C91-BEEC-961D4934F72B}"/>
    <cellStyle name="Normal 2 4 2 5 2 6" xfId="2470" xr:uid="{00000000-0005-0000-0000-0000980F0000}"/>
    <cellStyle name="Normal 2 4 2 5 2 6 2" xfId="6753" xr:uid="{00000000-0005-0000-0000-0000990F0000}"/>
    <cellStyle name="Normal 2 4 2 5 2 6 2 2" xfId="15203" xr:uid="{34E76545-9ACB-42D2-9964-472D691D0E44}"/>
    <cellStyle name="Normal 2 4 2 5 2 6 3" xfId="10985" xr:uid="{4EF7DC66-A4F0-44A8-B846-F9F8A2DF82FF}"/>
    <cellStyle name="Normal 2 4 2 5 2 7" xfId="4687" xr:uid="{00000000-0005-0000-0000-00009A0F0000}"/>
    <cellStyle name="Normal 2 4 2 5 2 7 2" xfId="13137" xr:uid="{FDE9E10C-FD53-45E5-91CD-B8016A272201}"/>
    <cellStyle name="Normal 2 4 2 5 2 8" xfId="8919" xr:uid="{7197A6F3-2D18-4CD4-B7B2-7434D579E9F3}"/>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5ACD0FB0-6D30-4BC2-A970-501ADA41A0D3}"/>
    <cellStyle name="Normal 2 4 2 5 3 2 3" xfId="11477" xr:uid="{8FC76611-B28F-4ECC-899F-B95E08CB75E3}"/>
    <cellStyle name="Normal 2 4 2 5 3 3" xfId="5100" xr:uid="{00000000-0005-0000-0000-00009E0F0000}"/>
    <cellStyle name="Normal 2 4 2 5 3 3 2" xfId="13550" xr:uid="{C42E973B-95FA-490E-A621-086BEF9CB34A}"/>
    <cellStyle name="Normal 2 4 2 5 3 4" xfId="9332" xr:uid="{FE002A6A-BAF8-43A8-8D53-DC6C96FBC34F}"/>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E9601619-984F-4663-9ED4-C6464CC0B8E3}"/>
    <cellStyle name="Normal 2 4 2 5 4 2 3" xfId="11890" xr:uid="{59E73C0A-7FAB-47FA-8C1A-A0FFF7B2C377}"/>
    <cellStyle name="Normal 2 4 2 5 4 3" xfId="5513" xr:uid="{00000000-0005-0000-0000-0000A20F0000}"/>
    <cellStyle name="Normal 2 4 2 5 4 3 2" xfId="13963" xr:uid="{AC0E44F0-4134-4671-BEA9-F3A3481192CE}"/>
    <cellStyle name="Normal 2 4 2 5 4 4" xfId="9745" xr:uid="{13C7E4BA-3928-4C4E-99AB-CBD1B377306F}"/>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4360129A-067D-443B-AB06-2B07A37A2DBF}"/>
    <cellStyle name="Normal 2 4 2 5 5 2 3" xfId="12303" xr:uid="{453FCF82-F12F-4867-9AE7-2D6A2C78B657}"/>
    <cellStyle name="Normal 2 4 2 5 5 3" xfId="5926" xr:uid="{00000000-0005-0000-0000-0000A60F0000}"/>
    <cellStyle name="Normal 2 4 2 5 5 3 2" xfId="14376" xr:uid="{362E7BA1-51D1-46EB-B7E3-5F8FCE548C87}"/>
    <cellStyle name="Normal 2 4 2 5 5 4" xfId="10158" xr:uid="{D598E6F8-7227-4A7F-AA0A-6F25C11951AD}"/>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109760E7-2988-4953-98E6-8E3568ADFC46}"/>
    <cellStyle name="Normal 2 4 2 5 6 2 3" xfId="12716" xr:uid="{24BB2854-BB96-484E-8227-0C4C62A32882}"/>
    <cellStyle name="Normal 2 4 2 5 6 3" xfId="6339" xr:uid="{00000000-0005-0000-0000-0000AA0F0000}"/>
    <cellStyle name="Normal 2 4 2 5 6 3 2" xfId="14789" xr:uid="{C3FDD716-C926-4D66-BD34-16C2EC8FE647}"/>
    <cellStyle name="Normal 2 4 2 5 6 4" xfId="10571" xr:uid="{F6D167D2-FD52-4EDE-8490-F90D1FEF59A5}"/>
    <cellStyle name="Normal 2 4 2 5 7" xfId="2469" xr:uid="{00000000-0005-0000-0000-0000AB0F0000}"/>
    <cellStyle name="Normal 2 4 2 5 7 2" xfId="6752" xr:uid="{00000000-0005-0000-0000-0000AC0F0000}"/>
    <cellStyle name="Normal 2 4 2 5 7 2 2" xfId="15202" xr:uid="{A0FD79B7-273D-4CA6-B2B8-A3AC0A16B3DB}"/>
    <cellStyle name="Normal 2 4 2 5 7 3" xfId="10984" xr:uid="{44E716F5-E4CD-43AF-82DB-3F268865A18F}"/>
    <cellStyle name="Normal 2 4 2 5 8" xfId="4686" xr:uid="{00000000-0005-0000-0000-0000AD0F0000}"/>
    <cellStyle name="Normal 2 4 2 5 8 2" xfId="13136" xr:uid="{8605EB37-10A7-4D5F-AA7A-7B6B0B10F391}"/>
    <cellStyle name="Normal 2 4 2 5 9" xfId="8918" xr:uid="{8171153B-FC2C-4D33-9900-F739C592E54B}"/>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6CCE95C4-4242-4C01-8BB7-CB54247C9234}"/>
    <cellStyle name="Normal 2 4 2 6 2 2 3" xfId="11479" xr:uid="{4E23B1FA-2540-4D04-A0CC-562440A7C283}"/>
    <cellStyle name="Normal 2 4 2 6 2 3" xfId="5102" xr:uid="{00000000-0005-0000-0000-0000B20F0000}"/>
    <cellStyle name="Normal 2 4 2 6 2 3 2" xfId="13552" xr:uid="{7D57100B-F28B-47E8-A9B6-3674197C21B4}"/>
    <cellStyle name="Normal 2 4 2 6 2 4" xfId="9334" xr:uid="{5D6E9203-E256-49D2-8D36-6D7C7B4B9448}"/>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83E415A9-EDD6-462B-B8BA-3088778959DB}"/>
    <cellStyle name="Normal 2 4 2 6 3 2 3" xfId="11892" xr:uid="{3E16F8F4-A030-4434-90FE-4A5D06D141A6}"/>
    <cellStyle name="Normal 2 4 2 6 3 3" xfId="5515" xr:uid="{00000000-0005-0000-0000-0000B60F0000}"/>
    <cellStyle name="Normal 2 4 2 6 3 3 2" xfId="13965" xr:uid="{D55C5A3E-835F-42E0-B858-A914EE53231C}"/>
    <cellStyle name="Normal 2 4 2 6 3 4" xfId="9747" xr:uid="{F1D25FD6-756C-414F-83A9-B8C9D27F264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E7246033-B283-416C-8030-28058043B2EF}"/>
    <cellStyle name="Normal 2 4 2 6 4 2 3" xfId="12305" xr:uid="{53DE0FAA-5459-4197-AC29-869BC2FA6104}"/>
    <cellStyle name="Normal 2 4 2 6 4 3" xfId="5928" xr:uid="{00000000-0005-0000-0000-0000BA0F0000}"/>
    <cellStyle name="Normal 2 4 2 6 4 3 2" xfId="14378" xr:uid="{69EFB42F-9883-4534-90ED-FACAB32C7516}"/>
    <cellStyle name="Normal 2 4 2 6 4 4" xfId="10160" xr:uid="{318BBE48-281B-4185-8367-9D02A3B9F49D}"/>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B7C2409F-939C-4AB6-8766-6A8A93BBE5CF}"/>
    <cellStyle name="Normal 2 4 2 6 5 2 3" xfId="12718" xr:uid="{F8FEA730-A23A-44E0-980B-F59845E1965E}"/>
    <cellStyle name="Normal 2 4 2 6 5 3" xfId="6341" xr:uid="{00000000-0005-0000-0000-0000BE0F0000}"/>
    <cellStyle name="Normal 2 4 2 6 5 3 2" xfId="14791" xr:uid="{C751B9CD-9FD2-4E5D-A9F2-6ECDAA9B3F07}"/>
    <cellStyle name="Normal 2 4 2 6 5 4" xfId="10573" xr:uid="{7AB8BBB1-2628-45A4-ACA8-76CD83E7A11E}"/>
    <cellStyle name="Normal 2 4 2 6 6" xfId="2471" xr:uid="{00000000-0005-0000-0000-0000BF0F0000}"/>
    <cellStyle name="Normal 2 4 2 6 6 2" xfId="6754" xr:uid="{00000000-0005-0000-0000-0000C00F0000}"/>
    <cellStyle name="Normal 2 4 2 6 6 2 2" xfId="15204" xr:uid="{C75F8970-E5C4-43D3-8554-6DFF6304ABBF}"/>
    <cellStyle name="Normal 2 4 2 6 6 3" xfId="10986" xr:uid="{FAC47BDB-799C-4C39-A619-352D3CE352DB}"/>
    <cellStyle name="Normal 2 4 2 6 7" xfId="4688" xr:uid="{00000000-0005-0000-0000-0000C10F0000}"/>
    <cellStyle name="Normal 2 4 2 6 7 2" xfId="13138" xr:uid="{1F347462-ACCA-4C3C-BBE4-01D0B3FF6AD5}"/>
    <cellStyle name="Normal 2 4 2 6 8" xfId="8920" xr:uid="{B09181DF-C3E7-4BDC-A0D4-F4B65B2F9A39}"/>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3A5E607A-142B-4597-9931-0A9784985DA7}"/>
    <cellStyle name="Normal 2 4 2 7 2 3" xfId="11464" xr:uid="{AFFCB56A-BFCA-4369-964D-7CFA5D18F758}"/>
    <cellStyle name="Normal 2 4 2 7 3" xfId="5087" xr:uid="{00000000-0005-0000-0000-0000C50F0000}"/>
    <cellStyle name="Normal 2 4 2 7 3 2" xfId="13537" xr:uid="{A2338274-2359-4397-BFBA-CBBDD19A3D0A}"/>
    <cellStyle name="Normal 2 4 2 7 4" xfId="9319" xr:uid="{731C0B6A-4B1D-4DFE-AF11-95CB15565B6C}"/>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774C566F-02A3-4EE2-AF10-CF6BEF37C3B4}"/>
    <cellStyle name="Normal 2 4 2 8 2 3" xfId="11877" xr:uid="{9D089169-10CA-4AF8-8F96-B4CB0E2D9723}"/>
    <cellStyle name="Normal 2 4 2 8 3" xfId="5500" xr:uid="{00000000-0005-0000-0000-0000C90F0000}"/>
    <cellStyle name="Normal 2 4 2 8 3 2" xfId="13950" xr:uid="{C495A701-623A-470E-855E-48F373DB40A7}"/>
    <cellStyle name="Normal 2 4 2 8 4" xfId="9732" xr:uid="{644AC81F-A355-43E7-BD93-DA2B17A7B031}"/>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EB39711D-3DA9-47FB-9342-9928029247A7}"/>
    <cellStyle name="Normal 2 4 2 9 2 3" xfId="12290" xr:uid="{16E2B46F-4E39-468B-8F53-4FF0EDFEB7AE}"/>
    <cellStyle name="Normal 2 4 2 9 3" xfId="5913" xr:uid="{00000000-0005-0000-0000-0000CD0F0000}"/>
    <cellStyle name="Normal 2 4 2 9 3 2" xfId="14363" xr:uid="{A68FC913-D0AD-47B5-BFC0-866CAE4D9691}"/>
    <cellStyle name="Normal 2 4 2 9 4" xfId="10145" xr:uid="{4B08FEEA-CAFF-46E4-8819-1DFE605EF7E1}"/>
    <cellStyle name="Normal 2 4 3" xfId="296" xr:uid="{00000000-0005-0000-0000-0000CE0F0000}"/>
    <cellStyle name="Normal 2 4 3 10" xfId="8921" xr:uid="{387DD770-3A1C-4D88-81F5-F24A320EBFCE}"/>
    <cellStyle name="Normal 2 4 3 2" xfId="297" xr:uid="{00000000-0005-0000-0000-0000CF0F0000}"/>
    <cellStyle name="Normal 2 4 3 3" xfId="298" xr:uid="{00000000-0005-0000-0000-0000D00F0000}"/>
    <cellStyle name="Normal 2 4 3 3 10" xfId="8922" xr:uid="{22FF01C0-F793-43A3-8148-855AE9D1D3C1}"/>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6FE30B4A-B2CD-46AD-8F9D-23A9BE965938}"/>
    <cellStyle name="Normal 2 4 3 3 2 2 2 2 3" xfId="11483" xr:uid="{FE35370C-6482-4164-954C-C1D870451D28}"/>
    <cellStyle name="Normal 2 4 3 3 2 2 2 3" xfId="5106" xr:uid="{00000000-0005-0000-0000-0000D60F0000}"/>
    <cellStyle name="Normal 2 4 3 3 2 2 2 3 2" xfId="13556" xr:uid="{C17A2DA3-044E-4212-98F2-8BAD4280665B}"/>
    <cellStyle name="Normal 2 4 3 3 2 2 2 4" xfId="9338" xr:uid="{6CD69ED0-B089-41AC-ACBA-6D5FDCFFA45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6885DC16-763C-4435-BD69-F12458C11B42}"/>
    <cellStyle name="Normal 2 4 3 3 2 2 3 2 3" xfId="11896" xr:uid="{4235DE84-FFFB-4661-A214-B67E41A6BC9A}"/>
    <cellStyle name="Normal 2 4 3 3 2 2 3 3" xfId="5519" xr:uid="{00000000-0005-0000-0000-0000DA0F0000}"/>
    <cellStyle name="Normal 2 4 3 3 2 2 3 3 2" xfId="13969" xr:uid="{37B552CC-92E7-4B8A-9C2A-8C6E16C6E9E7}"/>
    <cellStyle name="Normal 2 4 3 3 2 2 3 4" xfId="9751" xr:uid="{9806BA86-2AC1-45FE-87D6-1BA03B3A7B1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50F01463-82FB-4E05-AF15-9CEAE33E6EE7}"/>
    <cellStyle name="Normal 2 4 3 3 2 2 4 2 3" xfId="12309" xr:uid="{420360C1-88F4-4BD7-943C-F86BF1F707D4}"/>
    <cellStyle name="Normal 2 4 3 3 2 2 4 3" xfId="5932" xr:uid="{00000000-0005-0000-0000-0000DE0F0000}"/>
    <cellStyle name="Normal 2 4 3 3 2 2 4 3 2" xfId="14382" xr:uid="{C2DF5E80-53C9-40AD-A338-1FEBE69CF432}"/>
    <cellStyle name="Normal 2 4 3 3 2 2 4 4" xfId="10164" xr:uid="{0C8F0042-E928-4B7B-AB7B-7964F8B5B32F}"/>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C449A110-3AAB-4A17-8483-F36616076069}"/>
    <cellStyle name="Normal 2 4 3 3 2 2 5 2 3" xfId="12722" xr:uid="{A971A32C-BAD9-4892-8BF9-93A74457A704}"/>
    <cellStyle name="Normal 2 4 3 3 2 2 5 3" xfId="6345" xr:uid="{00000000-0005-0000-0000-0000E20F0000}"/>
    <cellStyle name="Normal 2 4 3 3 2 2 5 3 2" xfId="14795" xr:uid="{145F0F84-A4A2-4FE0-9FD5-7A96050F53B5}"/>
    <cellStyle name="Normal 2 4 3 3 2 2 5 4" xfId="10577" xr:uid="{8CA75C2D-3164-4193-AFE8-946BBEDA232E}"/>
    <cellStyle name="Normal 2 4 3 3 2 2 6" xfId="2475" xr:uid="{00000000-0005-0000-0000-0000E30F0000}"/>
    <cellStyle name="Normal 2 4 3 3 2 2 6 2" xfId="6758" xr:uid="{00000000-0005-0000-0000-0000E40F0000}"/>
    <cellStyle name="Normal 2 4 3 3 2 2 6 2 2" xfId="15208" xr:uid="{971958FF-2AAE-4766-A787-EE17F0BDC30D}"/>
    <cellStyle name="Normal 2 4 3 3 2 2 6 3" xfId="10990" xr:uid="{7A95945E-9064-4065-842E-21F9EA5A173E}"/>
    <cellStyle name="Normal 2 4 3 3 2 2 7" xfId="4692" xr:uid="{00000000-0005-0000-0000-0000E50F0000}"/>
    <cellStyle name="Normal 2 4 3 3 2 2 7 2" xfId="13142" xr:uid="{EE269D6F-AD68-476C-8A57-E33EE4CCD7C1}"/>
    <cellStyle name="Normal 2 4 3 3 2 2 8" xfId="8924" xr:uid="{18B1E483-4A7E-4D13-934D-B209F434564E}"/>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9B020937-F418-4789-A0DE-6069C08D3955}"/>
    <cellStyle name="Normal 2 4 3 3 2 3 2 3" xfId="11482" xr:uid="{5207446D-396F-40C0-A432-2B1507601ED9}"/>
    <cellStyle name="Normal 2 4 3 3 2 3 3" xfId="5105" xr:uid="{00000000-0005-0000-0000-0000E90F0000}"/>
    <cellStyle name="Normal 2 4 3 3 2 3 3 2" xfId="13555" xr:uid="{DC9F38A1-B5EB-4F5E-B235-ADF2EF29F024}"/>
    <cellStyle name="Normal 2 4 3 3 2 3 4" xfId="9337" xr:uid="{CE92F7B4-B32B-480D-8FCC-EB54FECF7181}"/>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266A2FE1-2654-4040-BAD4-3FF3BE520038}"/>
    <cellStyle name="Normal 2 4 3 3 2 4 2 3" xfId="11895" xr:uid="{682AEE69-1A9A-44CC-B7D9-2F785CC6860E}"/>
    <cellStyle name="Normal 2 4 3 3 2 4 3" xfId="5518" xr:uid="{00000000-0005-0000-0000-0000ED0F0000}"/>
    <cellStyle name="Normal 2 4 3 3 2 4 3 2" xfId="13968" xr:uid="{D0982D93-0D9C-4CC7-8C5F-B612A6495933}"/>
    <cellStyle name="Normal 2 4 3 3 2 4 4" xfId="9750" xr:uid="{13E8EC07-FE96-4A29-BEEE-3AA48B8C0B8D}"/>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CFC78AF9-8A50-474C-82A5-DC316F542BC3}"/>
    <cellStyle name="Normal 2 4 3 3 2 5 2 3" xfId="12308" xr:uid="{1B65088A-32D6-494E-AAE7-7A809C5DC276}"/>
    <cellStyle name="Normal 2 4 3 3 2 5 3" xfId="5931" xr:uid="{00000000-0005-0000-0000-0000F10F0000}"/>
    <cellStyle name="Normal 2 4 3 3 2 5 3 2" xfId="14381" xr:uid="{3DFCEEE3-5DC5-4EBE-98F5-05025393AEFE}"/>
    <cellStyle name="Normal 2 4 3 3 2 5 4" xfId="10163" xr:uid="{73D00722-BF23-4AAA-9D0B-D580576ACFF4}"/>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03F0B7C5-28D7-4CEA-A6A4-3DAE19CBC0DF}"/>
    <cellStyle name="Normal 2 4 3 3 2 6 2 3" xfId="12721" xr:uid="{DAE49A61-861C-4A53-886E-DB9502259228}"/>
    <cellStyle name="Normal 2 4 3 3 2 6 3" xfId="6344" xr:uid="{00000000-0005-0000-0000-0000F50F0000}"/>
    <cellStyle name="Normal 2 4 3 3 2 6 3 2" xfId="14794" xr:uid="{CD7D851F-ACDC-4F59-A258-5A3FE4EB08F1}"/>
    <cellStyle name="Normal 2 4 3 3 2 6 4" xfId="10576" xr:uid="{74D2FE2C-5FFC-4C25-968D-79C093AFBBEF}"/>
    <cellStyle name="Normal 2 4 3 3 2 7" xfId="2474" xr:uid="{00000000-0005-0000-0000-0000F60F0000}"/>
    <cellStyle name="Normal 2 4 3 3 2 7 2" xfId="6757" xr:uid="{00000000-0005-0000-0000-0000F70F0000}"/>
    <cellStyle name="Normal 2 4 3 3 2 7 2 2" xfId="15207" xr:uid="{C086A222-E65C-43DA-8E6A-7CD3E460889F}"/>
    <cellStyle name="Normal 2 4 3 3 2 7 3" xfId="10989" xr:uid="{129781F2-49DA-42B7-BA81-598812150720}"/>
    <cellStyle name="Normal 2 4 3 3 2 8" xfId="4691" xr:uid="{00000000-0005-0000-0000-0000F80F0000}"/>
    <cellStyle name="Normal 2 4 3 3 2 8 2" xfId="13141" xr:uid="{FE2687A2-61DB-4C91-A819-8898EB4B41AF}"/>
    <cellStyle name="Normal 2 4 3 3 2 9" xfId="8923" xr:uid="{0FD92EAC-B70D-44EE-8E5A-F84BC5B2128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1974D862-6188-4C29-98D7-C6A63F627F3F}"/>
    <cellStyle name="Normal 2 4 3 3 3 2 2 3" xfId="11484" xr:uid="{F77926FE-9F14-4D20-8C1D-6E946BAC2EFB}"/>
    <cellStyle name="Normal 2 4 3 3 3 2 3" xfId="5107" xr:uid="{00000000-0005-0000-0000-0000FD0F0000}"/>
    <cellStyle name="Normal 2 4 3 3 3 2 3 2" xfId="13557" xr:uid="{03CBE78E-0131-4FCF-AC75-3C33C3BB0405}"/>
    <cellStyle name="Normal 2 4 3 3 3 2 4" xfId="9339" xr:uid="{83ED05B8-D004-413E-BFDA-8ADB223B7176}"/>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491C745E-F723-4FB9-B4C8-1BBA6C04446D}"/>
    <cellStyle name="Normal 2 4 3 3 3 3 2 3" xfId="11897" xr:uid="{EE632B07-3E8E-4942-B3CC-842E8EB4CECB}"/>
    <cellStyle name="Normal 2 4 3 3 3 3 3" xfId="5520" xr:uid="{00000000-0005-0000-0000-000001100000}"/>
    <cellStyle name="Normal 2 4 3 3 3 3 3 2" xfId="13970" xr:uid="{F231F270-4EAD-4020-8587-5BA4D51326C1}"/>
    <cellStyle name="Normal 2 4 3 3 3 3 4" xfId="9752" xr:uid="{B3DB6361-4E9F-4407-8722-36AFDBED71E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A304604A-F154-4544-BD40-4B057B7AD266}"/>
    <cellStyle name="Normal 2 4 3 3 3 4 2 3" xfId="12310" xr:uid="{C8909830-56F3-4A46-8E7F-AF09D32ED341}"/>
    <cellStyle name="Normal 2 4 3 3 3 4 3" xfId="5933" xr:uid="{00000000-0005-0000-0000-000005100000}"/>
    <cellStyle name="Normal 2 4 3 3 3 4 3 2" xfId="14383" xr:uid="{7EED5F52-B941-4745-B54D-FC9E51DEEC7C}"/>
    <cellStyle name="Normal 2 4 3 3 3 4 4" xfId="10165" xr:uid="{BF913AE7-18AD-418A-9F08-39C236D9E37B}"/>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F58948A1-BE9E-4D4E-B2B6-16687B23B880}"/>
    <cellStyle name="Normal 2 4 3 3 3 5 2 3" xfId="12723" xr:uid="{D2B72800-19B9-48CE-B029-4B34E13D64E8}"/>
    <cellStyle name="Normal 2 4 3 3 3 5 3" xfId="6346" xr:uid="{00000000-0005-0000-0000-000009100000}"/>
    <cellStyle name="Normal 2 4 3 3 3 5 3 2" xfId="14796" xr:uid="{3A4BA510-5607-4D8C-8EE7-69FDCEF6B58B}"/>
    <cellStyle name="Normal 2 4 3 3 3 5 4" xfId="10578" xr:uid="{EFFE7331-6BFC-4058-8BD6-949FB7D7F0C8}"/>
    <cellStyle name="Normal 2 4 3 3 3 6" xfId="2476" xr:uid="{00000000-0005-0000-0000-00000A100000}"/>
    <cellStyle name="Normal 2 4 3 3 3 6 2" xfId="6759" xr:uid="{00000000-0005-0000-0000-00000B100000}"/>
    <cellStyle name="Normal 2 4 3 3 3 6 2 2" xfId="15209" xr:uid="{123FB115-2117-4117-B1A7-F65F73E757B0}"/>
    <cellStyle name="Normal 2 4 3 3 3 6 3" xfId="10991" xr:uid="{7C7240E2-09F1-4EAA-BD1C-EB6B6B9F5ED6}"/>
    <cellStyle name="Normal 2 4 3 3 3 7" xfId="4693" xr:uid="{00000000-0005-0000-0000-00000C100000}"/>
    <cellStyle name="Normal 2 4 3 3 3 7 2" xfId="13143" xr:uid="{EA7A77AE-B162-405F-B095-C1F136588422}"/>
    <cellStyle name="Normal 2 4 3 3 3 8" xfId="8925" xr:uid="{DA9B9161-3FFB-4138-8F33-C01F14139EEA}"/>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AC39F70D-B38D-47DE-94A9-C63101E80427}"/>
    <cellStyle name="Normal 2 4 3 3 4 2 3" xfId="11481" xr:uid="{9A9E70CD-23C3-4BD8-AB0A-F2125D28B0EE}"/>
    <cellStyle name="Normal 2 4 3 3 4 3" xfId="5104" xr:uid="{00000000-0005-0000-0000-000010100000}"/>
    <cellStyle name="Normal 2 4 3 3 4 3 2" xfId="13554" xr:uid="{D7CB6BE5-9EF5-49F2-91B6-441289CD1BB3}"/>
    <cellStyle name="Normal 2 4 3 3 4 4" xfId="9336" xr:uid="{5395C2D6-9397-48B5-B610-3CF2BC9AE2E4}"/>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F4701D94-1A39-4132-8F86-D823AC785AA5}"/>
    <cellStyle name="Normal 2 4 3 3 5 2 3" xfId="11894" xr:uid="{19E1BA36-CD79-4AA5-9C13-BA7303C3A95E}"/>
    <cellStyle name="Normal 2 4 3 3 5 3" xfId="5517" xr:uid="{00000000-0005-0000-0000-000014100000}"/>
    <cellStyle name="Normal 2 4 3 3 5 3 2" xfId="13967" xr:uid="{610AA99B-B531-4781-8678-630792012D6E}"/>
    <cellStyle name="Normal 2 4 3 3 5 4" xfId="9749" xr:uid="{2534C214-6DB3-40BC-B4D0-DA5115E1250F}"/>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22F3DC79-2086-4D3D-A94C-56067BFCFD85}"/>
    <cellStyle name="Normal 2 4 3 3 6 2 3" xfId="12307" xr:uid="{A7554974-7939-4957-8E3A-68E2E7D2B696}"/>
    <cellStyle name="Normal 2 4 3 3 6 3" xfId="5930" xr:uid="{00000000-0005-0000-0000-000018100000}"/>
    <cellStyle name="Normal 2 4 3 3 6 3 2" xfId="14380" xr:uid="{20AE585A-8F7D-4A69-B2CF-4D6D78249B04}"/>
    <cellStyle name="Normal 2 4 3 3 6 4" xfId="10162" xr:uid="{87DFDF9A-5414-43E0-9403-109362D7E396}"/>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C09312D2-F582-4DE6-B403-E32AF5639E8C}"/>
    <cellStyle name="Normal 2 4 3 3 7 2 3" xfId="12720" xr:uid="{86DFF10A-BB6D-4D86-90C4-E68CFDB4FC2E}"/>
    <cellStyle name="Normal 2 4 3 3 7 3" xfId="6343" xr:uid="{00000000-0005-0000-0000-00001C100000}"/>
    <cellStyle name="Normal 2 4 3 3 7 3 2" xfId="14793" xr:uid="{C99BCED2-03D7-4808-92B1-B4AFCD55BE8B}"/>
    <cellStyle name="Normal 2 4 3 3 7 4" xfId="10575" xr:uid="{7289320F-0D47-467A-B050-03781725C71C}"/>
    <cellStyle name="Normal 2 4 3 3 8" xfId="2473" xr:uid="{00000000-0005-0000-0000-00001D100000}"/>
    <cellStyle name="Normal 2 4 3 3 8 2" xfId="6756" xr:uid="{00000000-0005-0000-0000-00001E100000}"/>
    <cellStyle name="Normal 2 4 3 3 8 2 2" xfId="15206" xr:uid="{BA707B59-DDD9-4833-AA10-5DB0AFE08D01}"/>
    <cellStyle name="Normal 2 4 3 3 8 3" xfId="10988" xr:uid="{A9B15E74-B8C1-481E-A58C-4DFD5BC1E344}"/>
    <cellStyle name="Normal 2 4 3 3 9" xfId="4690" xr:uid="{00000000-0005-0000-0000-00001F100000}"/>
    <cellStyle name="Normal 2 4 3 3 9 2" xfId="13140" xr:uid="{53ACAF3B-D0EF-4454-A70A-3D178822E873}"/>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7C0BCF29-CDAF-4003-B4A7-6751A538EDB1}"/>
    <cellStyle name="Normal 2 4 3 4 2 3" xfId="11480" xr:uid="{D70320F0-BE91-41E7-85A5-411BEA42CC93}"/>
    <cellStyle name="Normal 2 4 3 4 3" xfId="5103" xr:uid="{00000000-0005-0000-0000-000023100000}"/>
    <cellStyle name="Normal 2 4 3 4 3 2" xfId="13553" xr:uid="{82C952C8-4CA3-4EC0-8FBB-E9008DB3A763}"/>
    <cellStyle name="Normal 2 4 3 4 4" xfId="9335" xr:uid="{0532AE7A-F5C6-4CDC-A41A-F2D4CDA5BC6C}"/>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486EFBA6-8511-4031-8829-25171431BC4E}"/>
    <cellStyle name="Normal 2 4 3 5 2 3" xfId="11893" xr:uid="{513E397A-2B50-40A1-92BB-77C96EB9B4E1}"/>
    <cellStyle name="Normal 2 4 3 5 3" xfId="5516" xr:uid="{00000000-0005-0000-0000-000027100000}"/>
    <cellStyle name="Normal 2 4 3 5 3 2" xfId="13966" xr:uid="{DA218E5A-C831-4336-9822-BBE5943DF018}"/>
    <cellStyle name="Normal 2 4 3 5 4" xfId="9748" xr:uid="{55C9470E-B156-4340-82F0-F3AF0A717A66}"/>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8454E6F3-1C54-48B1-8FD4-E28FF05AFC61}"/>
    <cellStyle name="Normal 2 4 3 6 2 3" xfId="12306" xr:uid="{117DFA3B-2879-4414-92CA-723D1FDB25C4}"/>
    <cellStyle name="Normal 2 4 3 6 3" xfId="5929" xr:uid="{00000000-0005-0000-0000-00002B100000}"/>
    <cellStyle name="Normal 2 4 3 6 3 2" xfId="14379" xr:uid="{533B6CAD-768A-491A-ABCB-B0694C83C81A}"/>
    <cellStyle name="Normal 2 4 3 6 4" xfId="10161" xr:uid="{4C775C8D-A2C4-4387-995F-8A8F182C9B9D}"/>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E59B0681-88F2-4216-AAA9-3651A3B3CC9D}"/>
    <cellStyle name="Normal 2 4 3 7 2 3" xfId="12719" xr:uid="{0687F079-C7B1-491F-9F15-53623303077B}"/>
    <cellStyle name="Normal 2 4 3 7 3" xfId="6342" xr:uid="{00000000-0005-0000-0000-00002F100000}"/>
    <cellStyle name="Normal 2 4 3 7 3 2" xfId="14792" xr:uid="{556ACAC9-9AB2-48FA-BE33-A6EEF7EAD67F}"/>
    <cellStyle name="Normal 2 4 3 7 4" xfId="10574" xr:uid="{6A2CA2FE-A047-4B36-A96B-6898F2D5CC05}"/>
    <cellStyle name="Normal 2 4 3 8" xfId="2472" xr:uid="{00000000-0005-0000-0000-000030100000}"/>
    <cellStyle name="Normal 2 4 3 8 2" xfId="6755" xr:uid="{00000000-0005-0000-0000-000031100000}"/>
    <cellStyle name="Normal 2 4 3 8 2 2" xfId="15205" xr:uid="{3CD5BDEF-CEDB-40BB-84B1-A4C88C3AB7AA}"/>
    <cellStyle name="Normal 2 4 3 8 3" xfId="10987" xr:uid="{5C037B9A-42AF-48E7-AB9F-8EE54ABBAD2E}"/>
    <cellStyle name="Normal 2 4 3 9" xfId="4689" xr:uid="{00000000-0005-0000-0000-000032100000}"/>
    <cellStyle name="Normal 2 4 3 9 2" xfId="13139" xr:uid="{5C79FAC1-9932-48E7-968D-D093F6550926}"/>
    <cellStyle name="Normal 2 4 4" xfId="302" xr:uid="{00000000-0005-0000-0000-000033100000}"/>
    <cellStyle name="Normal 2 4 5" xfId="303" xr:uid="{00000000-0005-0000-0000-000034100000}"/>
    <cellStyle name="Normal 2 4 5 10" xfId="4694" xr:uid="{00000000-0005-0000-0000-000035100000}"/>
    <cellStyle name="Normal 2 4 5 10 2" xfId="13144" xr:uid="{4586F757-BB69-4DDB-8E69-A4DE4DBA4C27}"/>
    <cellStyle name="Normal 2 4 5 11" xfId="8926" xr:uid="{95BF193A-8BBD-49A3-BF49-CC763123139D}"/>
    <cellStyle name="Normal 2 4 5 2" xfId="304" xr:uid="{00000000-0005-0000-0000-000036100000}"/>
    <cellStyle name="Normal 2 4 5 2 10" xfId="8927" xr:uid="{D6FCDC5E-2D77-489B-B16E-E6A2CD62037C}"/>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0DB11B6C-DFDC-4783-8CEE-C7B515D16920}"/>
    <cellStyle name="Normal 2 4 5 2 2 2 2 2 3" xfId="11488" xr:uid="{4E9BEEF0-AD24-4FBF-AEEC-32B1E7F0AB8B}"/>
    <cellStyle name="Normal 2 4 5 2 2 2 2 3" xfId="5111" xr:uid="{00000000-0005-0000-0000-00003C100000}"/>
    <cellStyle name="Normal 2 4 5 2 2 2 2 3 2" xfId="13561" xr:uid="{BDB6AC43-5E60-40F1-8CCC-2DA4ECE7875F}"/>
    <cellStyle name="Normal 2 4 5 2 2 2 2 4" xfId="9343" xr:uid="{62463580-DC02-4251-8CB6-268C6571BF8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69B24902-0719-46A1-A9D0-8A785243AA31}"/>
    <cellStyle name="Normal 2 4 5 2 2 2 3 2 3" xfId="11901" xr:uid="{E2E37C01-2555-4D28-B93E-F30D768468FD}"/>
    <cellStyle name="Normal 2 4 5 2 2 2 3 3" xfId="5524" xr:uid="{00000000-0005-0000-0000-000040100000}"/>
    <cellStyle name="Normal 2 4 5 2 2 2 3 3 2" xfId="13974" xr:uid="{4688C243-CAC5-420C-95CF-0999C173EAC5}"/>
    <cellStyle name="Normal 2 4 5 2 2 2 3 4" xfId="9756" xr:uid="{C3E94428-A013-45E2-BD7B-220319E1F1C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73AA08B0-792C-486A-A62E-2A4FCCE68E47}"/>
    <cellStyle name="Normal 2 4 5 2 2 2 4 2 3" xfId="12314" xr:uid="{C2C93546-739B-44DE-A9F2-16425BD96BA9}"/>
    <cellStyle name="Normal 2 4 5 2 2 2 4 3" xfId="5937" xr:uid="{00000000-0005-0000-0000-000044100000}"/>
    <cellStyle name="Normal 2 4 5 2 2 2 4 3 2" xfId="14387" xr:uid="{C258DBD7-70CE-4F7D-BE93-E5DAB4041C57}"/>
    <cellStyle name="Normal 2 4 5 2 2 2 4 4" xfId="10169" xr:uid="{7D3A0662-34B2-4840-920E-B2C0A87AF7BE}"/>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62D024D7-EBC8-4000-80A9-09D58C6E211A}"/>
    <cellStyle name="Normal 2 4 5 2 2 2 5 2 3" xfId="12727" xr:uid="{1CEAD96C-29B4-4011-B1D6-3CC7427A031C}"/>
    <cellStyle name="Normal 2 4 5 2 2 2 5 3" xfId="6350" xr:uid="{00000000-0005-0000-0000-000048100000}"/>
    <cellStyle name="Normal 2 4 5 2 2 2 5 3 2" xfId="14800" xr:uid="{FFCB6D08-4D24-46C4-AC7D-DAC55B241AF6}"/>
    <cellStyle name="Normal 2 4 5 2 2 2 5 4" xfId="10582" xr:uid="{FAF77139-C870-4716-9251-B13CC6119D6C}"/>
    <cellStyle name="Normal 2 4 5 2 2 2 6" xfId="2480" xr:uid="{00000000-0005-0000-0000-000049100000}"/>
    <cellStyle name="Normal 2 4 5 2 2 2 6 2" xfId="6763" xr:uid="{00000000-0005-0000-0000-00004A100000}"/>
    <cellStyle name="Normal 2 4 5 2 2 2 6 2 2" xfId="15213" xr:uid="{C4F1D2A4-7FE6-47C9-BA2D-6AA03159C481}"/>
    <cellStyle name="Normal 2 4 5 2 2 2 6 3" xfId="10995" xr:uid="{B85FDE1D-8F58-41C3-9BF1-A4DB1EF7B0A8}"/>
    <cellStyle name="Normal 2 4 5 2 2 2 7" xfId="4697" xr:uid="{00000000-0005-0000-0000-00004B100000}"/>
    <cellStyle name="Normal 2 4 5 2 2 2 7 2" xfId="13147" xr:uid="{A90924BF-ED3F-46B4-B701-2F8B35F1F306}"/>
    <cellStyle name="Normal 2 4 5 2 2 2 8" xfId="8929" xr:uid="{D21401D7-1DAD-4F95-94AD-8FBE60DB50BC}"/>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8EEB1A45-10B6-461E-AF26-538F551141D4}"/>
    <cellStyle name="Normal 2 4 5 2 2 3 2 3" xfId="11487" xr:uid="{86F4A3B5-E910-42EA-8921-9E48AF3D69EE}"/>
    <cellStyle name="Normal 2 4 5 2 2 3 3" xfId="5110" xr:uid="{00000000-0005-0000-0000-00004F100000}"/>
    <cellStyle name="Normal 2 4 5 2 2 3 3 2" xfId="13560" xr:uid="{DB7E4229-41E0-474B-A33B-187D746BA5D5}"/>
    <cellStyle name="Normal 2 4 5 2 2 3 4" xfId="9342" xr:uid="{7C9967F4-645D-406D-878F-CB3B003F915D}"/>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EC8E9B17-A1C3-4D6F-9D30-DEC992A91A68}"/>
    <cellStyle name="Normal 2 4 5 2 2 4 2 3" xfId="11900" xr:uid="{7D71C0CC-2E71-489A-9B4B-3F1A955A96FF}"/>
    <cellStyle name="Normal 2 4 5 2 2 4 3" xfId="5523" xr:uid="{00000000-0005-0000-0000-000053100000}"/>
    <cellStyle name="Normal 2 4 5 2 2 4 3 2" xfId="13973" xr:uid="{4B543FCC-7442-4101-88BF-D0AC7A1270EC}"/>
    <cellStyle name="Normal 2 4 5 2 2 4 4" xfId="9755" xr:uid="{B3962535-0364-4DA3-B2BB-CF5BAEA374E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D1ED1F7F-AECD-496C-8A60-3686CCB303DA}"/>
    <cellStyle name="Normal 2 4 5 2 2 5 2 3" xfId="12313" xr:uid="{4290BADE-30AB-4F5E-93CE-9D7D3DDB5101}"/>
    <cellStyle name="Normal 2 4 5 2 2 5 3" xfId="5936" xr:uid="{00000000-0005-0000-0000-000057100000}"/>
    <cellStyle name="Normal 2 4 5 2 2 5 3 2" xfId="14386" xr:uid="{8DA6CE55-E7EA-4B33-AC7C-AF6A59E94343}"/>
    <cellStyle name="Normal 2 4 5 2 2 5 4" xfId="10168" xr:uid="{B00052E4-F3E0-4D01-BA6A-2C545462450A}"/>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88FDD269-7271-4BB7-8A5E-81215E25D705}"/>
    <cellStyle name="Normal 2 4 5 2 2 6 2 3" xfId="12726" xr:uid="{0323847F-04A9-4F4D-B44C-41EB320BBAAD}"/>
    <cellStyle name="Normal 2 4 5 2 2 6 3" xfId="6349" xr:uid="{00000000-0005-0000-0000-00005B100000}"/>
    <cellStyle name="Normal 2 4 5 2 2 6 3 2" xfId="14799" xr:uid="{90193A1C-5C40-41A9-831F-E57D32362C44}"/>
    <cellStyle name="Normal 2 4 5 2 2 6 4" xfId="10581" xr:uid="{D08E9195-84EB-4D3B-BAFE-E8275BCEF3FC}"/>
    <cellStyle name="Normal 2 4 5 2 2 7" xfId="2479" xr:uid="{00000000-0005-0000-0000-00005C100000}"/>
    <cellStyle name="Normal 2 4 5 2 2 7 2" xfId="6762" xr:uid="{00000000-0005-0000-0000-00005D100000}"/>
    <cellStyle name="Normal 2 4 5 2 2 7 2 2" xfId="15212" xr:uid="{92942EAE-5B34-426F-875B-0FECD8A24162}"/>
    <cellStyle name="Normal 2 4 5 2 2 7 3" xfId="10994" xr:uid="{534DC905-CC39-441B-8D1C-550CBA2C9CCA}"/>
    <cellStyle name="Normal 2 4 5 2 2 8" xfId="4696" xr:uid="{00000000-0005-0000-0000-00005E100000}"/>
    <cellStyle name="Normal 2 4 5 2 2 8 2" xfId="13146" xr:uid="{04A4FEBF-97D7-468B-A98E-1524953E8E8C}"/>
    <cellStyle name="Normal 2 4 5 2 2 9" xfId="8928" xr:uid="{4BE9C6EC-4D50-4B79-A1A6-4CD9DF5316D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CA0EFD3B-E4AC-4BFC-A776-8D580979EBED}"/>
    <cellStyle name="Normal 2 4 5 2 3 2 2 3" xfId="11489" xr:uid="{C0C03761-9A29-48DB-985B-089A8A8A9BCD}"/>
    <cellStyle name="Normal 2 4 5 2 3 2 3" xfId="5112" xr:uid="{00000000-0005-0000-0000-000063100000}"/>
    <cellStyle name="Normal 2 4 5 2 3 2 3 2" xfId="13562" xr:uid="{3BFE9141-93AD-4A06-B0CE-492FBEB1A362}"/>
    <cellStyle name="Normal 2 4 5 2 3 2 4" xfId="9344" xr:uid="{232EBE12-8DAA-4320-ADD5-E637AED88797}"/>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A533B58B-216C-4118-A7C2-F440CA71AADA}"/>
    <cellStyle name="Normal 2 4 5 2 3 3 2 3" xfId="11902" xr:uid="{5A295687-4F1A-40CB-BB50-41C980203F05}"/>
    <cellStyle name="Normal 2 4 5 2 3 3 3" xfId="5525" xr:uid="{00000000-0005-0000-0000-000067100000}"/>
    <cellStyle name="Normal 2 4 5 2 3 3 3 2" xfId="13975" xr:uid="{08CF1841-8A0B-4053-A56B-4264BD241988}"/>
    <cellStyle name="Normal 2 4 5 2 3 3 4" xfId="9757" xr:uid="{0A9C228E-ABA2-4758-940A-AC34F33B42E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D84B6D48-51D3-4E61-A9F6-FFD0A170AD54}"/>
    <cellStyle name="Normal 2 4 5 2 3 4 2 3" xfId="12315" xr:uid="{B9B0D05C-6E42-4DDE-8C3D-5E0AEBE8D2B8}"/>
    <cellStyle name="Normal 2 4 5 2 3 4 3" xfId="5938" xr:uid="{00000000-0005-0000-0000-00006B100000}"/>
    <cellStyle name="Normal 2 4 5 2 3 4 3 2" xfId="14388" xr:uid="{7AD17C2C-9343-4723-8C20-65B336497125}"/>
    <cellStyle name="Normal 2 4 5 2 3 4 4" xfId="10170" xr:uid="{E4344F13-8ED9-436C-A41F-178959314CDD}"/>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C24F5D28-10A9-4C4C-9CC8-C75DAFE64C71}"/>
    <cellStyle name="Normal 2 4 5 2 3 5 2 3" xfId="12728" xr:uid="{BB0151EA-6E03-49C3-99FA-5A63C88FDCC3}"/>
    <cellStyle name="Normal 2 4 5 2 3 5 3" xfId="6351" xr:uid="{00000000-0005-0000-0000-00006F100000}"/>
    <cellStyle name="Normal 2 4 5 2 3 5 3 2" xfId="14801" xr:uid="{0EAD4922-44D7-4EA2-A5C4-46D247EE222C}"/>
    <cellStyle name="Normal 2 4 5 2 3 5 4" xfId="10583" xr:uid="{2C36960E-79C5-4727-98FD-3C713F63FD0E}"/>
    <cellStyle name="Normal 2 4 5 2 3 6" xfId="2481" xr:uid="{00000000-0005-0000-0000-000070100000}"/>
    <cellStyle name="Normal 2 4 5 2 3 6 2" xfId="6764" xr:uid="{00000000-0005-0000-0000-000071100000}"/>
    <cellStyle name="Normal 2 4 5 2 3 6 2 2" xfId="15214" xr:uid="{1D9C79AB-E095-4079-A099-B72390F465A7}"/>
    <cellStyle name="Normal 2 4 5 2 3 6 3" xfId="10996" xr:uid="{A000895B-ABC8-4A61-9B1D-C3B6E17E5CBD}"/>
    <cellStyle name="Normal 2 4 5 2 3 7" xfId="4698" xr:uid="{00000000-0005-0000-0000-000072100000}"/>
    <cellStyle name="Normal 2 4 5 2 3 7 2" xfId="13148" xr:uid="{0BF6A665-9502-44C7-A986-2FB7FADACC0E}"/>
    <cellStyle name="Normal 2 4 5 2 3 8" xfId="8930" xr:uid="{652241DE-1B31-4C59-AFC5-BB9BA2BFDF55}"/>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691F7B7D-D1B4-4121-86ED-D15A333A8574}"/>
    <cellStyle name="Normal 2 4 5 2 4 2 3" xfId="11486" xr:uid="{B669754F-D577-4F93-8976-A829B45190A7}"/>
    <cellStyle name="Normal 2 4 5 2 4 3" xfId="5109" xr:uid="{00000000-0005-0000-0000-000076100000}"/>
    <cellStyle name="Normal 2 4 5 2 4 3 2" xfId="13559" xr:uid="{B98993CF-D520-4696-B29D-1E70A2200A38}"/>
    <cellStyle name="Normal 2 4 5 2 4 4" xfId="9341" xr:uid="{6936F68F-28E4-44DB-9F7D-C05F81ADA3D9}"/>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43D95141-DD7D-4E23-A1E0-B2D38B00F94A}"/>
    <cellStyle name="Normal 2 4 5 2 5 2 3" xfId="11899" xr:uid="{C76EAECA-5718-425D-9AED-F6F26B5D3989}"/>
    <cellStyle name="Normal 2 4 5 2 5 3" xfId="5522" xr:uid="{00000000-0005-0000-0000-00007A100000}"/>
    <cellStyle name="Normal 2 4 5 2 5 3 2" xfId="13972" xr:uid="{A7FEAB85-8995-423E-B8EB-D102518E3B4B}"/>
    <cellStyle name="Normal 2 4 5 2 5 4" xfId="9754" xr:uid="{45A1FC71-D20B-4AEF-8A59-0A656FFC91E4}"/>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9E4429A4-EB7D-4FB9-8256-EEFDFD56864D}"/>
    <cellStyle name="Normal 2 4 5 2 6 2 3" xfId="12312" xr:uid="{3E6122BC-F48B-4D9F-8804-61747AE90B54}"/>
    <cellStyle name="Normal 2 4 5 2 6 3" xfId="5935" xr:uid="{00000000-0005-0000-0000-00007E100000}"/>
    <cellStyle name="Normal 2 4 5 2 6 3 2" xfId="14385" xr:uid="{C03A7E61-BE3E-424E-913C-0496D79EB407}"/>
    <cellStyle name="Normal 2 4 5 2 6 4" xfId="10167" xr:uid="{F6D2365C-7A05-4F9B-B1E6-31498D0BFFD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DF919928-2F97-4BB0-BFF4-0B76EED114DC}"/>
    <cellStyle name="Normal 2 4 5 2 7 2 3" xfId="12725" xr:uid="{3BA0A6F1-0596-405D-AD8D-82DBBDF4509D}"/>
    <cellStyle name="Normal 2 4 5 2 7 3" xfId="6348" xr:uid="{00000000-0005-0000-0000-000082100000}"/>
    <cellStyle name="Normal 2 4 5 2 7 3 2" xfId="14798" xr:uid="{C0568A66-3889-4485-BD7F-9E5E4EB4586F}"/>
    <cellStyle name="Normal 2 4 5 2 7 4" xfId="10580" xr:uid="{A213AE8E-0956-4C53-8D7A-862DB5FAB94A}"/>
    <cellStyle name="Normal 2 4 5 2 8" xfId="2478" xr:uid="{00000000-0005-0000-0000-000083100000}"/>
    <cellStyle name="Normal 2 4 5 2 8 2" xfId="6761" xr:uid="{00000000-0005-0000-0000-000084100000}"/>
    <cellStyle name="Normal 2 4 5 2 8 2 2" xfId="15211" xr:uid="{F7B16089-2258-432D-995A-C85C336E38E8}"/>
    <cellStyle name="Normal 2 4 5 2 8 3" xfId="10993" xr:uid="{CB7B523E-EEF6-4953-9AB6-4EC7103FA1E3}"/>
    <cellStyle name="Normal 2 4 5 2 9" xfId="4695" xr:uid="{00000000-0005-0000-0000-000085100000}"/>
    <cellStyle name="Normal 2 4 5 2 9 2" xfId="13145" xr:uid="{9740AA4E-E506-41CB-9CFA-CAFA6EB05A98}"/>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316DDB9C-AA85-4296-BF8B-12305EF5613B}"/>
    <cellStyle name="Normal 2 4 5 3 2 2 2 3" xfId="11491" xr:uid="{DEBABD6B-90AF-412D-9491-9089B0B21B8E}"/>
    <cellStyle name="Normal 2 4 5 3 2 2 3" xfId="5114" xr:uid="{00000000-0005-0000-0000-00008B100000}"/>
    <cellStyle name="Normal 2 4 5 3 2 2 3 2" xfId="13564" xr:uid="{00179D04-FDF2-4432-A086-6698BBD8D9F6}"/>
    <cellStyle name="Normal 2 4 5 3 2 2 4" xfId="9346" xr:uid="{9EF3F57F-D106-4955-88F9-F564B94807D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0401D49B-1608-45F2-A5EE-28FB195D2C65}"/>
    <cellStyle name="Normal 2 4 5 3 2 3 2 3" xfId="11904" xr:uid="{54F23699-6897-4278-BDF8-069F7194B281}"/>
    <cellStyle name="Normal 2 4 5 3 2 3 3" xfId="5527" xr:uid="{00000000-0005-0000-0000-00008F100000}"/>
    <cellStyle name="Normal 2 4 5 3 2 3 3 2" xfId="13977" xr:uid="{408431C8-5F5D-4D2E-8516-BC3275F897D5}"/>
    <cellStyle name="Normal 2 4 5 3 2 3 4" xfId="9759" xr:uid="{A94B14A8-C0FA-4E9F-9DC6-D95EE62124A9}"/>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4A50EC9C-1034-45C6-87E0-2815B66BA2C4}"/>
    <cellStyle name="Normal 2 4 5 3 2 4 2 3" xfId="12317" xr:uid="{C315D5E7-2FB8-4207-B476-61FFBA5158D6}"/>
    <cellStyle name="Normal 2 4 5 3 2 4 3" xfId="5940" xr:uid="{00000000-0005-0000-0000-000093100000}"/>
    <cellStyle name="Normal 2 4 5 3 2 4 3 2" xfId="14390" xr:uid="{87083211-5927-44C1-9C32-D2F7DD114ACA}"/>
    <cellStyle name="Normal 2 4 5 3 2 4 4" xfId="10172" xr:uid="{3BDA6883-0D28-4764-A04B-33D5F34582C7}"/>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3E5B891D-4A8A-4F46-854B-32F1BD3DAE3A}"/>
    <cellStyle name="Normal 2 4 5 3 2 5 2 3" xfId="12730" xr:uid="{ACB42AB3-FC7E-4D5D-8703-849A9172288E}"/>
    <cellStyle name="Normal 2 4 5 3 2 5 3" xfId="6353" xr:uid="{00000000-0005-0000-0000-000097100000}"/>
    <cellStyle name="Normal 2 4 5 3 2 5 3 2" xfId="14803" xr:uid="{15E030BF-D0A8-4C3A-8F51-26CB2AFABCE7}"/>
    <cellStyle name="Normal 2 4 5 3 2 5 4" xfId="10585" xr:uid="{8CE90D1E-147D-43AF-8FA8-DD36D85BCB27}"/>
    <cellStyle name="Normal 2 4 5 3 2 6" xfId="2483" xr:uid="{00000000-0005-0000-0000-000098100000}"/>
    <cellStyle name="Normal 2 4 5 3 2 6 2" xfId="6766" xr:uid="{00000000-0005-0000-0000-000099100000}"/>
    <cellStyle name="Normal 2 4 5 3 2 6 2 2" xfId="15216" xr:uid="{14BA3735-CFC1-4155-B175-18DE811E7AA7}"/>
    <cellStyle name="Normal 2 4 5 3 2 6 3" xfId="10998" xr:uid="{7DBEA1ED-5382-41F0-B8E2-4C37A1ADEE3B}"/>
    <cellStyle name="Normal 2 4 5 3 2 7" xfId="4700" xr:uid="{00000000-0005-0000-0000-00009A100000}"/>
    <cellStyle name="Normal 2 4 5 3 2 7 2" xfId="13150" xr:uid="{BC5D118C-86C3-40A6-8923-596CAC8920E8}"/>
    <cellStyle name="Normal 2 4 5 3 2 8" xfId="8932" xr:uid="{8894D497-0C73-4B73-A381-7BF14AB0348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29020423-03DF-4A5A-96BE-85B7A610E213}"/>
    <cellStyle name="Normal 2 4 5 3 3 2 3" xfId="11490" xr:uid="{2AA7F223-0040-4A25-9093-EDDF0314CC73}"/>
    <cellStyle name="Normal 2 4 5 3 3 3" xfId="5113" xr:uid="{00000000-0005-0000-0000-00009E100000}"/>
    <cellStyle name="Normal 2 4 5 3 3 3 2" xfId="13563" xr:uid="{300A8F35-2F82-4634-8350-F631965B59AB}"/>
    <cellStyle name="Normal 2 4 5 3 3 4" xfId="9345" xr:uid="{A0C9BEEA-490B-4CD2-99F4-B438A7B2B35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142F7BC4-B33F-4C43-A815-E890F3B06AC0}"/>
    <cellStyle name="Normal 2 4 5 3 4 2 3" xfId="11903" xr:uid="{6DE52584-C5D0-44CE-851B-0777D6234B16}"/>
    <cellStyle name="Normal 2 4 5 3 4 3" xfId="5526" xr:uid="{00000000-0005-0000-0000-0000A2100000}"/>
    <cellStyle name="Normal 2 4 5 3 4 3 2" xfId="13976" xr:uid="{C0E7F95C-468C-4B10-9035-22117B8325B4}"/>
    <cellStyle name="Normal 2 4 5 3 4 4" xfId="9758" xr:uid="{32EF324E-D411-4E90-BAB8-000221729055}"/>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164D9265-A77D-42BD-9640-9C7662935479}"/>
    <cellStyle name="Normal 2 4 5 3 5 2 3" xfId="12316" xr:uid="{960E5EE2-B8B6-4CCF-9594-817D40E7E6F1}"/>
    <cellStyle name="Normal 2 4 5 3 5 3" xfId="5939" xr:uid="{00000000-0005-0000-0000-0000A6100000}"/>
    <cellStyle name="Normal 2 4 5 3 5 3 2" xfId="14389" xr:uid="{410DAD19-0EAF-4B65-A63E-E2641ECBF114}"/>
    <cellStyle name="Normal 2 4 5 3 5 4" xfId="10171" xr:uid="{E6E1D7D8-4F22-4ABE-95CB-4AF123F86438}"/>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63688905-9DA6-4A86-8B93-FF55A1E53EF2}"/>
    <cellStyle name="Normal 2 4 5 3 6 2 3" xfId="12729" xr:uid="{A5E66C7A-8988-4EBA-BB3D-5F8ECF0AF4EE}"/>
    <cellStyle name="Normal 2 4 5 3 6 3" xfId="6352" xr:uid="{00000000-0005-0000-0000-0000AA100000}"/>
    <cellStyle name="Normal 2 4 5 3 6 3 2" xfId="14802" xr:uid="{AA43DAE9-3709-48B7-8A26-CB9FC7938100}"/>
    <cellStyle name="Normal 2 4 5 3 6 4" xfId="10584" xr:uid="{69E93BDC-7CDB-4729-A59D-0BA69BAD5A37}"/>
    <cellStyle name="Normal 2 4 5 3 7" xfId="2482" xr:uid="{00000000-0005-0000-0000-0000AB100000}"/>
    <cellStyle name="Normal 2 4 5 3 7 2" xfId="6765" xr:uid="{00000000-0005-0000-0000-0000AC100000}"/>
    <cellStyle name="Normal 2 4 5 3 7 2 2" xfId="15215" xr:uid="{5FE78E18-2E5A-4F15-946E-F1DC2E463CDE}"/>
    <cellStyle name="Normal 2 4 5 3 7 3" xfId="10997" xr:uid="{5F94C858-DCEC-4169-8A1A-E0B22C720850}"/>
    <cellStyle name="Normal 2 4 5 3 8" xfId="4699" xr:uid="{00000000-0005-0000-0000-0000AD100000}"/>
    <cellStyle name="Normal 2 4 5 3 8 2" xfId="13149" xr:uid="{4F82BC99-28A8-42E5-82E9-0F94AB468A0E}"/>
    <cellStyle name="Normal 2 4 5 3 9" xfId="8931" xr:uid="{F7A57C7B-A0F1-4280-A9D0-C5AED14685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0609C2A6-35E7-4B76-A85F-D261D07CD1E2}"/>
    <cellStyle name="Normal 2 4 5 4 2 2 3" xfId="11492" xr:uid="{27E5A97D-34AE-4EBC-936D-9C0773186B18}"/>
    <cellStyle name="Normal 2 4 5 4 2 3" xfId="5115" xr:uid="{00000000-0005-0000-0000-0000B2100000}"/>
    <cellStyle name="Normal 2 4 5 4 2 3 2" xfId="13565" xr:uid="{45D18D9D-50F7-4870-9031-A0A320E4ACFA}"/>
    <cellStyle name="Normal 2 4 5 4 2 4" xfId="9347" xr:uid="{B154998B-C73D-403D-95B9-9C01FC551D4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EFA76F22-5754-4394-9E65-9FB90C7EBB71}"/>
    <cellStyle name="Normal 2 4 5 4 3 2 3" xfId="11905" xr:uid="{70217404-5CAB-488F-A000-2EEE54A9091E}"/>
    <cellStyle name="Normal 2 4 5 4 3 3" xfId="5528" xr:uid="{00000000-0005-0000-0000-0000B6100000}"/>
    <cellStyle name="Normal 2 4 5 4 3 3 2" xfId="13978" xr:uid="{14D7DE73-A631-49D6-8619-5EB303AB12FE}"/>
    <cellStyle name="Normal 2 4 5 4 3 4" xfId="9760" xr:uid="{B396AF9B-D9EC-4425-A2B3-C5F74F37CAE1}"/>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CBF1D2D3-9BCE-4CB0-B2C2-476A77146C55}"/>
    <cellStyle name="Normal 2 4 5 4 4 2 3" xfId="12318" xr:uid="{507FFC7B-E453-45F9-9F8A-A3553EA6630A}"/>
    <cellStyle name="Normal 2 4 5 4 4 3" xfId="5941" xr:uid="{00000000-0005-0000-0000-0000BA100000}"/>
    <cellStyle name="Normal 2 4 5 4 4 3 2" xfId="14391" xr:uid="{2B7AB2EF-4289-4741-A8C2-C77033CE2608}"/>
    <cellStyle name="Normal 2 4 5 4 4 4" xfId="10173" xr:uid="{E32EF72D-0F26-4884-944D-F28EF03BC35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1D509FEC-6AEA-4C4E-8AEE-88B66F007AE5}"/>
    <cellStyle name="Normal 2 4 5 4 5 2 3" xfId="12731" xr:uid="{44F3B423-8344-464D-9942-679709AB172F}"/>
    <cellStyle name="Normal 2 4 5 4 5 3" xfId="6354" xr:uid="{00000000-0005-0000-0000-0000BE100000}"/>
    <cellStyle name="Normal 2 4 5 4 5 3 2" xfId="14804" xr:uid="{467BBCF8-2B85-42E0-BC72-81AD2BB207BD}"/>
    <cellStyle name="Normal 2 4 5 4 5 4" xfId="10586" xr:uid="{8F2AEE89-7597-4A69-B44C-56A7901D2F3C}"/>
    <cellStyle name="Normal 2 4 5 4 6" xfId="2484" xr:uid="{00000000-0005-0000-0000-0000BF100000}"/>
    <cellStyle name="Normal 2 4 5 4 6 2" xfId="6767" xr:uid="{00000000-0005-0000-0000-0000C0100000}"/>
    <cellStyle name="Normal 2 4 5 4 6 2 2" xfId="15217" xr:uid="{5EE71A1A-DC62-4132-8E92-462B373F8A23}"/>
    <cellStyle name="Normal 2 4 5 4 6 3" xfId="10999" xr:uid="{0C389FED-4EEB-4039-B7A5-AAE62027D63B}"/>
    <cellStyle name="Normal 2 4 5 4 7" xfId="4701" xr:uid="{00000000-0005-0000-0000-0000C1100000}"/>
    <cellStyle name="Normal 2 4 5 4 7 2" xfId="13151" xr:uid="{167918A0-8A2F-42A3-BCEA-D79561C3BD1F}"/>
    <cellStyle name="Normal 2 4 5 4 8" xfId="8933" xr:uid="{D4F4DE6D-3AB1-43EB-B03A-444B25FC7398}"/>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A4C602F3-62A8-4AF6-BE2A-013F1C4BAC62}"/>
    <cellStyle name="Normal 2 4 5 5 2 3" xfId="11485" xr:uid="{1E0A9A4D-9F62-4A1F-84E9-B89CD3D75FA4}"/>
    <cellStyle name="Normal 2 4 5 5 3" xfId="5108" xr:uid="{00000000-0005-0000-0000-0000C5100000}"/>
    <cellStyle name="Normal 2 4 5 5 3 2" xfId="13558" xr:uid="{42E2ECDA-A6ED-4EBF-933A-6714FE493BE4}"/>
    <cellStyle name="Normal 2 4 5 5 4" xfId="9340" xr:uid="{FB1309B2-49C0-499F-A042-F71ECD06290D}"/>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A152808D-9AEC-4A61-8934-19C45BBFF721}"/>
    <cellStyle name="Normal 2 4 5 6 2 3" xfId="11898" xr:uid="{FF8895BB-2851-4A0A-81D0-84568BBEDDB4}"/>
    <cellStyle name="Normal 2 4 5 6 3" xfId="5521" xr:uid="{00000000-0005-0000-0000-0000C9100000}"/>
    <cellStyle name="Normal 2 4 5 6 3 2" xfId="13971" xr:uid="{B3D7BA68-0CA7-4821-B7BC-646388DC98F8}"/>
    <cellStyle name="Normal 2 4 5 6 4" xfId="9753" xr:uid="{6E373D3F-D380-4FC1-B49C-05CF8F7A6DBF}"/>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270ED74C-EB27-4BE4-9B4B-1C4C750452E7}"/>
    <cellStyle name="Normal 2 4 5 7 2 3" xfId="12311" xr:uid="{0785AB69-AB3A-4B4C-B124-7975C59CA3A4}"/>
    <cellStyle name="Normal 2 4 5 7 3" xfId="5934" xr:uid="{00000000-0005-0000-0000-0000CD100000}"/>
    <cellStyle name="Normal 2 4 5 7 3 2" xfId="14384" xr:uid="{B600F989-1368-4ECB-86F3-78196E33A475}"/>
    <cellStyle name="Normal 2 4 5 7 4" xfId="10166" xr:uid="{73B54074-5C33-4E6B-8F4B-560B4A738782}"/>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34E2732D-1889-496E-919D-312E05CFA703}"/>
    <cellStyle name="Normal 2 4 5 8 2 3" xfId="12724" xr:uid="{05F1B990-13A3-4045-82AC-54FFA68F1CF3}"/>
    <cellStyle name="Normal 2 4 5 8 3" xfId="6347" xr:uid="{00000000-0005-0000-0000-0000D1100000}"/>
    <cellStyle name="Normal 2 4 5 8 3 2" xfId="14797" xr:uid="{3338A05E-D555-401C-BF99-8AD534C571FF}"/>
    <cellStyle name="Normal 2 4 5 8 4" xfId="10579" xr:uid="{3CEA50C8-102C-4374-A46F-662E38B1A516}"/>
    <cellStyle name="Normal 2 4 5 9" xfId="2477" xr:uid="{00000000-0005-0000-0000-0000D2100000}"/>
    <cellStyle name="Normal 2 4 5 9 2" xfId="6760" xr:uid="{00000000-0005-0000-0000-0000D3100000}"/>
    <cellStyle name="Normal 2 4 5 9 2 2" xfId="15210" xr:uid="{004BAF62-0106-4545-9BDA-620DE3332A5A}"/>
    <cellStyle name="Normal 2 4 5 9 3" xfId="10992" xr:uid="{84C40902-C10C-48F4-A4C8-60E411E2498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CB4FE548-4D0A-4E77-AADE-DFB09019BD53}"/>
    <cellStyle name="Normal 2 4 7 2 2 2 3" xfId="11494" xr:uid="{8650A3EE-FF8C-4A33-9A4A-4272D8527174}"/>
    <cellStyle name="Normal 2 4 7 2 2 3" xfId="5117" xr:uid="{00000000-0005-0000-0000-0000DA100000}"/>
    <cellStyle name="Normal 2 4 7 2 2 3 2" xfId="13567" xr:uid="{401C3A25-81E2-4B69-AFF6-07C231EE6434}"/>
    <cellStyle name="Normal 2 4 7 2 2 4" xfId="9349" xr:uid="{5FB6449F-577F-45C3-ADCC-FD4B67E97D7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24D40A13-59F9-4B59-9AAA-DC644C4EC62B}"/>
    <cellStyle name="Normal 2 4 7 2 3 2 3" xfId="11907" xr:uid="{9CFA181C-DC23-48FF-A941-716E7F759559}"/>
    <cellStyle name="Normal 2 4 7 2 3 3" xfId="5530" xr:uid="{00000000-0005-0000-0000-0000DE100000}"/>
    <cellStyle name="Normal 2 4 7 2 3 3 2" xfId="13980" xr:uid="{3A063D1C-E78B-487A-B181-AA9E71AAEDFC}"/>
    <cellStyle name="Normal 2 4 7 2 3 4" xfId="9762" xr:uid="{015DD9A2-5FBE-46BD-B3E1-9C2CC3FD8320}"/>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C94FC08A-95F2-4A28-862B-B9CF2566A3F2}"/>
    <cellStyle name="Normal 2 4 7 2 4 2 3" xfId="12320" xr:uid="{F520CC39-CF18-40E7-A334-1166499B0219}"/>
    <cellStyle name="Normal 2 4 7 2 4 3" xfId="5943" xr:uid="{00000000-0005-0000-0000-0000E2100000}"/>
    <cellStyle name="Normal 2 4 7 2 4 3 2" xfId="14393" xr:uid="{5BCB8295-A90C-4655-B8BD-999CA026650E}"/>
    <cellStyle name="Normal 2 4 7 2 4 4" xfId="10175" xr:uid="{95F9D5E4-FDC3-47D9-823A-8961467B7908}"/>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CD3DA9FE-AAD4-4654-8E5A-58ECD3841B93}"/>
    <cellStyle name="Normal 2 4 7 2 5 2 3" xfId="12733" xr:uid="{F17D3AD8-E96E-4EA7-B16F-04DA3C9F2F06}"/>
    <cellStyle name="Normal 2 4 7 2 5 3" xfId="6356" xr:uid="{00000000-0005-0000-0000-0000E6100000}"/>
    <cellStyle name="Normal 2 4 7 2 5 3 2" xfId="14806" xr:uid="{4FA4D21E-73C0-4088-90CD-77A448DEA495}"/>
    <cellStyle name="Normal 2 4 7 2 5 4" xfId="10588" xr:uid="{2A28A019-2E39-4137-B52A-D1F04B11092A}"/>
    <cellStyle name="Normal 2 4 7 2 6" xfId="2486" xr:uid="{00000000-0005-0000-0000-0000E7100000}"/>
    <cellStyle name="Normal 2 4 7 2 6 2" xfId="6769" xr:uid="{00000000-0005-0000-0000-0000E8100000}"/>
    <cellStyle name="Normal 2 4 7 2 6 2 2" xfId="15219" xr:uid="{CCD3BE73-928B-4D3C-A483-0CF581C8B74C}"/>
    <cellStyle name="Normal 2 4 7 2 6 3" xfId="11001" xr:uid="{5009DB55-DA24-44AC-8589-76695D25E976}"/>
    <cellStyle name="Normal 2 4 7 2 7" xfId="4703" xr:uid="{00000000-0005-0000-0000-0000E9100000}"/>
    <cellStyle name="Normal 2 4 7 2 7 2" xfId="13153" xr:uid="{FA2540D6-B3A4-4333-9995-E859DD37DEC6}"/>
    <cellStyle name="Normal 2 4 7 2 8" xfId="8935" xr:uid="{C5B1DF85-8D63-4B98-8475-C0C8C2B371F0}"/>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172E22D0-953C-45CF-965C-607E4F75A5E1}"/>
    <cellStyle name="Normal 2 4 7 3 2 3" xfId="11493" xr:uid="{E5ACD5F9-BD91-4E1D-9256-B8E5450EBC6C}"/>
    <cellStyle name="Normal 2 4 7 3 3" xfId="5116" xr:uid="{00000000-0005-0000-0000-0000ED100000}"/>
    <cellStyle name="Normal 2 4 7 3 3 2" xfId="13566" xr:uid="{2E64E90B-2653-452B-B655-FCD337592C60}"/>
    <cellStyle name="Normal 2 4 7 3 4" xfId="9348" xr:uid="{95DD9989-F864-4D79-B92C-404E10397E92}"/>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2DA0F4B8-CE92-485D-AC28-E61424086543}"/>
    <cellStyle name="Normal 2 4 7 4 2 3" xfId="11906" xr:uid="{2D6AFE29-196F-4A42-8E3B-24CB31CC7571}"/>
    <cellStyle name="Normal 2 4 7 4 3" xfId="5529" xr:uid="{00000000-0005-0000-0000-0000F1100000}"/>
    <cellStyle name="Normal 2 4 7 4 3 2" xfId="13979" xr:uid="{28333064-CEEF-4447-AD53-E987C23C2D6D}"/>
    <cellStyle name="Normal 2 4 7 4 4" xfId="9761" xr:uid="{53679170-9496-45F2-B490-896F043577C2}"/>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43CB3ED9-9B94-42C8-B821-E5D2F37D77D1}"/>
    <cellStyle name="Normal 2 4 7 5 2 3" xfId="12319" xr:uid="{96AFF846-4EA1-448E-A404-5207A48966C8}"/>
    <cellStyle name="Normal 2 4 7 5 3" xfId="5942" xr:uid="{00000000-0005-0000-0000-0000F5100000}"/>
    <cellStyle name="Normal 2 4 7 5 3 2" xfId="14392" xr:uid="{0B8215C2-D5D4-49C7-B54D-7F0CB13E77F5}"/>
    <cellStyle name="Normal 2 4 7 5 4" xfId="10174" xr:uid="{CB77AA83-63BD-426C-BF84-817ABB3E4A9C}"/>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8B049A5A-C7DF-4F11-BEF2-6EC800BD2EB7}"/>
    <cellStyle name="Normal 2 4 7 6 2 3" xfId="12732" xr:uid="{FA0C8C80-F53A-4387-803C-8FA4988CB51D}"/>
    <cellStyle name="Normal 2 4 7 6 3" xfId="6355" xr:uid="{00000000-0005-0000-0000-0000F9100000}"/>
    <cellStyle name="Normal 2 4 7 6 3 2" xfId="14805" xr:uid="{34608CDF-9A3C-4FFD-AFDA-AA923DCD065B}"/>
    <cellStyle name="Normal 2 4 7 6 4" xfId="10587" xr:uid="{0BF122BF-24ED-48D1-89FA-C9C1CF2ABCAC}"/>
    <cellStyle name="Normal 2 4 7 7" xfId="2485" xr:uid="{00000000-0005-0000-0000-0000FA100000}"/>
    <cellStyle name="Normal 2 4 7 7 2" xfId="6768" xr:uid="{00000000-0005-0000-0000-0000FB100000}"/>
    <cellStyle name="Normal 2 4 7 7 2 2" xfId="15218" xr:uid="{7F24117A-C39B-48E6-94CA-32DBE53D0448}"/>
    <cellStyle name="Normal 2 4 7 7 3" xfId="11000" xr:uid="{548AB4AD-BA23-46B9-94A6-865E8898F51E}"/>
    <cellStyle name="Normal 2 4 7 8" xfId="4702" xr:uid="{00000000-0005-0000-0000-0000FC100000}"/>
    <cellStyle name="Normal 2 4 7 8 2" xfId="13152" xr:uid="{73619C6C-43BA-4FF1-AD19-45D5BEA08CD3}"/>
    <cellStyle name="Normal 2 4 7 9" xfId="8934" xr:uid="{842C4964-E4E8-4BD0-A038-285756B97619}"/>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EC5C4E9D-7A9A-4F54-BD87-65BF3328D838}"/>
    <cellStyle name="Normal 2 4 8 2 2 3" xfId="11495" xr:uid="{E17CBADB-6E43-46A3-88AD-ED08B363F443}"/>
    <cellStyle name="Normal 2 4 8 2 3" xfId="5118" xr:uid="{00000000-0005-0000-0000-000001110000}"/>
    <cellStyle name="Normal 2 4 8 2 3 2" xfId="13568" xr:uid="{866B13B1-990C-44B6-9269-7ECD42B6535F}"/>
    <cellStyle name="Normal 2 4 8 2 4" xfId="9350" xr:uid="{14008919-DFB5-424E-9C62-703F3EB8B005}"/>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DC9C0C7F-0F4F-4CC8-8707-B9B6FA4B58B3}"/>
    <cellStyle name="Normal 2 4 8 3 2 3" xfId="11908" xr:uid="{0ECD6249-38DF-4E17-8005-242ECAD9ACD6}"/>
    <cellStyle name="Normal 2 4 8 3 3" xfId="5531" xr:uid="{00000000-0005-0000-0000-000005110000}"/>
    <cellStyle name="Normal 2 4 8 3 3 2" xfId="13981" xr:uid="{385F750D-AD35-44F5-88FD-CF13CA23A6BC}"/>
    <cellStyle name="Normal 2 4 8 3 4" xfId="9763" xr:uid="{C168B76A-0870-47F1-BF4B-2CE47A24BAAF}"/>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D2574FD7-8197-46F5-93DA-FD8F9665D077}"/>
    <cellStyle name="Normal 2 4 8 4 2 3" xfId="12321" xr:uid="{7297C4CA-4D96-46F6-BA5E-79239D104F4A}"/>
    <cellStyle name="Normal 2 4 8 4 3" xfId="5944" xr:uid="{00000000-0005-0000-0000-000009110000}"/>
    <cellStyle name="Normal 2 4 8 4 3 2" xfId="14394" xr:uid="{75AD4312-AAA0-4B44-A230-5A0A00E541D3}"/>
    <cellStyle name="Normal 2 4 8 4 4" xfId="10176" xr:uid="{0F945EE6-A414-48E5-A31B-B831C4B2726F}"/>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C89F9BE1-9957-4EEB-87DB-4DCD5F7AFC7A}"/>
    <cellStyle name="Normal 2 4 8 5 2 3" xfId="12734" xr:uid="{56854A1C-73AF-40F9-911E-A63D45BF1287}"/>
    <cellStyle name="Normal 2 4 8 5 3" xfId="6357" xr:uid="{00000000-0005-0000-0000-00000D110000}"/>
    <cellStyle name="Normal 2 4 8 5 3 2" xfId="14807" xr:uid="{3E86151A-1CEF-4DCD-91F2-96B27D6D0F57}"/>
    <cellStyle name="Normal 2 4 8 5 4" xfId="10589" xr:uid="{7B79B4F5-FA40-4B27-B88D-AE63D24B4DC9}"/>
    <cellStyle name="Normal 2 4 8 6" xfId="2487" xr:uid="{00000000-0005-0000-0000-00000E110000}"/>
    <cellStyle name="Normal 2 4 8 6 2" xfId="6770" xr:uid="{00000000-0005-0000-0000-00000F110000}"/>
    <cellStyle name="Normal 2 4 8 6 2 2" xfId="15220" xr:uid="{526CB5AB-89E3-40A0-817D-B931C8BF9D8A}"/>
    <cellStyle name="Normal 2 4 8 6 3" xfId="11002" xr:uid="{0260C94E-0884-4DA7-A6AD-B5B04589184A}"/>
    <cellStyle name="Normal 2 4 8 7" xfId="4704" xr:uid="{00000000-0005-0000-0000-000010110000}"/>
    <cellStyle name="Normal 2 4 8 7 2" xfId="13154" xr:uid="{8F6AAFD8-A694-4244-9260-711A068C3414}"/>
    <cellStyle name="Normal 2 4 8 8" xfId="8936" xr:uid="{1A8B59CB-BEC8-427D-9158-5E11DF109CBF}"/>
    <cellStyle name="Normal 2 5" xfId="315" xr:uid="{00000000-0005-0000-0000-000011110000}"/>
    <cellStyle name="Normal 2 5 10" xfId="4705" xr:uid="{00000000-0005-0000-0000-000012110000}"/>
    <cellStyle name="Normal 2 5 10 2" xfId="13155" xr:uid="{331E5E41-3BE0-4363-8523-7340C486F39C}"/>
    <cellStyle name="Normal 2 5 11" xfId="8937" xr:uid="{8CEF39DE-76DA-4F64-AD47-F014C6F9CE5E}"/>
    <cellStyle name="Normal 2 5 2" xfId="316" xr:uid="{00000000-0005-0000-0000-000013110000}"/>
    <cellStyle name="Normal 2 5 3" xfId="317" xr:uid="{00000000-0005-0000-0000-000014110000}"/>
    <cellStyle name="Normal 2 5 4" xfId="318" xr:uid="{00000000-0005-0000-0000-000015110000}"/>
    <cellStyle name="Normal 2 5 4 10" xfId="8938" xr:uid="{4BF9907A-A446-4D32-A1F1-606E48CF52C8}"/>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FA1DDCA1-DBEF-49BE-BC17-A2A84D822F2B}"/>
    <cellStyle name="Normal 2 5 4 2 2 2 2 3" xfId="11499" xr:uid="{F080A3D5-AB73-4CE0-9AA4-17796B8C834E}"/>
    <cellStyle name="Normal 2 5 4 2 2 2 3" xfId="5122" xr:uid="{00000000-0005-0000-0000-00001B110000}"/>
    <cellStyle name="Normal 2 5 4 2 2 2 3 2" xfId="13572" xr:uid="{E86A76C3-A4F1-4C22-A030-412C113C2073}"/>
    <cellStyle name="Normal 2 5 4 2 2 2 4" xfId="9354" xr:uid="{E744E8D5-15FB-465B-A9F9-481F3EF87FAD}"/>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3CC3BCFC-C4F0-4138-B8B9-D44F3766D75B}"/>
    <cellStyle name="Normal 2 5 4 2 2 3 2 3" xfId="11912" xr:uid="{EDCA1463-78B3-45EC-833C-DE02EA19D4DE}"/>
    <cellStyle name="Normal 2 5 4 2 2 3 3" xfId="5535" xr:uid="{00000000-0005-0000-0000-00001F110000}"/>
    <cellStyle name="Normal 2 5 4 2 2 3 3 2" xfId="13985" xr:uid="{953D840C-0C1E-4B3B-A06C-5B71B5A0ECB0}"/>
    <cellStyle name="Normal 2 5 4 2 2 3 4" xfId="9767" xr:uid="{F3B5D3CA-B2EF-4BAC-9F64-D8FF7332187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C60D165F-CC8C-4272-BF54-E55702BCE3E4}"/>
    <cellStyle name="Normal 2 5 4 2 2 4 2 3" xfId="12325" xr:uid="{AF46209F-14A3-4F5B-96C3-93B93B6393F9}"/>
    <cellStyle name="Normal 2 5 4 2 2 4 3" xfId="5948" xr:uid="{00000000-0005-0000-0000-000023110000}"/>
    <cellStyle name="Normal 2 5 4 2 2 4 3 2" xfId="14398" xr:uid="{3B7D16DD-C33B-4CB2-B876-8768DA3D70DC}"/>
    <cellStyle name="Normal 2 5 4 2 2 4 4" xfId="10180" xr:uid="{805FA9B8-BCD2-45EB-B9EE-937CDD436CE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F82AD2A-024D-41E2-B6C1-BFB425554FF6}"/>
    <cellStyle name="Normal 2 5 4 2 2 5 2 3" xfId="12738" xr:uid="{1F452F98-0DAB-4210-942A-B61806B26A4A}"/>
    <cellStyle name="Normal 2 5 4 2 2 5 3" xfId="6361" xr:uid="{00000000-0005-0000-0000-000027110000}"/>
    <cellStyle name="Normal 2 5 4 2 2 5 3 2" xfId="14811" xr:uid="{EA80C519-E751-43FF-B350-3E8179EDFCE3}"/>
    <cellStyle name="Normal 2 5 4 2 2 5 4" xfId="10593" xr:uid="{A3E54872-136D-46B1-94A4-A6663F243E87}"/>
    <cellStyle name="Normal 2 5 4 2 2 6" xfId="2491" xr:uid="{00000000-0005-0000-0000-000028110000}"/>
    <cellStyle name="Normal 2 5 4 2 2 6 2" xfId="6774" xr:uid="{00000000-0005-0000-0000-000029110000}"/>
    <cellStyle name="Normal 2 5 4 2 2 6 2 2" xfId="15224" xr:uid="{B986195F-3E60-48F0-824C-90AEACF02488}"/>
    <cellStyle name="Normal 2 5 4 2 2 6 3" xfId="11006" xr:uid="{6F2BCC31-D277-4A10-89FE-CA42408089F7}"/>
    <cellStyle name="Normal 2 5 4 2 2 7" xfId="4708" xr:uid="{00000000-0005-0000-0000-00002A110000}"/>
    <cellStyle name="Normal 2 5 4 2 2 7 2" xfId="13158" xr:uid="{CB8C895F-B3A3-4114-B5C5-926D52775338}"/>
    <cellStyle name="Normal 2 5 4 2 2 8" xfId="8940" xr:uid="{71AFFC2B-D543-4CC3-9FD2-2E59BFE775CA}"/>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E46BE366-79BD-4717-A0CD-9A1194A29C87}"/>
    <cellStyle name="Normal 2 5 4 2 3 2 3" xfId="11498" xr:uid="{3E0416DD-1141-4C40-B537-B1CCF2FA3608}"/>
    <cellStyle name="Normal 2 5 4 2 3 3" xfId="5121" xr:uid="{00000000-0005-0000-0000-00002E110000}"/>
    <cellStyle name="Normal 2 5 4 2 3 3 2" xfId="13571" xr:uid="{1E866EB5-39F0-499D-B4C2-C0B603A4EB00}"/>
    <cellStyle name="Normal 2 5 4 2 3 4" xfId="9353" xr:uid="{C2E5758A-1EAA-4861-84C6-5361385E97EA}"/>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5215ADB0-DD4A-4682-ADB1-05FDCE84B04F}"/>
    <cellStyle name="Normal 2 5 4 2 4 2 3" xfId="11911" xr:uid="{44E0A978-7FA4-47E6-9C9A-76B473178BC2}"/>
    <cellStyle name="Normal 2 5 4 2 4 3" xfId="5534" xr:uid="{00000000-0005-0000-0000-000032110000}"/>
    <cellStyle name="Normal 2 5 4 2 4 3 2" xfId="13984" xr:uid="{20810F6F-EB2A-4016-8261-90B9F7749CE0}"/>
    <cellStyle name="Normal 2 5 4 2 4 4" xfId="9766" xr:uid="{7AC2CF8C-E833-4009-9403-CEDE8FF8AEED}"/>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67FC413A-263B-458F-A2A6-8B962DB9264D}"/>
    <cellStyle name="Normal 2 5 4 2 5 2 3" xfId="12324" xr:uid="{F85D9DD4-5182-4EEC-99B2-545D183A77E6}"/>
    <cellStyle name="Normal 2 5 4 2 5 3" xfId="5947" xr:uid="{00000000-0005-0000-0000-000036110000}"/>
    <cellStyle name="Normal 2 5 4 2 5 3 2" xfId="14397" xr:uid="{F0F48DAC-9635-4BE1-8BCA-82285CAE43B9}"/>
    <cellStyle name="Normal 2 5 4 2 5 4" xfId="10179" xr:uid="{FA228A7A-3518-4CE2-979C-F34C5BEDCC7F}"/>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335399F2-181E-49F8-88E9-3D875510C11C}"/>
    <cellStyle name="Normal 2 5 4 2 6 2 3" xfId="12737" xr:uid="{7C943064-AD04-4BDF-A9CB-1C05D5A4B380}"/>
    <cellStyle name="Normal 2 5 4 2 6 3" xfId="6360" xr:uid="{00000000-0005-0000-0000-00003A110000}"/>
    <cellStyle name="Normal 2 5 4 2 6 3 2" xfId="14810" xr:uid="{3581C717-2137-4AFF-BD9D-D2BA75E45867}"/>
    <cellStyle name="Normal 2 5 4 2 6 4" xfId="10592" xr:uid="{943D36CF-8530-4C22-BA2B-7FD9C52F13D7}"/>
    <cellStyle name="Normal 2 5 4 2 7" xfId="2490" xr:uid="{00000000-0005-0000-0000-00003B110000}"/>
    <cellStyle name="Normal 2 5 4 2 7 2" xfId="6773" xr:uid="{00000000-0005-0000-0000-00003C110000}"/>
    <cellStyle name="Normal 2 5 4 2 7 2 2" xfId="15223" xr:uid="{3226AC2F-85FC-467D-BCBE-33C2FD273056}"/>
    <cellStyle name="Normal 2 5 4 2 7 3" xfId="11005" xr:uid="{65FA4B79-1F92-40D3-8DDE-1319CFE7E402}"/>
    <cellStyle name="Normal 2 5 4 2 8" xfId="4707" xr:uid="{00000000-0005-0000-0000-00003D110000}"/>
    <cellStyle name="Normal 2 5 4 2 8 2" xfId="13157" xr:uid="{7AE1BF89-7125-4B26-934B-58056C4D12A7}"/>
    <cellStyle name="Normal 2 5 4 2 9" xfId="8939" xr:uid="{126D527D-2F46-4601-9B9B-6416562F76B1}"/>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B4BDC444-13FE-4947-90A2-EA6FCE31F828}"/>
    <cellStyle name="Normal 2 5 4 3 2 2 3" xfId="11500" xr:uid="{12B2812B-F61F-43EC-A41D-D7C9CB65D2AB}"/>
    <cellStyle name="Normal 2 5 4 3 2 3" xfId="5123" xr:uid="{00000000-0005-0000-0000-000042110000}"/>
    <cellStyle name="Normal 2 5 4 3 2 3 2" xfId="13573" xr:uid="{3F3D8855-9948-4340-BC4C-16FB91FC80F6}"/>
    <cellStyle name="Normal 2 5 4 3 2 4" xfId="9355" xr:uid="{0A56579B-3C05-41BA-B111-95E031032C2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0721F00F-CE2B-408A-9E31-E46F2B44E6F5}"/>
    <cellStyle name="Normal 2 5 4 3 3 2 3" xfId="11913" xr:uid="{2ECA91DE-B0D4-4ED4-839D-0AF998D91D60}"/>
    <cellStyle name="Normal 2 5 4 3 3 3" xfId="5536" xr:uid="{00000000-0005-0000-0000-000046110000}"/>
    <cellStyle name="Normal 2 5 4 3 3 3 2" xfId="13986" xr:uid="{84601657-2652-424D-BFB1-493642247C1F}"/>
    <cellStyle name="Normal 2 5 4 3 3 4" xfId="9768" xr:uid="{C9F11EB1-2502-4774-AC97-EE8B52AC9F19}"/>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A1F40F46-D130-4A42-8C59-B2B6C8C23E75}"/>
    <cellStyle name="Normal 2 5 4 3 4 2 3" xfId="12326" xr:uid="{07F77412-D6DE-4987-A136-997F6031DF24}"/>
    <cellStyle name="Normal 2 5 4 3 4 3" xfId="5949" xr:uid="{00000000-0005-0000-0000-00004A110000}"/>
    <cellStyle name="Normal 2 5 4 3 4 3 2" xfId="14399" xr:uid="{6FCB8787-20C3-4C35-864C-0574A108F00D}"/>
    <cellStyle name="Normal 2 5 4 3 4 4" xfId="10181" xr:uid="{AB743238-A836-4581-876B-1C3ADD148596}"/>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EF5AF9BF-B7A9-4E45-8F94-584DF6A495E6}"/>
    <cellStyle name="Normal 2 5 4 3 5 2 3" xfId="12739" xr:uid="{7F4DBCD7-5648-4091-A099-3AF8109ABF72}"/>
    <cellStyle name="Normal 2 5 4 3 5 3" xfId="6362" xr:uid="{00000000-0005-0000-0000-00004E110000}"/>
    <cellStyle name="Normal 2 5 4 3 5 3 2" xfId="14812" xr:uid="{58EEC7A9-B7B5-4E31-B82B-240380995066}"/>
    <cellStyle name="Normal 2 5 4 3 5 4" xfId="10594" xr:uid="{9B8B8FF9-D951-4F97-AAA5-E9A5A28D7DF1}"/>
    <cellStyle name="Normal 2 5 4 3 6" xfId="2492" xr:uid="{00000000-0005-0000-0000-00004F110000}"/>
    <cellStyle name="Normal 2 5 4 3 6 2" xfId="6775" xr:uid="{00000000-0005-0000-0000-000050110000}"/>
    <cellStyle name="Normal 2 5 4 3 6 2 2" xfId="15225" xr:uid="{152492DE-4F8F-446A-B5C7-B69636484E0B}"/>
    <cellStyle name="Normal 2 5 4 3 6 3" xfId="11007" xr:uid="{940DB0AF-D24F-47A4-80A1-6DAAB688118F}"/>
    <cellStyle name="Normal 2 5 4 3 7" xfId="4709" xr:uid="{00000000-0005-0000-0000-000051110000}"/>
    <cellStyle name="Normal 2 5 4 3 7 2" xfId="13159" xr:uid="{CF531E72-96E4-484C-8BF2-A61F0C7E6718}"/>
    <cellStyle name="Normal 2 5 4 3 8" xfId="8941" xr:uid="{71A86E93-7663-4114-8C58-A960E3F19CD6}"/>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2CDD5F9C-28CB-45FA-8C6D-BFE1B236291F}"/>
    <cellStyle name="Normal 2 5 4 4 2 3" xfId="11497" xr:uid="{D075F7FD-1E3F-4DE0-9C3D-16E3D9EDCCB9}"/>
    <cellStyle name="Normal 2 5 4 4 3" xfId="5120" xr:uid="{00000000-0005-0000-0000-000055110000}"/>
    <cellStyle name="Normal 2 5 4 4 3 2" xfId="13570" xr:uid="{CB8F3A53-340A-4C55-9F85-C1EC0DDDB222}"/>
    <cellStyle name="Normal 2 5 4 4 4" xfId="9352" xr:uid="{42B196FD-287C-4340-844E-E46B97AA1218}"/>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5295784B-C6ED-4DFA-8A03-3981B4B4D913}"/>
    <cellStyle name="Normal 2 5 4 5 2 3" xfId="11910" xr:uid="{431B2706-D8AA-416A-8312-447F6219E2DA}"/>
    <cellStyle name="Normal 2 5 4 5 3" xfId="5533" xr:uid="{00000000-0005-0000-0000-000059110000}"/>
    <cellStyle name="Normal 2 5 4 5 3 2" xfId="13983" xr:uid="{06D1FC15-AF97-4520-871A-898BD1C21097}"/>
    <cellStyle name="Normal 2 5 4 5 4" xfId="9765" xr:uid="{67C7AA49-8533-4217-9167-8CB9F35879C7}"/>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3EE0FA32-57D7-4C44-9855-5239D176CC0E}"/>
    <cellStyle name="Normal 2 5 4 6 2 3" xfId="12323" xr:uid="{FD62F461-93F6-4FBB-B762-B94BFECC88EF}"/>
    <cellStyle name="Normal 2 5 4 6 3" xfId="5946" xr:uid="{00000000-0005-0000-0000-00005D110000}"/>
    <cellStyle name="Normal 2 5 4 6 3 2" xfId="14396" xr:uid="{7A8926D1-B80B-4721-BADA-8B7A08AA9B40}"/>
    <cellStyle name="Normal 2 5 4 6 4" xfId="10178" xr:uid="{FF3C57CB-5866-4826-8869-F73CC0620FCC}"/>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B765C97E-3328-4246-8A1F-C61212758CE6}"/>
    <cellStyle name="Normal 2 5 4 7 2 3" xfId="12736" xr:uid="{C5113314-554A-415D-84DC-5AF17B458877}"/>
    <cellStyle name="Normal 2 5 4 7 3" xfId="6359" xr:uid="{00000000-0005-0000-0000-000061110000}"/>
    <cellStyle name="Normal 2 5 4 7 3 2" xfId="14809" xr:uid="{3DB4F53A-49F7-4C77-8BBA-53723AF34A7D}"/>
    <cellStyle name="Normal 2 5 4 7 4" xfId="10591" xr:uid="{68A0B2BA-5339-4CCB-B2B0-94C01846E93B}"/>
    <cellStyle name="Normal 2 5 4 8" xfId="2489" xr:uid="{00000000-0005-0000-0000-000062110000}"/>
    <cellStyle name="Normal 2 5 4 8 2" xfId="6772" xr:uid="{00000000-0005-0000-0000-000063110000}"/>
    <cellStyle name="Normal 2 5 4 8 2 2" xfId="15222" xr:uid="{383E7CFA-41B7-4F5C-8A1A-1540EB9C3706}"/>
    <cellStyle name="Normal 2 5 4 8 3" xfId="11004" xr:uid="{D25723B3-162D-485A-85B2-835BBAFE2488}"/>
    <cellStyle name="Normal 2 5 4 9" xfId="4706" xr:uid="{00000000-0005-0000-0000-000064110000}"/>
    <cellStyle name="Normal 2 5 4 9 2" xfId="13156" xr:uid="{47145640-BF34-437F-ABE5-E1221593214F}"/>
    <cellStyle name="Normal 2 5 5" xfId="803" xr:uid="{00000000-0005-0000-0000-000065110000}"/>
    <cellStyle name="Normal 2 5 5 2" xfId="3042" xr:uid="{00000000-0005-0000-0000-000066110000}"/>
    <cellStyle name="Normal 2 5 5 2 2" xfId="7264" xr:uid="{00000000-0005-0000-0000-000067110000}"/>
    <cellStyle name="Normal 2 5 5 2 2 2" xfId="15714" xr:uid="{D737C900-965B-4922-85BA-9C786A78D13D}"/>
    <cellStyle name="Normal 2 5 5 2 3" xfId="11496" xr:uid="{5BC37CC3-FCF2-4EA9-AEC7-5DA52248F2F1}"/>
    <cellStyle name="Normal 2 5 5 3" xfId="5119" xr:uid="{00000000-0005-0000-0000-000068110000}"/>
    <cellStyle name="Normal 2 5 5 3 2" xfId="13569" xr:uid="{F7DF3233-5E19-40DD-B439-6FEEC323CDBD}"/>
    <cellStyle name="Normal 2 5 5 4" xfId="9351" xr:uid="{233AC525-5E92-44C6-B609-04DA3F0AC669}"/>
    <cellStyle name="Normal 2 5 6" xfId="1225" xr:uid="{00000000-0005-0000-0000-000069110000}"/>
    <cellStyle name="Normal 2 5 6 2" xfId="3455" xr:uid="{00000000-0005-0000-0000-00006A110000}"/>
    <cellStyle name="Normal 2 5 6 2 2" xfId="7677" xr:uid="{00000000-0005-0000-0000-00006B110000}"/>
    <cellStyle name="Normal 2 5 6 2 2 2" xfId="16127" xr:uid="{6CB3A380-7D29-4A7F-A492-1314B6FC683F}"/>
    <cellStyle name="Normal 2 5 6 2 3" xfId="11909" xr:uid="{2E447373-D522-43FA-8B6E-2AC5B1083342}"/>
    <cellStyle name="Normal 2 5 6 3" xfId="5532" xr:uid="{00000000-0005-0000-0000-00006C110000}"/>
    <cellStyle name="Normal 2 5 6 3 2" xfId="13982" xr:uid="{038DAA5C-0B4F-4847-B194-D16235386A20}"/>
    <cellStyle name="Normal 2 5 6 4" xfId="9764" xr:uid="{D748ED56-4F0B-41E8-82CA-1D5BEEF13517}"/>
    <cellStyle name="Normal 2 5 7" xfId="1638" xr:uid="{00000000-0005-0000-0000-00006D110000}"/>
    <cellStyle name="Normal 2 5 7 2" xfId="3868" xr:uid="{00000000-0005-0000-0000-00006E110000}"/>
    <cellStyle name="Normal 2 5 7 2 2" xfId="8090" xr:uid="{00000000-0005-0000-0000-00006F110000}"/>
    <cellStyle name="Normal 2 5 7 2 2 2" xfId="16540" xr:uid="{5C3FD25E-4A35-4E1A-B30F-DFD6C2A9B8C7}"/>
    <cellStyle name="Normal 2 5 7 2 3" xfId="12322" xr:uid="{9C6626D9-A916-4399-9ED6-E2C875245C81}"/>
    <cellStyle name="Normal 2 5 7 3" xfId="5945" xr:uid="{00000000-0005-0000-0000-000070110000}"/>
    <cellStyle name="Normal 2 5 7 3 2" xfId="14395" xr:uid="{85880633-745B-4681-83C1-C379065B5D2D}"/>
    <cellStyle name="Normal 2 5 7 4" xfId="10177" xr:uid="{11FF02A5-EC23-4089-BA9C-24FAB1F3E9C1}"/>
    <cellStyle name="Normal 2 5 8" xfId="2052" xr:uid="{00000000-0005-0000-0000-000071110000}"/>
    <cellStyle name="Normal 2 5 8 2" xfId="4281" xr:uid="{00000000-0005-0000-0000-000072110000}"/>
    <cellStyle name="Normal 2 5 8 2 2" xfId="8503" xr:uid="{00000000-0005-0000-0000-000073110000}"/>
    <cellStyle name="Normal 2 5 8 2 2 2" xfId="16953" xr:uid="{29E21B0D-CE73-4323-B53A-1481B7793363}"/>
    <cellStyle name="Normal 2 5 8 2 3" xfId="12735" xr:uid="{0248CDA6-4C7E-4AE1-A0BF-2483BD7AE885}"/>
    <cellStyle name="Normal 2 5 8 3" xfId="6358" xr:uid="{00000000-0005-0000-0000-000074110000}"/>
    <cellStyle name="Normal 2 5 8 3 2" xfId="14808" xr:uid="{ECC349B2-1720-4CE3-AE43-73922E53155B}"/>
    <cellStyle name="Normal 2 5 8 4" xfId="10590" xr:uid="{922684BD-525C-4E87-AFFE-615B7F1F8692}"/>
    <cellStyle name="Normal 2 5 9" xfId="2488" xr:uid="{00000000-0005-0000-0000-000075110000}"/>
    <cellStyle name="Normal 2 5 9 2" xfId="6771" xr:uid="{00000000-0005-0000-0000-000076110000}"/>
    <cellStyle name="Normal 2 5 9 2 2" xfId="15221" xr:uid="{6DEAC195-717B-404D-B9BB-EF871E67628C}"/>
    <cellStyle name="Normal 2 5 9 3" xfId="11003" xr:uid="{915B53A6-C94C-44D4-9A92-126CFFEC5BE1}"/>
    <cellStyle name="Normal 2 6" xfId="322" xr:uid="{00000000-0005-0000-0000-000077110000}"/>
    <cellStyle name="Normal 2 7" xfId="769" xr:uid="{00000000-0005-0000-0000-000078110000}"/>
    <cellStyle name="Normal 2 8" xfId="4495" xr:uid="{00000000-0005-0000-0000-000079110000}"/>
    <cellStyle name="Normal 2 8 2" xfId="12947" xr:uid="{D6DE014F-BC5E-43B0-8160-D2836C376E95}"/>
    <cellStyle name="Normal 3" xfId="323" xr:uid="{00000000-0005-0000-0000-00007A110000}"/>
    <cellStyle name="Normal 3 2" xfId="324" xr:uid="{00000000-0005-0000-0000-00007B110000}"/>
    <cellStyle name="Normal 3 2 10" xfId="8942" xr:uid="{151B2435-F947-46A4-882F-22437C70BDAB}"/>
    <cellStyle name="Normal 3 2 2" xfId="325" xr:uid="{00000000-0005-0000-0000-00007C110000}"/>
    <cellStyle name="Normal 3 2 2 2" xfId="810" xr:uid="{00000000-0005-0000-0000-00007D110000}"/>
    <cellStyle name="Normal 3 2 3" xfId="326" xr:uid="{00000000-0005-0000-0000-00007E110000}"/>
    <cellStyle name="Normal 3 2 3 10" xfId="8943" xr:uid="{B052CBCE-717E-46B3-B6E7-00D04D8FB9DA}"/>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8ADFD570-DF29-4C6D-BAFE-2E31872FED9D}"/>
    <cellStyle name="Normal 3 2 3 2 2 2 2 3" xfId="11504" xr:uid="{7862A99A-657C-4B1F-8E5A-A4AA34FB24C5}"/>
    <cellStyle name="Normal 3 2 3 2 2 2 3" xfId="5127" xr:uid="{00000000-0005-0000-0000-000084110000}"/>
    <cellStyle name="Normal 3 2 3 2 2 2 3 2" xfId="13577" xr:uid="{FAB3A2AE-7691-4C92-8BCC-3B48242EEDEF}"/>
    <cellStyle name="Normal 3 2 3 2 2 2 4" xfId="9359" xr:uid="{ADDC1C0B-AF2E-4D13-9771-B460E206D93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32FBB929-A47B-4B70-9D5A-15414CF32C9F}"/>
    <cellStyle name="Normal 3 2 3 2 2 3 2 3" xfId="11917" xr:uid="{B20182A3-CE17-4D86-854B-98B6A6660BDA}"/>
    <cellStyle name="Normal 3 2 3 2 2 3 3" xfId="5540" xr:uid="{00000000-0005-0000-0000-000088110000}"/>
    <cellStyle name="Normal 3 2 3 2 2 3 3 2" xfId="13990" xr:uid="{D17EAB29-3D23-443F-9F3F-717C50EC9463}"/>
    <cellStyle name="Normal 3 2 3 2 2 3 4" xfId="9772" xr:uid="{467312B4-09B4-4EE0-9F6D-93FD340A461B}"/>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C07776F8-36BF-419B-97F2-701CCE087B99}"/>
    <cellStyle name="Normal 3 2 3 2 2 4 2 3" xfId="12330" xr:uid="{E34E4AF2-EF0E-4226-A270-33E09AAE798E}"/>
    <cellStyle name="Normal 3 2 3 2 2 4 3" xfId="5953" xr:uid="{00000000-0005-0000-0000-00008C110000}"/>
    <cellStyle name="Normal 3 2 3 2 2 4 3 2" xfId="14403" xr:uid="{B43B0798-81CB-4A00-82DD-CC7912610AD6}"/>
    <cellStyle name="Normal 3 2 3 2 2 4 4" xfId="10185" xr:uid="{A07A6DF2-9171-484C-B160-E52968990C7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0E743FB8-72A6-4169-8EF5-45C4E7BE9B1B}"/>
    <cellStyle name="Normal 3 2 3 2 2 5 2 3" xfId="12743" xr:uid="{C94C29DA-CA00-4292-B957-065CAE7297F6}"/>
    <cellStyle name="Normal 3 2 3 2 2 5 3" xfId="6366" xr:uid="{00000000-0005-0000-0000-000090110000}"/>
    <cellStyle name="Normal 3 2 3 2 2 5 3 2" xfId="14816" xr:uid="{D9788829-B86E-48AE-8079-D100835FA0A9}"/>
    <cellStyle name="Normal 3 2 3 2 2 5 4" xfId="10598" xr:uid="{2C0863E2-BD01-4F01-AC58-DDA1174E8A0B}"/>
    <cellStyle name="Normal 3 2 3 2 2 6" xfId="2496" xr:uid="{00000000-0005-0000-0000-000091110000}"/>
    <cellStyle name="Normal 3 2 3 2 2 6 2" xfId="6779" xr:uid="{00000000-0005-0000-0000-000092110000}"/>
    <cellStyle name="Normal 3 2 3 2 2 6 2 2" xfId="15229" xr:uid="{A46897EC-9564-459D-8E9F-F388B940787D}"/>
    <cellStyle name="Normal 3 2 3 2 2 6 3" xfId="11011" xr:uid="{746759BA-12FE-4343-B7F0-548540FEFF46}"/>
    <cellStyle name="Normal 3 2 3 2 2 7" xfId="4713" xr:uid="{00000000-0005-0000-0000-000093110000}"/>
    <cellStyle name="Normal 3 2 3 2 2 7 2" xfId="13163" xr:uid="{46EE143A-3348-4EFA-916F-2933F9F3CC86}"/>
    <cellStyle name="Normal 3 2 3 2 2 8" xfId="8945" xr:uid="{66FA1A5A-F0C5-4763-AD27-C66D48780969}"/>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AB4EAFCE-BDCD-4B48-AA33-0A5AA86D76B2}"/>
    <cellStyle name="Normal 3 2 3 2 3 2 3" xfId="11503" xr:uid="{B337ED25-044D-4771-95FB-81CFA90F1D9D}"/>
    <cellStyle name="Normal 3 2 3 2 3 3" xfId="5126" xr:uid="{00000000-0005-0000-0000-000097110000}"/>
    <cellStyle name="Normal 3 2 3 2 3 3 2" xfId="13576" xr:uid="{48515286-3B51-4236-8523-A59A3AFA9309}"/>
    <cellStyle name="Normal 3 2 3 2 3 4" xfId="9358" xr:uid="{FC2CCDA3-80D8-4B3E-BF80-C4F723965DFA}"/>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003DD2DE-130C-4DEB-8DC0-9CE1FF3C439E}"/>
    <cellStyle name="Normal 3 2 3 2 4 2 3" xfId="11916" xr:uid="{E43FC95F-3639-46F6-933A-4D5D0A5BDCD2}"/>
    <cellStyle name="Normal 3 2 3 2 4 3" xfId="5539" xr:uid="{00000000-0005-0000-0000-00009B110000}"/>
    <cellStyle name="Normal 3 2 3 2 4 3 2" xfId="13989" xr:uid="{8AA5DEF6-12D5-4DE3-8FA6-34F29FB8A811}"/>
    <cellStyle name="Normal 3 2 3 2 4 4" xfId="9771" xr:uid="{E2E2EBEA-B1A8-444E-9CDA-CF686642177C}"/>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7F47E314-D147-4C36-B87A-B8B506D520D5}"/>
    <cellStyle name="Normal 3 2 3 2 5 2 3" xfId="12329" xr:uid="{95EEE386-1DA9-431B-9CF8-F515AAA5FF24}"/>
    <cellStyle name="Normal 3 2 3 2 5 3" xfId="5952" xr:uid="{00000000-0005-0000-0000-00009F110000}"/>
    <cellStyle name="Normal 3 2 3 2 5 3 2" xfId="14402" xr:uid="{D6A02E75-3243-4C5E-BC31-A38BE4FBC63D}"/>
    <cellStyle name="Normal 3 2 3 2 5 4" xfId="10184" xr:uid="{10C2F46B-7F22-46B9-BA5E-F0E6DF3D2BB6}"/>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88BB4CC9-0B1D-4ABA-96FD-67A295762D33}"/>
    <cellStyle name="Normal 3 2 3 2 6 2 3" xfId="12742" xr:uid="{D54F1532-B62F-456F-83DD-8EC039665D22}"/>
    <cellStyle name="Normal 3 2 3 2 6 3" xfId="6365" xr:uid="{00000000-0005-0000-0000-0000A3110000}"/>
    <cellStyle name="Normal 3 2 3 2 6 3 2" xfId="14815" xr:uid="{DD107496-E777-447D-AC30-794D35692DC0}"/>
    <cellStyle name="Normal 3 2 3 2 6 4" xfId="10597" xr:uid="{F5107C1B-48EB-41B2-A337-0E0E5A7C2969}"/>
    <cellStyle name="Normal 3 2 3 2 7" xfId="2495" xr:uid="{00000000-0005-0000-0000-0000A4110000}"/>
    <cellStyle name="Normal 3 2 3 2 7 2" xfId="6778" xr:uid="{00000000-0005-0000-0000-0000A5110000}"/>
    <cellStyle name="Normal 3 2 3 2 7 2 2" xfId="15228" xr:uid="{A2B39E75-6583-483A-8499-8BDBF9DB313C}"/>
    <cellStyle name="Normal 3 2 3 2 7 3" xfId="11010" xr:uid="{F7E31B25-BA32-4590-A1DE-E32DA053391E}"/>
    <cellStyle name="Normal 3 2 3 2 8" xfId="4712" xr:uid="{00000000-0005-0000-0000-0000A6110000}"/>
    <cellStyle name="Normal 3 2 3 2 8 2" xfId="13162" xr:uid="{FB0AA9F2-4991-43A3-9E76-B2EA5C923948}"/>
    <cellStyle name="Normal 3 2 3 2 9" xfId="8944" xr:uid="{759D9609-E223-4DEB-A4AC-3E80B0BAAB4C}"/>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8297393B-8375-4921-AC42-48C75F0A6E51}"/>
    <cellStyle name="Normal 3 2 3 3 2 2 3" xfId="11505" xr:uid="{B0164ACB-C98E-4163-94EF-78C549772848}"/>
    <cellStyle name="Normal 3 2 3 3 2 3" xfId="5128" xr:uid="{00000000-0005-0000-0000-0000AB110000}"/>
    <cellStyle name="Normal 3 2 3 3 2 3 2" xfId="13578" xr:uid="{4D310677-AEFA-4DCC-82A5-4A179F8F1EBE}"/>
    <cellStyle name="Normal 3 2 3 3 2 4" xfId="9360" xr:uid="{80619260-7C8E-4CF3-8798-850F91502372}"/>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9B7DCED8-D777-41CE-8CE9-D18D5DDC9160}"/>
    <cellStyle name="Normal 3 2 3 3 3 2 3" xfId="11918" xr:uid="{CAA73B11-0515-4FF7-96D8-2C4BC985919D}"/>
    <cellStyle name="Normal 3 2 3 3 3 3" xfId="5541" xr:uid="{00000000-0005-0000-0000-0000AF110000}"/>
    <cellStyle name="Normal 3 2 3 3 3 3 2" xfId="13991" xr:uid="{EACE9CA1-8973-4F63-BF15-EFF1D099A637}"/>
    <cellStyle name="Normal 3 2 3 3 3 4" xfId="9773" xr:uid="{31B2EBB3-29BF-4319-841F-EAB780AEE808}"/>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EFD7E599-FF25-4741-8CFF-4D05847999D6}"/>
    <cellStyle name="Normal 3 2 3 3 4 2 3" xfId="12331" xr:uid="{0B75B787-DDD3-4790-85BB-F71039CBB624}"/>
    <cellStyle name="Normal 3 2 3 3 4 3" xfId="5954" xr:uid="{00000000-0005-0000-0000-0000B3110000}"/>
    <cellStyle name="Normal 3 2 3 3 4 3 2" xfId="14404" xr:uid="{AC0F858C-AC0B-4F2A-B105-C50004916A2B}"/>
    <cellStyle name="Normal 3 2 3 3 4 4" xfId="10186" xr:uid="{83B13F24-765F-47E6-A84F-18ED1FE938C4}"/>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9F7A3062-4F01-4A24-A56D-021B6D0007B4}"/>
    <cellStyle name="Normal 3 2 3 3 5 2 3" xfId="12744" xr:uid="{3D0371B7-8DC6-4949-88D5-9658C89D75BD}"/>
    <cellStyle name="Normal 3 2 3 3 5 3" xfId="6367" xr:uid="{00000000-0005-0000-0000-0000B7110000}"/>
    <cellStyle name="Normal 3 2 3 3 5 3 2" xfId="14817" xr:uid="{37180FB9-EF33-4296-BF3C-99C5BB3E7F04}"/>
    <cellStyle name="Normal 3 2 3 3 5 4" xfId="10599" xr:uid="{3F78D481-F814-4F26-A27A-B77F9DA01289}"/>
    <cellStyle name="Normal 3 2 3 3 6" xfId="2497" xr:uid="{00000000-0005-0000-0000-0000B8110000}"/>
    <cellStyle name="Normal 3 2 3 3 6 2" xfId="6780" xr:uid="{00000000-0005-0000-0000-0000B9110000}"/>
    <cellStyle name="Normal 3 2 3 3 6 2 2" xfId="15230" xr:uid="{079F77F3-784E-48A5-8DE0-DC5F0F565F3D}"/>
    <cellStyle name="Normal 3 2 3 3 6 3" xfId="11012" xr:uid="{6E5BA2C0-D407-402D-9DCF-B4C04445032E}"/>
    <cellStyle name="Normal 3 2 3 3 7" xfId="4714" xr:uid="{00000000-0005-0000-0000-0000BA110000}"/>
    <cellStyle name="Normal 3 2 3 3 7 2" xfId="13164" xr:uid="{7B915C9B-416F-4D3B-AAD8-F87417D7BEF1}"/>
    <cellStyle name="Normal 3 2 3 3 8" xfId="8946" xr:uid="{0549A437-AE4F-40C5-9FF3-3DD262488D00}"/>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BF7FD9C8-6D96-4154-BE6F-35EE6EA0942F}"/>
    <cellStyle name="Normal 3 2 3 4 2 3" xfId="11502" xr:uid="{255E8372-8C50-450B-ACDB-421A3692A3D4}"/>
    <cellStyle name="Normal 3 2 3 4 3" xfId="5125" xr:uid="{00000000-0005-0000-0000-0000BE110000}"/>
    <cellStyle name="Normal 3 2 3 4 3 2" xfId="13575" xr:uid="{D8FF5761-B25C-4C15-A272-497CFD934AE7}"/>
    <cellStyle name="Normal 3 2 3 4 4" xfId="9357" xr:uid="{EA5D486E-3124-459F-978A-2E3002E299C2}"/>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109E63B8-46E0-4848-BD51-8914C4274B64}"/>
    <cellStyle name="Normal 3 2 3 5 2 3" xfId="11915" xr:uid="{062AC8B1-05E5-4D07-9858-B33DFD7A2628}"/>
    <cellStyle name="Normal 3 2 3 5 3" xfId="5538" xr:uid="{00000000-0005-0000-0000-0000C2110000}"/>
    <cellStyle name="Normal 3 2 3 5 3 2" xfId="13988" xr:uid="{7ED93977-8C24-4196-8424-EBC7E615783C}"/>
    <cellStyle name="Normal 3 2 3 5 4" xfId="9770" xr:uid="{A34981A3-E2F6-47F7-B828-B9D7E82A55B6}"/>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8319A107-8718-43DF-BD39-8FF0E80C10C4}"/>
    <cellStyle name="Normal 3 2 3 6 2 3" xfId="12328" xr:uid="{437E1784-8285-47E6-8C3C-CC4593B5EFF5}"/>
    <cellStyle name="Normal 3 2 3 6 3" xfId="5951" xr:uid="{00000000-0005-0000-0000-0000C6110000}"/>
    <cellStyle name="Normal 3 2 3 6 3 2" xfId="14401" xr:uid="{2C724767-4374-4075-A609-22EC34382324}"/>
    <cellStyle name="Normal 3 2 3 6 4" xfId="10183" xr:uid="{7175CC91-D2CF-4B63-B1DC-E68640396D1F}"/>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086861FF-39CA-466D-9648-ED696A7C1576}"/>
    <cellStyle name="Normal 3 2 3 7 2 3" xfId="12741" xr:uid="{EE37B57F-7A72-4132-8642-BD2B61027328}"/>
    <cellStyle name="Normal 3 2 3 7 3" xfId="6364" xr:uid="{00000000-0005-0000-0000-0000CA110000}"/>
    <cellStyle name="Normal 3 2 3 7 3 2" xfId="14814" xr:uid="{97D2153C-178C-4B25-925E-2B2C4C1DF512}"/>
    <cellStyle name="Normal 3 2 3 7 4" xfId="10596" xr:uid="{5FD54084-4FC1-47BB-B6C2-A013814CDF5A}"/>
    <cellStyle name="Normal 3 2 3 8" xfId="2494" xr:uid="{00000000-0005-0000-0000-0000CB110000}"/>
    <cellStyle name="Normal 3 2 3 8 2" xfId="6777" xr:uid="{00000000-0005-0000-0000-0000CC110000}"/>
    <cellStyle name="Normal 3 2 3 8 2 2" xfId="15227" xr:uid="{AF65969B-CE31-434E-8841-94E424E3B20F}"/>
    <cellStyle name="Normal 3 2 3 8 3" xfId="11009" xr:uid="{9FD136F8-ABD4-4971-8A17-750CDDDAB2C1}"/>
    <cellStyle name="Normal 3 2 3 9" xfId="4711" xr:uid="{00000000-0005-0000-0000-0000CD110000}"/>
    <cellStyle name="Normal 3 2 3 9 2" xfId="13161" xr:uid="{67B24F23-A110-439F-833B-6D9863E0FC5F}"/>
    <cellStyle name="Normal 3 2 4" xfId="809" xr:uid="{00000000-0005-0000-0000-0000CE110000}"/>
    <cellStyle name="Normal 3 2 4 2" xfId="3047" xr:uid="{00000000-0005-0000-0000-0000CF110000}"/>
    <cellStyle name="Normal 3 2 4 2 2" xfId="7269" xr:uid="{00000000-0005-0000-0000-0000D0110000}"/>
    <cellStyle name="Normal 3 2 4 2 2 2" xfId="15719" xr:uid="{9961DE7C-60B4-418E-A33B-5D20170A14F3}"/>
    <cellStyle name="Normal 3 2 4 2 3" xfId="11501" xr:uid="{00226EBD-4D2B-4244-A03C-17218DAA0B9B}"/>
    <cellStyle name="Normal 3 2 4 3" xfId="5124" xr:uid="{00000000-0005-0000-0000-0000D1110000}"/>
    <cellStyle name="Normal 3 2 4 3 2" xfId="13574" xr:uid="{308AD45A-D602-4CC1-A7D3-CF904E11D278}"/>
    <cellStyle name="Normal 3 2 4 4" xfId="9356" xr:uid="{0C097D8F-1B4B-4346-92DA-75E9C3E8E07A}"/>
    <cellStyle name="Normal 3 2 5" xfId="1230" xr:uid="{00000000-0005-0000-0000-0000D2110000}"/>
    <cellStyle name="Normal 3 2 5 2" xfId="3460" xr:uid="{00000000-0005-0000-0000-0000D3110000}"/>
    <cellStyle name="Normal 3 2 5 2 2" xfId="7682" xr:uid="{00000000-0005-0000-0000-0000D4110000}"/>
    <cellStyle name="Normal 3 2 5 2 2 2" xfId="16132" xr:uid="{17A71FEC-E2DD-4DC7-AF56-C8449AD7E5FC}"/>
    <cellStyle name="Normal 3 2 5 2 3" xfId="11914" xr:uid="{A1F69341-1950-4A3E-BD26-A0E1AF300C94}"/>
    <cellStyle name="Normal 3 2 5 3" xfId="5537" xr:uid="{00000000-0005-0000-0000-0000D5110000}"/>
    <cellStyle name="Normal 3 2 5 3 2" xfId="13987" xr:uid="{42CEE32E-0902-44C2-8D81-024ED997C8A9}"/>
    <cellStyle name="Normal 3 2 5 4" xfId="9769" xr:uid="{F3E15E7F-A078-4684-8EB4-684A6C2B2447}"/>
    <cellStyle name="Normal 3 2 6" xfId="1643" xr:uid="{00000000-0005-0000-0000-0000D6110000}"/>
    <cellStyle name="Normal 3 2 6 2" xfId="3873" xr:uid="{00000000-0005-0000-0000-0000D7110000}"/>
    <cellStyle name="Normal 3 2 6 2 2" xfId="8095" xr:uid="{00000000-0005-0000-0000-0000D8110000}"/>
    <cellStyle name="Normal 3 2 6 2 2 2" xfId="16545" xr:uid="{E11D57E9-DC8B-468E-958B-1148747FD2C1}"/>
    <cellStyle name="Normal 3 2 6 2 3" xfId="12327" xr:uid="{7739B8DC-F710-4577-8F5D-2C4FE9C1A840}"/>
    <cellStyle name="Normal 3 2 6 3" xfId="5950" xr:uid="{00000000-0005-0000-0000-0000D9110000}"/>
    <cellStyle name="Normal 3 2 6 3 2" xfId="14400" xr:uid="{153499CE-83B4-49DD-AA44-17045D20CB7C}"/>
    <cellStyle name="Normal 3 2 6 4" xfId="10182" xr:uid="{AD029338-793B-4695-981D-56392EB5EE31}"/>
    <cellStyle name="Normal 3 2 7" xfId="2057" xr:uid="{00000000-0005-0000-0000-0000DA110000}"/>
    <cellStyle name="Normal 3 2 7 2" xfId="4286" xr:uid="{00000000-0005-0000-0000-0000DB110000}"/>
    <cellStyle name="Normal 3 2 7 2 2" xfId="8508" xr:uid="{00000000-0005-0000-0000-0000DC110000}"/>
    <cellStyle name="Normal 3 2 7 2 2 2" xfId="16958" xr:uid="{40B862B7-1263-4576-9F9E-DD80BDBB6D00}"/>
    <cellStyle name="Normal 3 2 7 2 3" xfId="12740" xr:uid="{887770DD-1E29-4985-85E0-30974E8FD770}"/>
    <cellStyle name="Normal 3 2 7 3" xfId="6363" xr:uid="{00000000-0005-0000-0000-0000DD110000}"/>
    <cellStyle name="Normal 3 2 7 3 2" xfId="14813" xr:uid="{27259623-D9D4-4165-A35B-A1B75180EB72}"/>
    <cellStyle name="Normal 3 2 7 4" xfId="10595" xr:uid="{E4DCDA34-75BC-41C6-869E-8EFE3BF9E7A0}"/>
    <cellStyle name="Normal 3 2 8" xfId="2493" xr:uid="{00000000-0005-0000-0000-0000DE110000}"/>
    <cellStyle name="Normal 3 2 8 2" xfId="6776" xr:uid="{00000000-0005-0000-0000-0000DF110000}"/>
    <cellStyle name="Normal 3 2 8 2 2" xfId="15226" xr:uid="{9A661CCC-8DFB-4831-A590-4EA03BF86596}"/>
    <cellStyle name="Normal 3 2 8 3" xfId="11008" xr:uid="{5782A409-B566-4359-93A0-8CAEC09FF570}"/>
    <cellStyle name="Normal 3 2 9" xfId="4710" xr:uid="{00000000-0005-0000-0000-0000E0110000}"/>
    <cellStyle name="Normal 3 2 9 2" xfId="13160" xr:uid="{0424DED8-CC32-4589-8AD0-BEA0379AABC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EB3170AA-2641-42DA-AAE4-0ADF3AAD82F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EC07EE72-E23B-40A9-9475-141B840F1645}"/>
    <cellStyle name="Normal 4 2 2 10 2 3" xfId="12745" xr:uid="{7784C505-27C4-4BE6-82E6-7C465F96EBD6}"/>
    <cellStyle name="Normal 4 2 2 10 3" xfId="6368" xr:uid="{00000000-0005-0000-0000-0000ED110000}"/>
    <cellStyle name="Normal 4 2 2 10 3 2" xfId="14818" xr:uid="{83804AFD-89D2-4693-B0C1-CB2166B631FA}"/>
    <cellStyle name="Normal 4 2 2 10 4" xfId="10600" xr:uid="{33A04637-C9BF-42ED-8F56-9A8FFCCA806B}"/>
    <cellStyle name="Normal 4 2 2 11" xfId="2498" xr:uid="{00000000-0005-0000-0000-0000EE110000}"/>
    <cellStyle name="Normal 4 2 2 11 2" xfId="6781" xr:uid="{00000000-0005-0000-0000-0000EF110000}"/>
    <cellStyle name="Normal 4 2 2 11 2 2" xfId="15231" xr:uid="{FA74272B-0CC4-4031-80FF-17B6EE51CA10}"/>
    <cellStyle name="Normal 4 2 2 11 3" xfId="11013" xr:uid="{D6609F3D-8831-42A6-9DB7-C7E1C6893450}"/>
    <cellStyle name="Normal 4 2 2 12" xfId="4716" xr:uid="{00000000-0005-0000-0000-0000F0110000}"/>
    <cellStyle name="Normal 4 2 2 12 2" xfId="13166" xr:uid="{7D95C772-B5DE-438A-98AE-2B5E504A62C1}"/>
    <cellStyle name="Normal 4 2 2 13" xfId="8948" xr:uid="{BFD3CA8E-CFAA-4BBA-BD24-E22E1489D162}"/>
    <cellStyle name="Normal 4 2 2 2" xfId="338" xr:uid="{00000000-0005-0000-0000-0000F1110000}"/>
    <cellStyle name="Normal 4 2 2 3" xfId="339" xr:uid="{00000000-0005-0000-0000-0000F2110000}"/>
    <cellStyle name="Normal 4 2 2 3 10" xfId="4717" xr:uid="{00000000-0005-0000-0000-0000F3110000}"/>
    <cellStyle name="Normal 4 2 2 3 10 2" xfId="13167" xr:uid="{0BC55CED-94D0-419C-9D85-12F6EE572904}"/>
    <cellStyle name="Normal 4 2 2 3 11" xfId="8949" xr:uid="{0B632591-5FC1-40F1-AACA-B1E160B27307}"/>
    <cellStyle name="Normal 4 2 2 3 2" xfId="340" xr:uid="{00000000-0005-0000-0000-0000F4110000}"/>
    <cellStyle name="Normal 4 2 2 3 2 10" xfId="8950" xr:uid="{5CDE373D-08AE-42E3-9469-864C4B4E1A89}"/>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D9DBBE7F-6C54-434A-A402-1AFBC2661390}"/>
    <cellStyle name="Normal 4 2 2 3 2 2 2 2 2 3" xfId="11510" xr:uid="{4B016C20-97C3-47C3-AD16-0A5A03B7A37E}"/>
    <cellStyle name="Normal 4 2 2 3 2 2 2 2 3" xfId="5133" xr:uid="{00000000-0005-0000-0000-0000FA110000}"/>
    <cellStyle name="Normal 4 2 2 3 2 2 2 2 3 2" xfId="13583" xr:uid="{8F201A51-5B3E-403C-AA6C-066311629E0C}"/>
    <cellStyle name="Normal 4 2 2 3 2 2 2 2 4" xfId="9365" xr:uid="{C39476C8-F9A2-41DC-82F6-E35FC93DA8D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3CA29703-B5A2-4D07-94BF-177E393E0352}"/>
    <cellStyle name="Normal 4 2 2 3 2 2 2 3 2 3" xfId="11923" xr:uid="{73C1B431-0176-46F5-89EF-E19BD5AE72BF}"/>
    <cellStyle name="Normal 4 2 2 3 2 2 2 3 3" xfId="5546" xr:uid="{00000000-0005-0000-0000-0000FE110000}"/>
    <cellStyle name="Normal 4 2 2 3 2 2 2 3 3 2" xfId="13996" xr:uid="{201D664F-0A53-4658-83A3-D0286A22E27C}"/>
    <cellStyle name="Normal 4 2 2 3 2 2 2 3 4" xfId="9778" xr:uid="{7E6B522B-81CE-4B66-8AD9-4B77C063D2ED}"/>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4A9EB1FB-62D7-494F-AC9B-C17F0CAB8643}"/>
    <cellStyle name="Normal 4 2 2 3 2 2 2 4 2 3" xfId="12336" xr:uid="{5C7DB768-B725-4083-BD04-04F685949DFF}"/>
    <cellStyle name="Normal 4 2 2 3 2 2 2 4 3" xfId="5959" xr:uid="{00000000-0005-0000-0000-000002120000}"/>
    <cellStyle name="Normal 4 2 2 3 2 2 2 4 3 2" xfId="14409" xr:uid="{7D1E2F12-2392-4B31-AF18-2379F8D28B1B}"/>
    <cellStyle name="Normal 4 2 2 3 2 2 2 4 4" xfId="10191" xr:uid="{C2BD3D3F-4C62-4E19-9C4D-A2C5B06C1C5F}"/>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D816ED27-B4D7-4BAD-AE00-7E2992DF5D8D}"/>
    <cellStyle name="Normal 4 2 2 3 2 2 2 5 2 3" xfId="12749" xr:uid="{42B62E4C-7794-40F4-A9FD-1C8FD3DE16AA}"/>
    <cellStyle name="Normal 4 2 2 3 2 2 2 5 3" xfId="6372" xr:uid="{00000000-0005-0000-0000-000006120000}"/>
    <cellStyle name="Normal 4 2 2 3 2 2 2 5 3 2" xfId="14822" xr:uid="{E9CDF806-94A1-4CE5-95B9-5D9E26790237}"/>
    <cellStyle name="Normal 4 2 2 3 2 2 2 5 4" xfId="10604" xr:uid="{C8355C08-DAE0-43B7-B3C9-0F4277ABAAF0}"/>
    <cellStyle name="Normal 4 2 2 3 2 2 2 6" xfId="2502" xr:uid="{00000000-0005-0000-0000-000007120000}"/>
    <cellStyle name="Normal 4 2 2 3 2 2 2 6 2" xfId="6785" xr:uid="{00000000-0005-0000-0000-000008120000}"/>
    <cellStyle name="Normal 4 2 2 3 2 2 2 6 2 2" xfId="15235" xr:uid="{81CD8B99-B7B4-4F2B-AE4E-94EADA2F177A}"/>
    <cellStyle name="Normal 4 2 2 3 2 2 2 6 3" xfId="11017" xr:uid="{C4CF9487-C999-42A0-9E1C-02D09586680F}"/>
    <cellStyle name="Normal 4 2 2 3 2 2 2 7" xfId="4720" xr:uid="{00000000-0005-0000-0000-000009120000}"/>
    <cellStyle name="Normal 4 2 2 3 2 2 2 7 2" xfId="13170" xr:uid="{2D80FA4E-7B70-41D7-92E1-DA1AFBDAB5EC}"/>
    <cellStyle name="Normal 4 2 2 3 2 2 2 8" xfId="8952" xr:uid="{C3156742-5E18-4255-B9DC-E713038DB07F}"/>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A009BF41-4711-46EA-99B3-710A8995EB79}"/>
    <cellStyle name="Normal 4 2 2 3 2 2 3 2 3" xfId="11509" xr:uid="{A42F76DB-DB97-4A6A-80F3-527E7E3A2340}"/>
    <cellStyle name="Normal 4 2 2 3 2 2 3 3" xfId="5132" xr:uid="{00000000-0005-0000-0000-00000D120000}"/>
    <cellStyle name="Normal 4 2 2 3 2 2 3 3 2" xfId="13582" xr:uid="{910AF110-5763-47C4-8D3D-13FEF8B49F29}"/>
    <cellStyle name="Normal 4 2 2 3 2 2 3 4" xfId="9364" xr:uid="{645F10A1-6206-4C20-B57A-D2150E92A3E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7EB06B40-9B92-4889-9B26-EF1508262D3F}"/>
    <cellStyle name="Normal 4 2 2 3 2 2 4 2 3" xfId="11922" xr:uid="{F4802005-E802-4F38-ADB1-9992D4F234A0}"/>
    <cellStyle name="Normal 4 2 2 3 2 2 4 3" xfId="5545" xr:uid="{00000000-0005-0000-0000-000011120000}"/>
    <cellStyle name="Normal 4 2 2 3 2 2 4 3 2" xfId="13995" xr:uid="{2764727B-3C03-4948-AA4A-62E8A28EC47A}"/>
    <cellStyle name="Normal 4 2 2 3 2 2 4 4" xfId="9777" xr:uid="{75C0216D-D805-4CE3-A34C-97B10CBA12F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18153891-27C7-49CE-8D65-A78C980D213B}"/>
    <cellStyle name="Normal 4 2 2 3 2 2 5 2 3" xfId="12335" xr:uid="{CCF39D44-2590-4B3C-8EE6-F500FBFEFCD0}"/>
    <cellStyle name="Normal 4 2 2 3 2 2 5 3" xfId="5958" xr:uid="{00000000-0005-0000-0000-000015120000}"/>
    <cellStyle name="Normal 4 2 2 3 2 2 5 3 2" xfId="14408" xr:uid="{8DDF8401-D06B-4FD7-A809-885D1520F2A5}"/>
    <cellStyle name="Normal 4 2 2 3 2 2 5 4" xfId="10190" xr:uid="{0CB4A077-0FEE-44B9-934E-C493E35B5A9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A308A81C-D240-4B58-A75B-B6F8D376269B}"/>
    <cellStyle name="Normal 4 2 2 3 2 2 6 2 3" xfId="12748" xr:uid="{DD3987A0-A08C-49EB-9419-EC4319698B0B}"/>
    <cellStyle name="Normal 4 2 2 3 2 2 6 3" xfId="6371" xr:uid="{00000000-0005-0000-0000-000019120000}"/>
    <cellStyle name="Normal 4 2 2 3 2 2 6 3 2" xfId="14821" xr:uid="{192A2CBC-9A07-44B1-A81C-11C9E6A3B666}"/>
    <cellStyle name="Normal 4 2 2 3 2 2 6 4" xfId="10603" xr:uid="{F5A1DFB8-3662-4409-886B-0AB56A0B2FBF}"/>
    <cellStyle name="Normal 4 2 2 3 2 2 7" xfId="2501" xr:uid="{00000000-0005-0000-0000-00001A120000}"/>
    <cellStyle name="Normal 4 2 2 3 2 2 7 2" xfId="6784" xr:uid="{00000000-0005-0000-0000-00001B120000}"/>
    <cellStyle name="Normal 4 2 2 3 2 2 7 2 2" xfId="15234" xr:uid="{FEFB5BEF-7E6D-4D48-BCED-EAF30E2EA12F}"/>
    <cellStyle name="Normal 4 2 2 3 2 2 7 3" xfId="11016" xr:uid="{FAD67A5F-96B0-4CE1-889A-50F869DB1495}"/>
    <cellStyle name="Normal 4 2 2 3 2 2 8" xfId="4719" xr:uid="{00000000-0005-0000-0000-00001C120000}"/>
    <cellStyle name="Normal 4 2 2 3 2 2 8 2" xfId="13169" xr:uid="{11A274D5-8BCE-46FC-B578-C97635CA2DF7}"/>
    <cellStyle name="Normal 4 2 2 3 2 2 9" xfId="8951" xr:uid="{646A6789-3EAE-4DC0-9B4F-4452042B821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60A158FD-1143-448D-AFC3-77DD14818D1C}"/>
    <cellStyle name="Normal 4 2 2 3 2 3 2 2 3" xfId="11511" xr:uid="{01B86467-4ADC-42FC-9111-6E20FDE4046E}"/>
    <cellStyle name="Normal 4 2 2 3 2 3 2 3" xfId="5134" xr:uid="{00000000-0005-0000-0000-000021120000}"/>
    <cellStyle name="Normal 4 2 2 3 2 3 2 3 2" xfId="13584" xr:uid="{7ECB226D-5CAC-4C81-B6F9-8E45891DCD6E}"/>
    <cellStyle name="Normal 4 2 2 3 2 3 2 4" xfId="9366" xr:uid="{044D9F3F-F477-4FEA-AC49-F04CD27200C1}"/>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F2301F41-86E6-476D-9605-D3B30A272FB4}"/>
    <cellStyle name="Normal 4 2 2 3 2 3 3 2 3" xfId="11924" xr:uid="{838B71A8-A310-48D5-BE12-288D3C16F6CB}"/>
    <cellStyle name="Normal 4 2 2 3 2 3 3 3" xfId="5547" xr:uid="{00000000-0005-0000-0000-000025120000}"/>
    <cellStyle name="Normal 4 2 2 3 2 3 3 3 2" xfId="13997" xr:uid="{D6E33658-3EAF-45DE-AA34-DEE222C2FFC8}"/>
    <cellStyle name="Normal 4 2 2 3 2 3 3 4" xfId="9779" xr:uid="{E4467DB2-5C7E-42E8-BF92-1800548D10E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A620A188-BA85-45E1-867A-F583C5B19254}"/>
    <cellStyle name="Normal 4 2 2 3 2 3 4 2 3" xfId="12337" xr:uid="{F0BA7252-F6F5-4612-BCE9-FCE95B20EB92}"/>
    <cellStyle name="Normal 4 2 2 3 2 3 4 3" xfId="5960" xr:uid="{00000000-0005-0000-0000-000029120000}"/>
    <cellStyle name="Normal 4 2 2 3 2 3 4 3 2" xfId="14410" xr:uid="{7D6BC5A4-743B-46FA-AF97-FA277FD14E03}"/>
    <cellStyle name="Normal 4 2 2 3 2 3 4 4" xfId="10192" xr:uid="{CC8DC9F5-CEBD-4BF7-9706-B7E1FEB2F448}"/>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912D74E6-B0D5-470D-888E-76BB8EC2FA01}"/>
    <cellStyle name="Normal 4 2 2 3 2 3 5 2 3" xfId="12750" xr:uid="{069B3494-886B-46C2-AE10-7EC65C0126D6}"/>
    <cellStyle name="Normal 4 2 2 3 2 3 5 3" xfId="6373" xr:uid="{00000000-0005-0000-0000-00002D120000}"/>
    <cellStyle name="Normal 4 2 2 3 2 3 5 3 2" xfId="14823" xr:uid="{79B9B182-5B85-4394-8F4B-BE5CCD4F14E3}"/>
    <cellStyle name="Normal 4 2 2 3 2 3 5 4" xfId="10605" xr:uid="{8D5E539C-02F5-42E3-B282-F61F02DDD1DD}"/>
    <cellStyle name="Normal 4 2 2 3 2 3 6" xfId="2503" xr:uid="{00000000-0005-0000-0000-00002E120000}"/>
    <cellStyle name="Normal 4 2 2 3 2 3 6 2" xfId="6786" xr:uid="{00000000-0005-0000-0000-00002F120000}"/>
    <cellStyle name="Normal 4 2 2 3 2 3 6 2 2" xfId="15236" xr:uid="{B9B482A1-9514-4FF4-89BE-624E1AB79755}"/>
    <cellStyle name="Normal 4 2 2 3 2 3 6 3" xfId="11018" xr:uid="{8D3E42B4-8037-48AB-B3D6-4346921743D8}"/>
    <cellStyle name="Normal 4 2 2 3 2 3 7" xfId="4721" xr:uid="{00000000-0005-0000-0000-000030120000}"/>
    <cellStyle name="Normal 4 2 2 3 2 3 7 2" xfId="13171" xr:uid="{9F0FBBB3-005F-48B6-A722-89724867C369}"/>
    <cellStyle name="Normal 4 2 2 3 2 3 8" xfId="8953" xr:uid="{3F115615-1702-4F5D-B965-C96F0C188A92}"/>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3E988CBB-B0DF-4808-8EE6-693DFEA44001}"/>
    <cellStyle name="Normal 4 2 2 3 2 4 2 3" xfId="11508" xr:uid="{DC128D77-E0B2-42E4-80CF-32E542BCE34E}"/>
    <cellStyle name="Normal 4 2 2 3 2 4 3" xfId="5131" xr:uid="{00000000-0005-0000-0000-000034120000}"/>
    <cellStyle name="Normal 4 2 2 3 2 4 3 2" xfId="13581" xr:uid="{BF030577-DC2D-44D9-B173-6E6D984579DF}"/>
    <cellStyle name="Normal 4 2 2 3 2 4 4" xfId="9363" xr:uid="{58DF0361-E1A9-4E4F-B9E6-A3C208E18E46}"/>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D476CBD8-7BD1-4996-B7D2-D1B11722979E}"/>
    <cellStyle name="Normal 4 2 2 3 2 5 2 3" xfId="11921" xr:uid="{1BB388F9-9B73-4124-9AD1-FC1765CDA5C1}"/>
    <cellStyle name="Normal 4 2 2 3 2 5 3" xfId="5544" xr:uid="{00000000-0005-0000-0000-000038120000}"/>
    <cellStyle name="Normal 4 2 2 3 2 5 3 2" xfId="13994" xr:uid="{B55CA59A-6089-4250-9B1B-45589B028AAB}"/>
    <cellStyle name="Normal 4 2 2 3 2 5 4" xfId="9776" xr:uid="{96ABAECF-E157-41F2-A9DD-592F728117C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366D44FF-08AB-43D5-B41B-ACD1E4650EF5}"/>
    <cellStyle name="Normal 4 2 2 3 2 6 2 3" xfId="12334" xr:uid="{70075717-A4F8-4083-933A-55AB698A7287}"/>
    <cellStyle name="Normal 4 2 2 3 2 6 3" xfId="5957" xr:uid="{00000000-0005-0000-0000-00003C120000}"/>
    <cellStyle name="Normal 4 2 2 3 2 6 3 2" xfId="14407" xr:uid="{DDAB234A-D1BF-4552-8061-01621BF8984A}"/>
    <cellStyle name="Normal 4 2 2 3 2 6 4" xfId="10189" xr:uid="{15DC3DFE-265A-4A16-9633-B85F4AA442AB}"/>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A622E5ED-5549-4469-85E9-B7022AE1B82E}"/>
    <cellStyle name="Normal 4 2 2 3 2 7 2 3" xfId="12747" xr:uid="{083C61D2-16F7-4D49-AA4B-69BE1158822B}"/>
    <cellStyle name="Normal 4 2 2 3 2 7 3" xfId="6370" xr:uid="{00000000-0005-0000-0000-000040120000}"/>
    <cellStyle name="Normal 4 2 2 3 2 7 3 2" xfId="14820" xr:uid="{BEB3F90F-58E4-4332-99AA-B59ED3FE042F}"/>
    <cellStyle name="Normal 4 2 2 3 2 7 4" xfId="10602" xr:uid="{EE4149EF-08AA-4E52-B7FD-94B0F21DA9A7}"/>
    <cellStyle name="Normal 4 2 2 3 2 8" xfId="2500" xr:uid="{00000000-0005-0000-0000-000041120000}"/>
    <cellStyle name="Normal 4 2 2 3 2 8 2" xfId="6783" xr:uid="{00000000-0005-0000-0000-000042120000}"/>
    <cellStyle name="Normal 4 2 2 3 2 8 2 2" xfId="15233" xr:uid="{498ECB9F-1E88-4287-8BF6-7631FCF84132}"/>
    <cellStyle name="Normal 4 2 2 3 2 8 3" xfId="11015" xr:uid="{06A7B403-E30A-4151-9B4A-C52208BAF604}"/>
    <cellStyle name="Normal 4 2 2 3 2 9" xfId="4718" xr:uid="{00000000-0005-0000-0000-000043120000}"/>
    <cellStyle name="Normal 4 2 2 3 2 9 2" xfId="13168" xr:uid="{D2FC1DA7-2F93-474E-8256-16FF6F163F3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81E94C8D-9CEC-48A6-9A38-6F18FEF76B85}"/>
    <cellStyle name="Normal 4 2 2 3 3 2 2 2 3" xfId="11513" xr:uid="{C396ACB5-3822-43FD-83A5-0B8B97E781EB}"/>
    <cellStyle name="Normal 4 2 2 3 3 2 2 3" xfId="5136" xr:uid="{00000000-0005-0000-0000-000049120000}"/>
    <cellStyle name="Normal 4 2 2 3 3 2 2 3 2" xfId="13586" xr:uid="{262E35D6-6168-4BB8-8E5F-FC04EA59C7A0}"/>
    <cellStyle name="Normal 4 2 2 3 3 2 2 4" xfId="9368" xr:uid="{F527CEE3-E577-4AC0-89A1-A1FF8607E277}"/>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02EF562-AC7F-4A66-9CF4-B6991A4B98D2}"/>
    <cellStyle name="Normal 4 2 2 3 3 2 3 2 3" xfId="11926" xr:uid="{DDDF913E-769C-443F-AD4C-A61C9D4448A7}"/>
    <cellStyle name="Normal 4 2 2 3 3 2 3 3" xfId="5549" xr:uid="{00000000-0005-0000-0000-00004D120000}"/>
    <cellStyle name="Normal 4 2 2 3 3 2 3 3 2" xfId="13999" xr:uid="{782F46DF-0B1D-4A04-A028-162FCE71C33F}"/>
    <cellStyle name="Normal 4 2 2 3 3 2 3 4" xfId="9781" xr:uid="{B91303DD-ACCF-4C74-80BE-4E4F7232A24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16B8DC80-9498-41D4-9CFB-95F9DBC24488}"/>
    <cellStyle name="Normal 4 2 2 3 3 2 4 2 3" xfId="12339" xr:uid="{D19982B3-C931-4341-8276-E6654B38863C}"/>
    <cellStyle name="Normal 4 2 2 3 3 2 4 3" xfId="5962" xr:uid="{00000000-0005-0000-0000-000051120000}"/>
    <cellStyle name="Normal 4 2 2 3 3 2 4 3 2" xfId="14412" xr:uid="{DF3A1076-9208-46FC-9D5C-EDC9576E6B87}"/>
    <cellStyle name="Normal 4 2 2 3 3 2 4 4" xfId="10194" xr:uid="{B39D4713-0F85-4F24-BC5C-E335C4FC3F8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D4E947F0-EBF3-40D6-8D27-FF9B49673A4E}"/>
    <cellStyle name="Normal 4 2 2 3 3 2 5 2 3" xfId="12752" xr:uid="{FCF2B14C-E528-421A-BF7E-261DD797C4F8}"/>
    <cellStyle name="Normal 4 2 2 3 3 2 5 3" xfId="6375" xr:uid="{00000000-0005-0000-0000-000055120000}"/>
    <cellStyle name="Normal 4 2 2 3 3 2 5 3 2" xfId="14825" xr:uid="{010BAF31-019E-4E86-83C2-AA148989D304}"/>
    <cellStyle name="Normal 4 2 2 3 3 2 5 4" xfId="10607" xr:uid="{30568C0A-FC26-4C08-A4EA-0221E22E2048}"/>
    <cellStyle name="Normal 4 2 2 3 3 2 6" xfId="2505" xr:uid="{00000000-0005-0000-0000-000056120000}"/>
    <cellStyle name="Normal 4 2 2 3 3 2 6 2" xfId="6788" xr:uid="{00000000-0005-0000-0000-000057120000}"/>
    <cellStyle name="Normal 4 2 2 3 3 2 6 2 2" xfId="15238" xr:uid="{B225F4F1-36E8-45E3-ACE3-E4C29AF3DC4B}"/>
    <cellStyle name="Normal 4 2 2 3 3 2 6 3" xfId="11020" xr:uid="{7695D8E2-F8BF-4EA7-B43B-EC1828BCEDFC}"/>
    <cellStyle name="Normal 4 2 2 3 3 2 7" xfId="4723" xr:uid="{00000000-0005-0000-0000-000058120000}"/>
    <cellStyle name="Normal 4 2 2 3 3 2 7 2" xfId="13173" xr:uid="{9B3B8AC2-15C2-4F8C-8EA8-91E99321CA68}"/>
    <cellStyle name="Normal 4 2 2 3 3 2 8" xfId="8955" xr:uid="{002EC6B0-37FD-4B13-A42A-4907B089406B}"/>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CE8399E7-6B5A-4EE5-849F-F22AD9A4814C}"/>
    <cellStyle name="Normal 4 2 2 3 3 3 2 3" xfId="11512" xr:uid="{AC0F5864-53C7-4BDA-B742-B9C3CCC81503}"/>
    <cellStyle name="Normal 4 2 2 3 3 3 3" xfId="5135" xr:uid="{00000000-0005-0000-0000-00005C120000}"/>
    <cellStyle name="Normal 4 2 2 3 3 3 3 2" xfId="13585" xr:uid="{684F284C-3336-40E8-8FAF-89CC4B5F2310}"/>
    <cellStyle name="Normal 4 2 2 3 3 3 4" xfId="9367" xr:uid="{D9BF8388-C913-4D58-9695-C771EC379A34}"/>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7063DB80-5AD2-453D-9DA2-3F40B623A6CE}"/>
    <cellStyle name="Normal 4 2 2 3 3 4 2 3" xfId="11925" xr:uid="{6D475BFA-FBEA-428C-BAB3-B6A0F09408E7}"/>
    <cellStyle name="Normal 4 2 2 3 3 4 3" xfId="5548" xr:uid="{00000000-0005-0000-0000-000060120000}"/>
    <cellStyle name="Normal 4 2 2 3 3 4 3 2" xfId="13998" xr:uid="{7F52E25C-A943-4587-B7C5-5681DF2B7E17}"/>
    <cellStyle name="Normal 4 2 2 3 3 4 4" xfId="9780" xr:uid="{1FDB6253-DE7A-4D25-A883-1EBB88E7A3D5}"/>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703CB461-E31F-4419-8CE3-73752A9E181E}"/>
    <cellStyle name="Normal 4 2 2 3 3 5 2 3" xfId="12338" xr:uid="{097A8C22-4CEF-4288-BEF7-CA970FC1F1CF}"/>
    <cellStyle name="Normal 4 2 2 3 3 5 3" xfId="5961" xr:uid="{00000000-0005-0000-0000-000064120000}"/>
    <cellStyle name="Normal 4 2 2 3 3 5 3 2" xfId="14411" xr:uid="{F035604A-2BF2-46D4-9141-173230840690}"/>
    <cellStyle name="Normal 4 2 2 3 3 5 4" xfId="10193" xr:uid="{ADF2A65A-1B43-4815-A2A4-94205F2982B4}"/>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541C6F99-0A99-4CFB-B9AA-9C58AC50E736}"/>
    <cellStyle name="Normal 4 2 2 3 3 6 2 3" xfId="12751" xr:uid="{2EB1B109-82FF-429A-9541-00477B1F7443}"/>
    <cellStyle name="Normal 4 2 2 3 3 6 3" xfId="6374" xr:uid="{00000000-0005-0000-0000-000068120000}"/>
    <cellStyle name="Normal 4 2 2 3 3 6 3 2" xfId="14824" xr:uid="{5A74720E-AA54-46C2-B0FA-169E5CFF5B30}"/>
    <cellStyle name="Normal 4 2 2 3 3 6 4" xfId="10606" xr:uid="{2A0540E4-3987-4C65-BB84-CEB7D5AFDD03}"/>
    <cellStyle name="Normal 4 2 2 3 3 7" xfId="2504" xr:uid="{00000000-0005-0000-0000-000069120000}"/>
    <cellStyle name="Normal 4 2 2 3 3 7 2" xfId="6787" xr:uid="{00000000-0005-0000-0000-00006A120000}"/>
    <cellStyle name="Normal 4 2 2 3 3 7 2 2" xfId="15237" xr:uid="{9899DD12-CB3E-4207-9B86-169050641755}"/>
    <cellStyle name="Normal 4 2 2 3 3 7 3" xfId="11019" xr:uid="{179D722C-1CFF-4892-9D04-E618D9DB69A5}"/>
    <cellStyle name="Normal 4 2 2 3 3 8" xfId="4722" xr:uid="{00000000-0005-0000-0000-00006B120000}"/>
    <cellStyle name="Normal 4 2 2 3 3 8 2" xfId="13172" xr:uid="{33886D48-F95B-4E38-BE09-AFCBCFE26E0E}"/>
    <cellStyle name="Normal 4 2 2 3 3 9" xfId="8954" xr:uid="{54F9D510-0829-4DEC-8A1E-A3E7689FD67D}"/>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B4B8C97C-E42A-447D-939B-3F85BEFA1E49}"/>
    <cellStyle name="Normal 4 2 2 3 4 2 2 3" xfId="11514" xr:uid="{1207B007-333D-4D64-8DB5-51EE1D6B919D}"/>
    <cellStyle name="Normal 4 2 2 3 4 2 3" xfId="5137" xr:uid="{00000000-0005-0000-0000-000070120000}"/>
    <cellStyle name="Normal 4 2 2 3 4 2 3 2" xfId="13587" xr:uid="{2100C847-974F-4309-8B24-79646BF2616A}"/>
    <cellStyle name="Normal 4 2 2 3 4 2 4" xfId="9369" xr:uid="{CCD7AE63-9794-47BA-934D-26222788CC9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C5D46163-C14A-4548-9E1B-FE8F20647290}"/>
    <cellStyle name="Normal 4 2 2 3 4 3 2 3" xfId="11927" xr:uid="{E01133FC-D72C-461D-9C7F-478D27E61036}"/>
    <cellStyle name="Normal 4 2 2 3 4 3 3" xfId="5550" xr:uid="{00000000-0005-0000-0000-000074120000}"/>
    <cellStyle name="Normal 4 2 2 3 4 3 3 2" xfId="14000" xr:uid="{4D2B7D4D-C48E-4510-B308-DF444DBEF16D}"/>
    <cellStyle name="Normal 4 2 2 3 4 3 4" xfId="9782" xr:uid="{1572541D-C6A4-47EA-8F39-A12E747767D7}"/>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C2297FA9-E803-4F76-ACA1-789D7E82A107}"/>
    <cellStyle name="Normal 4 2 2 3 4 4 2 3" xfId="12340" xr:uid="{7F245FC0-4DE5-4175-A9EA-11213D8FE8EC}"/>
    <cellStyle name="Normal 4 2 2 3 4 4 3" xfId="5963" xr:uid="{00000000-0005-0000-0000-000078120000}"/>
    <cellStyle name="Normal 4 2 2 3 4 4 3 2" xfId="14413" xr:uid="{6D1F30EF-BC65-4529-B1EE-BE69DB1C157E}"/>
    <cellStyle name="Normal 4 2 2 3 4 4 4" xfId="10195" xr:uid="{A547F300-549B-477C-BA56-12BD58F42334}"/>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47E93A88-250B-43D9-BDFA-236275881801}"/>
    <cellStyle name="Normal 4 2 2 3 4 5 2 3" xfId="12753" xr:uid="{91D86BFD-D56D-42C4-8965-102E52CDD0E9}"/>
    <cellStyle name="Normal 4 2 2 3 4 5 3" xfId="6376" xr:uid="{00000000-0005-0000-0000-00007C120000}"/>
    <cellStyle name="Normal 4 2 2 3 4 5 3 2" xfId="14826" xr:uid="{A4C57438-BD40-4589-B478-19E247BA0305}"/>
    <cellStyle name="Normal 4 2 2 3 4 5 4" xfId="10608" xr:uid="{731B4641-4820-4FB0-B894-534033705C9B}"/>
    <cellStyle name="Normal 4 2 2 3 4 6" xfId="2506" xr:uid="{00000000-0005-0000-0000-00007D120000}"/>
    <cellStyle name="Normal 4 2 2 3 4 6 2" xfId="6789" xr:uid="{00000000-0005-0000-0000-00007E120000}"/>
    <cellStyle name="Normal 4 2 2 3 4 6 2 2" xfId="15239" xr:uid="{B21E29C0-3B20-48E0-BC9B-FF5123DB4026}"/>
    <cellStyle name="Normal 4 2 2 3 4 6 3" xfId="11021" xr:uid="{7C0251F3-3014-45C6-B5CE-3C79D9D48904}"/>
    <cellStyle name="Normal 4 2 2 3 4 7" xfId="4724" xr:uid="{00000000-0005-0000-0000-00007F120000}"/>
    <cellStyle name="Normal 4 2 2 3 4 7 2" xfId="13174" xr:uid="{1DA3A950-566F-4566-9864-A7824D81387E}"/>
    <cellStyle name="Normal 4 2 2 3 4 8" xfId="8956" xr:uid="{C75719C1-CF85-4206-AA41-63F1999E9C6B}"/>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AE0ED1E3-71E4-4A24-8F33-BA01152F321B}"/>
    <cellStyle name="Normal 4 2 2 3 5 2 3" xfId="11507" xr:uid="{26B45E58-AB32-4566-95D8-F0A6FA225377}"/>
    <cellStyle name="Normal 4 2 2 3 5 3" xfId="5130" xr:uid="{00000000-0005-0000-0000-000083120000}"/>
    <cellStyle name="Normal 4 2 2 3 5 3 2" xfId="13580" xr:uid="{65D12E83-DEA2-446A-B743-A03D8B774360}"/>
    <cellStyle name="Normal 4 2 2 3 5 4" xfId="9362" xr:uid="{95F379D1-682C-4728-AB0E-5781D827EA0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FE82BAE8-2527-4251-9909-2F665E31C739}"/>
    <cellStyle name="Normal 4 2 2 3 6 2 3" xfId="11920" xr:uid="{4112781B-D97F-48B5-960F-9A9C09D2134B}"/>
    <cellStyle name="Normal 4 2 2 3 6 3" xfId="5543" xr:uid="{00000000-0005-0000-0000-000087120000}"/>
    <cellStyle name="Normal 4 2 2 3 6 3 2" xfId="13993" xr:uid="{A172E615-4B78-4B26-B9CF-2B4633AEC7C6}"/>
    <cellStyle name="Normal 4 2 2 3 6 4" xfId="9775" xr:uid="{BAAAF262-A332-4B9C-B4EE-C0F17A99EA85}"/>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60D5F2B9-4D4B-4C58-94ED-2E3F246E8DF6}"/>
    <cellStyle name="Normal 4 2 2 3 7 2 3" xfId="12333" xr:uid="{58E70F41-6D03-452C-9759-07505D680B71}"/>
    <cellStyle name="Normal 4 2 2 3 7 3" xfId="5956" xr:uid="{00000000-0005-0000-0000-00008B120000}"/>
    <cellStyle name="Normal 4 2 2 3 7 3 2" xfId="14406" xr:uid="{18F05B3E-CB60-4A58-A25A-D1776EB09B9F}"/>
    <cellStyle name="Normal 4 2 2 3 7 4" xfId="10188" xr:uid="{5DD8DA3D-97EF-4E02-8CB9-367000F419E8}"/>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D1FF96B7-8A8A-459C-AC84-20DF81491A96}"/>
    <cellStyle name="Normal 4 2 2 3 8 2 3" xfId="12746" xr:uid="{E62D5B3A-0DB7-42DC-BCCE-D415D1273486}"/>
    <cellStyle name="Normal 4 2 2 3 8 3" xfId="6369" xr:uid="{00000000-0005-0000-0000-00008F120000}"/>
    <cellStyle name="Normal 4 2 2 3 8 3 2" xfId="14819" xr:uid="{64B731B8-1813-49C2-8840-5316CF26C2AF}"/>
    <cellStyle name="Normal 4 2 2 3 8 4" xfId="10601" xr:uid="{9C34FFC2-6EA6-4310-A4D6-E8074187B49F}"/>
    <cellStyle name="Normal 4 2 2 3 9" xfId="2499" xr:uid="{00000000-0005-0000-0000-000090120000}"/>
    <cellStyle name="Normal 4 2 2 3 9 2" xfId="6782" xr:uid="{00000000-0005-0000-0000-000091120000}"/>
    <cellStyle name="Normal 4 2 2 3 9 2 2" xfId="15232" xr:uid="{3F50033C-ECFA-416D-862F-6E60A1A804D9}"/>
    <cellStyle name="Normal 4 2 2 3 9 3" xfId="11014" xr:uid="{C9A7D09D-14CC-40A1-8D00-B3EB360EF216}"/>
    <cellStyle name="Normal 4 2 2 4" xfId="347" xr:uid="{00000000-0005-0000-0000-000092120000}"/>
    <cellStyle name="Normal 4 2 2 4 10" xfId="8957" xr:uid="{765B1B54-E4D2-4719-A184-0BD4D98E40A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AD1C073B-6B2C-4FB7-B762-A9E4F2050780}"/>
    <cellStyle name="Normal 4 2 2 4 2 2 2 2 3" xfId="11517" xr:uid="{4181ED38-A6D7-4341-90B4-814E94592601}"/>
    <cellStyle name="Normal 4 2 2 4 2 2 2 3" xfId="5140" xr:uid="{00000000-0005-0000-0000-000098120000}"/>
    <cellStyle name="Normal 4 2 2 4 2 2 2 3 2" xfId="13590" xr:uid="{7126DF81-90F1-43FF-9AE1-3EFB14E0EA19}"/>
    <cellStyle name="Normal 4 2 2 4 2 2 2 4" xfId="9372" xr:uid="{36964AEC-42B4-4AC9-92CA-1F05B247CE2E}"/>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240004AE-22A1-4DED-B4B6-102BD6A2DD0A}"/>
    <cellStyle name="Normal 4 2 2 4 2 2 3 2 3" xfId="11930" xr:uid="{4A0A7415-A9E2-416E-9C1C-26C37D291DF3}"/>
    <cellStyle name="Normal 4 2 2 4 2 2 3 3" xfId="5553" xr:uid="{00000000-0005-0000-0000-00009C120000}"/>
    <cellStyle name="Normal 4 2 2 4 2 2 3 3 2" xfId="14003" xr:uid="{2EA50F3C-C27F-4757-B8AE-3B2B06F2E057}"/>
    <cellStyle name="Normal 4 2 2 4 2 2 3 4" xfId="9785" xr:uid="{85EDE2BA-444F-44F9-881F-14312924168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6907AA74-A995-4B66-8E5A-5EAFC38A3F1E}"/>
    <cellStyle name="Normal 4 2 2 4 2 2 4 2 3" xfId="12343" xr:uid="{FDD4C5C7-B2CC-4339-9B5D-A151321703EA}"/>
    <cellStyle name="Normal 4 2 2 4 2 2 4 3" xfId="5966" xr:uid="{00000000-0005-0000-0000-0000A0120000}"/>
    <cellStyle name="Normal 4 2 2 4 2 2 4 3 2" xfId="14416" xr:uid="{448E5A95-67D1-4BB0-A0A9-495E430DA069}"/>
    <cellStyle name="Normal 4 2 2 4 2 2 4 4" xfId="10198" xr:uid="{BD335937-56FF-41F8-A988-C726D8F16E3A}"/>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7ACAEBCD-A21F-4875-B74D-4E4486ABBF99}"/>
    <cellStyle name="Normal 4 2 2 4 2 2 5 2 3" xfId="12756" xr:uid="{7F57123E-F349-4C99-958E-356CE5E2F8B6}"/>
    <cellStyle name="Normal 4 2 2 4 2 2 5 3" xfId="6379" xr:uid="{00000000-0005-0000-0000-0000A4120000}"/>
    <cellStyle name="Normal 4 2 2 4 2 2 5 3 2" xfId="14829" xr:uid="{E6050588-9D75-4A8D-AD12-A1F3F7A962D2}"/>
    <cellStyle name="Normal 4 2 2 4 2 2 5 4" xfId="10611" xr:uid="{C6F805DD-3C08-47DA-A4F3-685FD03DC8C6}"/>
    <cellStyle name="Normal 4 2 2 4 2 2 6" xfId="2509" xr:uid="{00000000-0005-0000-0000-0000A5120000}"/>
    <cellStyle name="Normal 4 2 2 4 2 2 6 2" xfId="6792" xr:uid="{00000000-0005-0000-0000-0000A6120000}"/>
    <cellStyle name="Normal 4 2 2 4 2 2 6 2 2" xfId="15242" xr:uid="{F3661A09-7B5A-4C19-840A-BC6DC76896B2}"/>
    <cellStyle name="Normal 4 2 2 4 2 2 6 3" xfId="11024" xr:uid="{FBA72249-83A4-4A0F-AFEE-5E6F6D1A51E8}"/>
    <cellStyle name="Normal 4 2 2 4 2 2 7" xfId="4727" xr:uid="{00000000-0005-0000-0000-0000A7120000}"/>
    <cellStyle name="Normal 4 2 2 4 2 2 7 2" xfId="13177" xr:uid="{CA50BF24-7B64-4252-9B04-4BAD172DBCF7}"/>
    <cellStyle name="Normal 4 2 2 4 2 2 8" xfId="8959" xr:uid="{E407966C-F818-426A-8D1B-3C7678B744BF}"/>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D19D8B9C-D537-4AA0-B3E2-0B156E12EDB6}"/>
    <cellStyle name="Normal 4 2 2 4 2 3 2 3" xfId="11516" xr:uid="{02F53F75-66CB-4221-979C-34DE204CDCFE}"/>
    <cellStyle name="Normal 4 2 2 4 2 3 3" xfId="5139" xr:uid="{00000000-0005-0000-0000-0000AB120000}"/>
    <cellStyle name="Normal 4 2 2 4 2 3 3 2" xfId="13589" xr:uid="{2D1104EC-62DB-44A1-ACF5-A4EEAF8AC2D5}"/>
    <cellStyle name="Normal 4 2 2 4 2 3 4" xfId="9371" xr:uid="{695B516C-9B3E-4520-88D4-A7AAB1543B34}"/>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5D42F665-5C96-4A18-981B-FA60E2E6219F}"/>
    <cellStyle name="Normal 4 2 2 4 2 4 2 3" xfId="11929" xr:uid="{206D22CD-AE14-4C1C-B2E9-382693D2A13D}"/>
    <cellStyle name="Normal 4 2 2 4 2 4 3" xfId="5552" xr:uid="{00000000-0005-0000-0000-0000AF120000}"/>
    <cellStyle name="Normal 4 2 2 4 2 4 3 2" xfId="14002" xr:uid="{EA61C007-333C-4CF6-9654-E5F3679635A1}"/>
    <cellStyle name="Normal 4 2 2 4 2 4 4" xfId="9784" xr:uid="{792377AB-BA08-47F4-B47F-1531BD2E6177}"/>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E04C6CC3-B789-4CB5-BCA7-100D3678D3E8}"/>
    <cellStyle name="Normal 4 2 2 4 2 5 2 3" xfId="12342" xr:uid="{540B0907-FC13-44E3-9D58-F0AA0AD157A6}"/>
    <cellStyle name="Normal 4 2 2 4 2 5 3" xfId="5965" xr:uid="{00000000-0005-0000-0000-0000B3120000}"/>
    <cellStyle name="Normal 4 2 2 4 2 5 3 2" xfId="14415" xr:uid="{AECAB3C1-C3F4-40BC-8D88-08D244B74692}"/>
    <cellStyle name="Normal 4 2 2 4 2 5 4" xfId="10197" xr:uid="{908D07A5-337E-49C2-B401-CB621388163C}"/>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F42425CD-340F-42AD-871C-225FDAC0AE7F}"/>
    <cellStyle name="Normal 4 2 2 4 2 6 2 3" xfId="12755" xr:uid="{73FE1ECD-18D7-4D23-8945-B798E221BF32}"/>
    <cellStyle name="Normal 4 2 2 4 2 6 3" xfId="6378" xr:uid="{00000000-0005-0000-0000-0000B7120000}"/>
    <cellStyle name="Normal 4 2 2 4 2 6 3 2" xfId="14828" xr:uid="{467211BB-EF83-4A1D-9C1E-00B7A26C0D71}"/>
    <cellStyle name="Normal 4 2 2 4 2 6 4" xfId="10610" xr:uid="{B170950D-7F2E-4196-BA7D-43D0A90A4FCC}"/>
    <cellStyle name="Normal 4 2 2 4 2 7" xfId="2508" xr:uid="{00000000-0005-0000-0000-0000B8120000}"/>
    <cellStyle name="Normal 4 2 2 4 2 7 2" xfId="6791" xr:uid="{00000000-0005-0000-0000-0000B9120000}"/>
    <cellStyle name="Normal 4 2 2 4 2 7 2 2" xfId="15241" xr:uid="{3CBAC446-1AE7-4B23-AB28-EAA75A56A531}"/>
    <cellStyle name="Normal 4 2 2 4 2 7 3" xfId="11023" xr:uid="{306B163C-4B04-4B98-94FA-E3D3852BFD55}"/>
    <cellStyle name="Normal 4 2 2 4 2 8" xfId="4726" xr:uid="{00000000-0005-0000-0000-0000BA120000}"/>
    <cellStyle name="Normal 4 2 2 4 2 8 2" xfId="13176" xr:uid="{01463C6C-5DB1-4426-87CE-57DA40F70E20}"/>
    <cellStyle name="Normal 4 2 2 4 2 9" xfId="8958" xr:uid="{FBB617F1-3405-4C15-BACC-1008E56E4331}"/>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9394869A-5DA7-4510-A7F3-0534CA17EE92}"/>
    <cellStyle name="Normal 4 2 2 4 3 2 2 3" xfId="11518" xr:uid="{B3D6078F-F3D6-4360-8BBC-7AAA7A4D4BE9}"/>
    <cellStyle name="Normal 4 2 2 4 3 2 3" xfId="5141" xr:uid="{00000000-0005-0000-0000-0000BF120000}"/>
    <cellStyle name="Normal 4 2 2 4 3 2 3 2" xfId="13591" xr:uid="{5467520C-5E5D-43FE-9BBB-FB08D034818F}"/>
    <cellStyle name="Normal 4 2 2 4 3 2 4" xfId="9373" xr:uid="{59F620E6-07ED-4256-9527-C6AFE1F67F0D}"/>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6B895F9A-89BA-4651-8377-ED8D7D25644D}"/>
    <cellStyle name="Normal 4 2 2 4 3 3 2 3" xfId="11931" xr:uid="{67AB1ABF-70C4-4011-8C5A-A0DEC6F3B6C3}"/>
    <cellStyle name="Normal 4 2 2 4 3 3 3" xfId="5554" xr:uid="{00000000-0005-0000-0000-0000C3120000}"/>
    <cellStyle name="Normal 4 2 2 4 3 3 3 2" xfId="14004" xr:uid="{7B2A45DA-203B-4C2A-8D72-3C2757FB73C4}"/>
    <cellStyle name="Normal 4 2 2 4 3 3 4" xfId="9786" xr:uid="{652177AB-32E1-4047-B6F2-2C6D9B1DBEE4}"/>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CDA27D65-8C73-4931-A988-3964B6021E6A}"/>
    <cellStyle name="Normal 4 2 2 4 3 4 2 3" xfId="12344" xr:uid="{4B3D70D7-3C48-4CC0-9C9F-89157E2BBF75}"/>
    <cellStyle name="Normal 4 2 2 4 3 4 3" xfId="5967" xr:uid="{00000000-0005-0000-0000-0000C7120000}"/>
    <cellStyle name="Normal 4 2 2 4 3 4 3 2" xfId="14417" xr:uid="{E93173F7-98DC-4EB0-8BAE-54C056FC3922}"/>
    <cellStyle name="Normal 4 2 2 4 3 4 4" xfId="10199" xr:uid="{1A8DB450-FBF9-4649-A79B-BF48F757D58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C3B8EB5C-E332-46F4-9C02-A6D9D40DCE1B}"/>
    <cellStyle name="Normal 4 2 2 4 3 5 2 3" xfId="12757" xr:uid="{32129ADA-9247-4792-BE19-FCCAE01CEE3E}"/>
    <cellStyle name="Normal 4 2 2 4 3 5 3" xfId="6380" xr:uid="{00000000-0005-0000-0000-0000CB120000}"/>
    <cellStyle name="Normal 4 2 2 4 3 5 3 2" xfId="14830" xr:uid="{A3AF7B0A-6487-43A9-BE20-023758668146}"/>
    <cellStyle name="Normal 4 2 2 4 3 5 4" xfId="10612" xr:uid="{0D6AAEDB-479B-4105-996D-DEE67092475C}"/>
    <cellStyle name="Normal 4 2 2 4 3 6" xfId="2510" xr:uid="{00000000-0005-0000-0000-0000CC120000}"/>
    <cellStyle name="Normal 4 2 2 4 3 6 2" xfId="6793" xr:uid="{00000000-0005-0000-0000-0000CD120000}"/>
    <cellStyle name="Normal 4 2 2 4 3 6 2 2" xfId="15243" xr:uid="{A9D9C421-26B2-4873-81C8-CE05A9B97913}"/>
    <cellStyle name="Normal 4 2 2 4 3 6 3" xfId="11025" xr:uid="{EB187703-B591-41A3-8602-0939C3D5C3F0}"/>
    <cellStyle name="Normal 4 2 2 4 3 7" xfId="4728" xr:uid="{00000000-0005-0000-0000-0000CE120000}"/>
    <cellStyle name="Normal 4 2 2 4 3 7 2" xfId="13178" xr:uid="{5A0B830C-8111-4C75-B481-1769194165E1}"/>
    <cellStyle name="Normal 4 2 2 4 3 8" xfId="8960" xr:uid="{126278CD-CF24-451B-B59F-F59C98ED3447}"/>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5D44D0DB-25EB-427F-81AC-E3867AC89013}"/>
    <cellStyle name="Normal 4 2 2 4 4 2 3" xfId="11515" xr:uid="{2A03248B-5D33-4510-AC90-C87DC71C94A0}"/>
    <cellStyle name="Normal 4 2 2 4 4 3" xfId="5138" xr:uid="{00000000-0005-0000-0000-0000D2120000}"/>
    <cellStyle name="Normal 4 2 2 4 4 3 2" xfId="13588" xr:uid="{51C4E2D9-70F9-4A0C-9EBF-4C027FD53C10}"/>
    <cellStyle name="Normal 4 2 2 4 4 4" xfId="9370" xr:uid="{EA143367-C396-495B-91E1-CD74B686D53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7671F7C0-F9B5-46FC-95D6-C781531C55A0}"/>
    <cellStyle name="Normal 4 2 2 4 5 2 3" xfId="11928" xr:uid="{8FB79CC1-FF2F-4716-A30F-E0A4E11BE3B6}"/>
    <cellStyle name="Normal 4 2 2 4 5 3" xfId="5551" xr:uid="{00000000-0005-0000-0000-0000D6120000}"/>
    <cellStyle name="Normal 4 2 2 4 5 3 2" xfId="14001" xr:uid="{012B11B2-B6BE-4381-BEBD-2E09B34FF865}"/>
    <cellStyle name="Normal 4 2 2 4 5 4" xfId="9783" xr:uid="{A6293FBA-3E3F-44CD-B19E-CE72105944EB}"/>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79DCB8EB-6F48-4E32-AE95-A71A0A4533FE}"/>
    <cellStyle name="Normal 4 2 2 4 6 2 3" xfId="12341" xr:uid="{683DEE73-5673-4A6A-97F7-C99DC8BD53E7}"/>
    <cellStyle name="Normal 4 2 2 4 6 3" xfId="5964" xr:uid="{00000000-0005-0000-0000-0000DA120000}"/>
    <cellStyle name="Normal 4 2 2 4 6 3 2" xfId="14414" xr:uid="{3C63652E-AE2C-4035-BCE4-3A00EFE550C0}"/>
    <cellStyle name="Normal 4 2 2 4 6 4" xfId="10196" xr:uid="{0495B2F2-B141-464C-92D3-69D7C5E5C63D}"/>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4F443739-DAFD-4A33-90FD-9814F2D359C1}"/>
    <cellStyle name="Normal 4 2 2 4 7 2 3" xfId="12754" xr:uid="{7DFBBA7C-94E4-45FB-9E3D-FCB6ECE907DF}"/>
    <cellStyle name="Normal 4 2 2 4 7 3" xfId="6377" xr:uid="{00000000-0005-0000-0000-0000DE120000}"/>
    <cellStyle name="Normal 4 2 2 4 7 3 2" xfId="14827" xr:uid="{BB8040BF-C58E-4773-A97D-01DBED1C2DF0}"/>
    <cellStyle name="Normal 4 2 2 4 7 4" xfId="10609" xr:uid="{FFCDD951-F1E8-4472-8016-E1EED3A00463}"/>
    <cellStyle name="Normal 4 2 2 4 8" xfId="2507" xr:uid="{00000000-0005-0000-0000-0000DF120000}"/>
    <cellStyle name="Normal 4 2 2 4 8 2" xfId="6790" xr:uid="{00000000-0005-0000-0000-0000E0120000}"/>
    <cellStyle name="Normal 4 2 2 4 8 2 2" xfId="15240" xr:uid="{78A90932-9693-420A-A558-74B98753D155}"/>
    <cellStyle name="Normal 4 2 2 4 8 3" xfId="11022" xr:uid="{BC3A5240-93B3-4678-9995-B6D58F0DA4D2}"/>
    <cellStyle name="Normal 4 2 2 4 9" xfId="4725" xr:uid="{00000000-0005-0000-0000-0000E1120000}"/>
    <cellStyle name="Normal 4 2 2 4 9 2" xfId="13175" xr:uid="{F6BDC556-7009-41A1-B0DC-CDC1D2680051}"/>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7B773296-9D5C-4F80-AE6E-E9CDCD779C56}"/>
    <cellStyle name="Normal 4 2 2 5 2 2 2 3" xfId="11520" xr:uid="{0CCD168B-D0FC-4DD2-98BC-2FCC3675492E}"/>
    <cellStyle name="Normal 4 2 2 5 2 2 3" xfId="5143" xr:uid="{00000000-0005-0000-0000-0000E7120000}"/>
    <cellStyle name="Normal 4 2 2 5 2 2 3 2" xfId="13593" xr:uid="{0AE61A8E-8915-47C7-A825-DB7C5EC707EB}"/>
    <cellStyle name="Normal 4 2 2 5 2 2 4" xfId="9375" xr:uid="{E58F7071-61D9-498A-9CAC-45951FF9288E}"/>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BB550869-F26E-448C-BDA3-1C9E55FF1178}"/>
    <cellStyle name="Normal 4 2 2 5 2 3 2 3" xfId="11933" xr:uid="{A5E80982-7750-47D5-A756-3E99A16AD4BB}"/>
    <cellStyle name="Normal 4 2 2 5 2 3 3" xfId="5556" xr:uid="{00000000-0005-0000-0000-0000EB120000}"/>
    <cellStyle name="Normal 4 2 2 5 2 3 3 2" xfId="14006" xr:uid="{892BC844-06A0-4F38-B45A-925E9951F156}"/>
    <cellStyle name="Normal 4 2 2 5 2 3 4" xfId="9788" xr:uid="{367E841E-7941-4BF1-B1B2-BD138215197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06A049D0-E83A-4C79-9641-CBEE07038778}"/>
    <cellStyle name="Normal 4 2 2 5 2 4 2 3" xfId="12346" xr:uid="{E5573C70-4DE1-4DA1-A4FD-3EC4B1F1B798}"/>
    <cellStyle name="Normal 4 2 2 5 2 4 3" xfId="5969" xr:uid="{00000000-0005-0000-0000-0000EF120000}"/>
    <cellStyle name="Normal 4 2 2 5 2 4 3 2" xfId="14419" xr:uid="{9A144CCD-73F2-4EDE-8A32-DC651C2DEF42}"/>
    <cellStyle name="Normal 4 2 2 5 2 4 4" xfId="10201" xr:uid="{9C5AB158-CF09-43B6-8195-A73DFBF95AF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8384B33B-03F1-410F-BAE5-C92CBC76CEA1}"/>
    <cellStyle name="Normal 4 2 2 5 2 5 2 3" xfId="12759" xr:uid="{5AB9C297-E9C3-4D6D-8D68-FDE81CF64361}"/>
    <cellStyle name="Normal 4 2 2 5 2 5 3" xfId="6382" xr:uid="{00000000-0005-0000-0000-0000F3120000}"/>
    <cellStyle name="Normal 4 2 2 5 2 5 3 2" xfId="14832" xr:uid="{AC4CD264-5A3A-431D-9426-6528CC485DA8}"/>
    <cellStyle name="Normal 4 2 2 5 2 5 4" xfId="10614" xr:uid="{6AC61158-863E-49CA-9202-10D3C66FB0D5}"/>
    <cellStyle name="Normal 4 2 2 5 2 6" xfId="2512" xr:uid="{00000000-0005-0000-0000-0000F4120000}"/>
    <cellStyle name="Normal 4 2 2 5 2 6 2" xfId="6795" xr:uid="{00000000-0005-0000-0000-0000F5120000}"/>
    <cellStyle name="Normal 4 2 2 5 2 6 2 2" xfId="15245" xr:uid="{F8CCC6B6-0078-454C-9A55-B6C0437076CE}"/>
    <cellStyle name="Normal 4 2 2 5 2 6 3" xfId="11027" xr:uid="{038E0B3E-F67D-4281-8DCA-2BA2B0EF122A}"/>
    <cellStyle name="Normal 4 2 2 5 2 7" xfId="4730" xr:uid="{00000000-0005-0000-0000-0000F6120000}"/>
    <cellStyle name="Normal 4 2 2 5 2 7 2" xfId="13180" xr:uid="{FE9C6B7C-078F-4279-923B-7BBB2C31CE14}"/>
    <cellStyle name="Normal 4 2 2 5 2 8" xfId="8962" xr:uid="{7D156E26-F3B4-4D57-A6A0-D3D54EB9A481}"/>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D5D91EC9-D72B-48E7-A1B8-378E9E84820E}"/>
    <cellStyle name="Normal 4 2 2 5 3 2 3" xfId="11519" xr:uid="{C3AD2ECC-64B0-4DCC-B429-A0E1B32D3E68}"/>
    <cellStyle name="Normal 4 2 2 5 3 3" xfId="5142" xr:uid="{00000000-0005-0000-0000-0000FA120000}"/>
    <cellStyle name="Normal 4 2 2 5 3 3 2" xfId="13592" xr:uid="{005DF871-279C-493E-8DE0-A4DD85803D9C}"/>
    <cellStyle name="Normal 4 2 2 5 3 4" xfId="9374" xr:uid="{6936CA1A-18D8-49CF-8A23-C847C244FF4E}"/>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D9CE2AB6-6850-41C4-8E45-15ED5A39D470}"/>
    <cellStyle name="Normal 4 2 2 5 4 2 3" xfId="11932" xr:uid="{3B516C39-7BB8-4747-A0B6-A25336B6C0F9}"/>
    <cellStyle name="Normal 4 2 2 5 4 3" xfId="5555" xr:uid="{00000000-0005-0000-0000-0000FE120000}"/>
    <cellStyle name="Normal 4 2 2 5 4 3 2" xfId="14005" xr:uid="{990AFF71-22E9-4E6E-BE54-584B9C889C9F}"/>
    <cellStyle name="Normal 4 2 2 5 4 4" xfId="9787" xr:uid="{413EB1E4-CEA7-402F-A7B6-F7BCF40EA615}"/>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59F857DC-D1A6-43F0-A909-26C38FFA93B9}"/>
    <cellStyle name="Normal 4 2 2 5 5 2 3" xfId="12345" xr:uid="{283CB55C-8A99-4BFD-BE69-E7183F33ACD1}"/>
    <cellStyle name="Normal 4 2 2 5 5 3" xfId="5968" xr:uid="{00000000-0005-0000-0000-000002130000}"/>
    <cellStyle name="Normal 4 2 2 5 5 3 2" xfId="14418" xr:uid="{A428D49F-0AC4-4BEA-9176-AE8932ADDC67}"/>
    <cellStyle name="Normal 4 2 2 5 5 4" xfId="10200" xr:uid="{7B582951-E777-4662-8AE3-B6E8C4316795}"/>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15A30285-06A7-463C-9FB9-F54DDC17384E}"/>
    <cellStyle name="Normal 4 2 2 5 6 2 3" xfId="12758" xr:uid="{7BB68D8C-6163-48D0-9DD9-5CF3B37E7A7C}"/>
    <cellStyle name="Normal 4 2 2 5 6 3" xfId="6381" xr:uid="{00000000-0005-0000-0000-000006130000}"/>
    <cellStyle name="Normal 4 2 2 5 6 3 2" xfId="14831" xr:uid="{3D4BB902-EA70-491B-88AA-56851D4BC058}"/>
    <cellStyle name="Normal 4 2 2 5 6 4" xfId="10613" xr:uid="{EF976F9A-AAE5-4A1A-887F-D4A4892E134F}"/>
    <cellStyle name="Normal 4 2 2 5 7" xfId="2511" xr:uid="{00000000-0005-0000-0000-000007130000}"/>
    <cellStyle name="Normal 4 2 2 5 7 2" xfId="6794" xr:uid="{00000000-0005-0000-0000-000008130000}"/>
    <cellStyle name="Normal 4 2 2 5 7 2 2" xfId="15244" xr:uid="{5B3A8C0F-9BC1-4CFF-BD80-70348CF0398C}"/>
    <cellStyle name="Normal 4 2 2 5 7 3" xfId="11026" xr:uid="{4CB1D842-B61A-40AD-9D27-33E0F0BA6A1D}"/>
    <cellStyle name="Normal 4 2 2 5 8" xfId="4729" xr:uid="{00000000-0005-0000-0000-000009130000}"/>
    <cellStyle name="Normal 4 2 2 5 8 2" xfId="13179" xr:uid="{1C26812E-DC0C-473F-A708-906726037F4B}"/>
    <cellStyle name="Normal 4 2 2 5 9" xfId="8961" xr:uid="{4A577D72-FD79-4491-B818-B2A40C286005}"/>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3637A28B-F196-4A7A-9310-BA3D3523FF60}"/>
    <cellStyle name="Normal 4 2 2 6 2 2 3" xfId="11521" xr:uid="{7F99324D-FDE8-438E-87D5-AA0BD829C9FA}"/>
    <cellStyle name="Normal 4 2 2 6 2 3" xfId="5144" xr:uid="{00000000-0005-0000-0000-00000E130000}"/>
    <cellStyle name="Normal 4 2 2 6 2 3 2" xfId="13594" xr:uid="{31F9CA13-6113-4E0F-85AA-B4D4993EBA9E}"/>
    <cellStyle name="Normal 4 2 2 6 2 4" xfId="9376" xr:uid="{D0A82CC7-B472-4B18-AAAE-3E32CE4010E2}"/>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4E20609B-2442-40DB-BAA3-C9BD4C8AD690}"/>
    <cellStyle name="Normal 4 2 2 6 3 2 3" xfId="11934" xr:uid="{CBE000EC-83CA-4053-9C8B-FC931AC3FF55}"/>
    <cellStyle name="Normal 4 2 2 6 3 3" xfId="5557" xr:uid="{00000000-0005-0000-0000-000012130000}"/>
    <cellStyle name="Normal 4 2 2 6 3 3 2" xfId="14007" xr:uid="{6559EE2E-AA81-426F-B07A-76A8E4C9A7A0}"/>
    <cellStyle name="Normal 4 2 2 6 3 4" xfId="9789" xr:uid="{D177F10D-ECC5-4F62-B339-EA3706C32304}"/>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9937BFBF-B058-4376-9469-6E90D688F2D9}"/>
    <cellStyle name="Normal 4 2 2 6 4 2 3" xfId="12347" xr:uid="{3F2CB184-F6A0-4D7E-A90B-11AA78D330C7}"/>
    <cellStyle name="Normal 4 2 2 6 4 3" xfId="5970" xr:uid="{00000000-0005-0000-0000-000016130000}"/>
    <cellStyle name="Normal 4 2 2 6 4 3 2" xfId="14420" xr:uid="{608744E5-E75F-40F9-B71E-D247D29EAD63}"/>
    <cellStyle name="Normal 4 2 2 6 4 4" xfId="10202" xr:uid="{12A1EEEB-D288-47DD-8AC3-E1DB5390D43A}"/>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3B69C542-A6A3-4837-ABD7-8518419D25C9}"/>
    <cellStyle name="Normal 4 2 2 6 5 2 3" xfId="12760" xr:uid="{24CC5F6D-7291-4DE0-976E-58EFC62D959D}"/>
    <cellStyle name="Normal 4 2 2 6 5 3" xfId="6383" xr:uid="{00000000-0005-0000-0000-00001A130000}"/>
    <cellStyle name="Normal 4 2 2 6 5 3 2" xfId="14833" xr:uid="{E007A110-8424-4828-ACFC-634F9A79C51F}"/>
    <cellStyle name="Normal 4 2 2 6 5 4" xfId="10615" xr:uid="{3A49B2B2-71F4-43AB-9E9A-F4FE7D20EE6A}"/>
    <cellStyle name="Normal 4 2 2 6 6" xfId="2513" xr:uid="{00000000-0005-0000-0000-00001B130000}"/>
    <cellStyle name="Normal 4 2 2 6 6 2" xfId="6796" xr:uid="{00000000-0005-0000-0000-00001C130000}"/>
    <cellStyle name="Normal 4 2 2 6 6 2 2" xfId="15246" xr:uid="{0413C889-71F2-4F04-9FB3-B495C34FA012}"/>
    <cellStyle name="Normal 4 2 2 6 6 3" xfId="11028" xr:uid="{FB772327-6842-487E-8240-4B0BECE37272}"/>
    <cellStyle name="Normal 4 2 2 6 7" xfId="4731" xr:uid="{00000000-0005-0000-0000-00001D130000}"/>
    <cellStyle name="Normal 4 2 2 6 7 2" xfId="13181" xr:uid="{639AFC5E-5222-4F52-AA63-07FAB8182CF0}"/>
    <cellStyle name="Normal 4 2 2 6 8" xfId="8963" xr:uid="{65DFB5CF-9347-4FE5-B617-B572915D053C}"/>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0CD22E25-2C0A-4EF4-97B6-38C8A35C5C9A}"/>
    <cellStyle name="Normal 4 2 2 7 2 3" xfId="11506" xr:uid="{BC571340-7DB6-4C60-A6CF-741878CE0D79}"/>
    <cellStyle name="Normal 4 2 2 7 3" xfId="5129" xr:uid="{00000000-0005-0000-0000-000021130000}"/>
    <cellStyle name="Normal 4 2 2 7 3 2" xfId="13579" xr:uid="{52BAA0C2-836D-44E1-A0A6-C26A646DED9A}"/>
    <cellStyle name="Normal 4 2 2 7 4" xfId="9361" xr:uid="{CB4C616E-C914-4B8D-9A95-F08098AA5023}"/>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3C37E1E8-CE81-4A48-91F8-E72982A2CC72}"/>
    <cellStyle name="Normal 4 2 2 8 2 3" xfId="11919" xr:uid="{4E6EA975-C700-4329-8F8B-292F49F86E7D}"/>
    <cellStyle name="Normal 4 2 2 8 3" xfId="5542" xr:uid="{00000000-0005-0000-0000-000025130000}"/>
    <cellStyle name="Normal 4 2 2 8 3 2" xfId="13992" xr:uid="{A876AE41-0416-4420-B83B-5D4E994EC9B0}"/>
    <cellStyle name="Normal 4 2 2 8 4" xfId="9774" xr:uid="{226AA467-7A69-4158-8B2F-2C7883477E5A}"/>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6C5063ED-0BEE-44E7-9064-4532D2E58538}"/>
    <cellStyle name="Normal 4 2 2 9 2 3" xfId="12332" xr:uid="{C025BAA8-4CC2-45AF-B08D-8A61E99F7685}"/>
    <cellStyle name="Normal 4 2 2 9 3" xfId="5955" xr:uid="{00000000-0005-0000-0000-000029130000}"/>
    <cellStyle name="Normal 4 2 2 9 3 2" xfId="14405" xr:uid="{3543FB32-0302-4CE1-A340-D077E617551F}"/>
    <cellStyle name="Normal 4 2 2 9 4" xfId="10187" xr:uid="{E140AC1D-BF24-41AD-9BD7-45CF274FFED8}"/>
    <cellStyle name="Normal 4 2 3" xfId="354" xr:uid="{00000000-0005-0000-0000-00002A130000}"/>
    <cellStyle name="Normal 4 2 4" xfId="355" xr:uid="{00000000-0005-0000-0000-00002B130000}"/>
    <cellStyle name="Normal 4 2 4 10" xfId="4732" xr:uid="{00000000-0005-0000-0000-00002C130000}"/>
    <cellStyle name="Normal 4 2 4 10 2" xfId="13182" xr:uid="{915C90CF-7A69-45E3-91A2-B9444493B77F}"/>
    <cellStyle name="Normal 4 2 4 11" xfId="8964" xr:uid="{C8032715-40B4-4369-83AD-91921FF79A90}"/>
    <cellStyle name="Normal 4 2 4 2" xfId="356" xr:uid="{00000000-0005-0000-0000-00002D130000}"/>
    <cellStyle name="Normal 4 2 4 2 10" xfId="8965" xr:uid="{06F09B19-25A0-490A-B0E7-90B6CD2B4FC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3D472009-AFC3-432E-84C0-0EDD7589698B}"/>
    <cellStyle name="Normal 4 2 4 2 2 2 2 2 3" xfId="11525" xr:uid="{867B5A67-6719-4210-95A8-1E2F6F9D4B83}"/>
    <cellStyle name="Normal 4 2 4 2 2 2 2 3" xfId="5148" xr:uid="{00000000-0005-0000-0000-000033130000}"/>
    <cellStyle name="Normal 4 2 4 2 2 2 2 3 2" xfId="13598" xr:uid="{CF3A47D5-7464-4F99-ABA2-1263B7B4AB67}"/>
    <cellStyle name="Normal 4 2 4 2 2 2 2 4" xfId="9380" xr:uid="{38111904-656C-4FC6-8CF2-4622EA3BDBFA}"/>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2ECE7AE0-CD2B-4C24-AE35-FCE81DE72443}"/>
    <cellStyle name="Normal 4 2 4 2 2 2 3 2 3" xfId="11938" xr:uid="{7A37DE63-0ABD-4020-99B1-11B6AD1EA300}"/>
    <cellStyle name="Normal 4 2 4 2 2 2 3 3" xfId="5561" xr:uid="{00000000-0005-0000-0000-000037130000}"/>
    <cellStyle name="Normal 4 2 4 2 2 2 3 3 2" xfId="14011" xr:uid="{8DEA3E76-5210-4A95-BD65-FCBA9AE079F8}"/>
    <cellStyle name="Normal 4 2 4 2 2 2 3 4" xfId="9793" xr:uid="{856B5305-F364-418D-926F-8CB965CCB8E2}"/>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B2BBFEF4-C015-4CC1-B548-B7326317DF49}"/>
    <cellStyle name="Normal 4 2 4 2 2 2 4 2 3" xfId="12351" xr:uid="{0203D9A9-46F6-42FE-8D4C-346EA58F4661}"/>
    <cellStyle name="Normal 4 2 4 2 2 2 4 3" xfId="5974" xr:uid="{00000000-0005-0000-0000-00003B130000}"/>
    <cellStyle name="Normal 4 2 4 2 2 2 4 3 2" xfId="14424" xr:uid="{D813A993-28CB-4E3D-BE7D-555B742FEB02}"/>
    <cellStyle name="Normal 4 2 4 2 2 2 4 4" xfId="10206" xr:uid="{0F99D6B9-61AD-42F5-92DA-62E601238CF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62149A5E-9A4D-4968-A245-85BA22737107}"/>
    <cellStyle name="Normal 4 2 4 2 2 2 5 2 3" xfId="12764" xr:uid="{3E4974BE-54B9-4191-A0EC-C7240A94C531}"/>
    <cellStyle name="Normal 4 2 4 2 2 2 5 3" xfId="6387" xr:uid="{00000000-0005-0000-0000-00003F130000}"/>
    <cellStyle name="Normal 4 2 4 2 2 2 5 3 2" xfId="14837" xr:uid="{3A77EE3B-E561-4A68-9129-2313CEE05E3C}"/>
    <cellStyle name="Normal 4 2 4 2 2 2 5 4" xfId="10619" xr:uid="{546AA061-451E-4B9F-8A4D-16EF3B3A9955}"/>
    <cellStyle name="Normal 4 2 4 2 2 2 6" xfId="2517" xr:uid="{00000000-0005-0000-0000-000040130000}"/>
    <cellStyle name="Normal 4 2 4 2 2 2 6 2" xfId="6800" xr:uid="{00000000-0005-0000-0000-000041130000}"/>
    <cellStyle name="Normal 4 2 4 2 2 2 6 2 2" xfId="15250" xr:uid="{6A810D37-D186-4E93-8490-89705F75E664}"/>
    <cellStyle name="Normal 4 2 4 2 2 2 6 3" xfId="11032" xr:uid="{AFCE83D5-B471-4195-BAD5-5209F3A56ED4}"/>
    <cellStyle name="Normal 4 2 4 2 2 2 7" xfId="4735" xr:uid="{00000000-0005-0000-0000-000042130000}"/>
    <cellStyle name="Normal 4 2 4 2 2 2 7 2" xfId="13185" xr:uid="{B8D24D0B-04F5-463E-8D60-88D88DDD2F19}"/>
    <cellStyle name="Normal 4 2 4 2 2 2 8" xfId="8967" xr:uid="{3DBF8B5F-5150-4768-90E5-1B3F91496B5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C521A295-DB83-4D5D-B316-44B53F3C4AF0}"/>
    <cellStyle name="Normal 4 2 4 2 2 3 2 3" xfId="11524" xr:uid="{D3F160BE-C4D1-4144-B23C-B01DFAE5E986}"/>
    <cellStyle name="Normal 4 2 4 2 2 3 3" xfId="5147" xr:uid="{00000000-0005-0000-0000-000046130000}"/>
    <cellStyle name="Normal 4 2 4 2 2 3 3 2" xfId="13597" xr:uid="{39075880-FCD1-4C77-A19E-5D548FBEFB6A}"/>
    <cellStyle name="Normal 4 2 4 2 2 3 4" xfId="9379" xr:uid="{6AE42FB6-35C0-48F2-B1EE-C6933CDFA90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2162C35A-5CC2-4182-BEEA-A9CEE73DD791}"/>
    <cellStyle name="Normal 4 2 4 2 2 4 2 3" xfId="11937" xr:uid="{38EEE0B5-8F79-407F-A63A-E19E66EF9ABF}"/>
    <cellStyle name="Normal 4 2 4 2 2 4 3" xfId="5560" xr:uid="{00000000-0005-0000-0000-00004A130000}"/>
    <cellStyle name="Normal 4 2 4 2 2 4 3 2" xfId="14010" xr:uid="{D0ECA460-6E7A-4725-A8DF-4A2C11FB5F27}"/>
    <cellStyle name="Normal 4 2 4 2 2 4 4" xfId="9792" xr:uid="{FFCA1E7C-535F-425C-B03A-FC340C13E0D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3BD4EB9F-709B-4D79-903D-5245EDC06567}"/>
    <cellStyle name="Normal 4 2 4 2 2 5 2 3" xfId="12350" xr:uid="{BBCB1223-6809-4CD2-90A3-EF5E314550FE}"/>
    <cellStyle name="Normal 4 2 4 2 2 5 3" xfId="5973" xr:uid="{00000000-0005-0000-0000-00004E130000}"/>
    <cellStyle name="Normal 4 2 4 2 2 5 3 2" xfId="14423" xr:uid="{CCEBDDE1-0C55-40D4-8C08-5AEE0855963A}"/>
    <cellStyle name="Normal 4 2 4 2 2 5 4" xfId="10205" xr:uid="{2AA09550-3A6E-4DD8-A476-A869901FF24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DAEF1CA6-A3F0-47A6-A051-BFEEE771714E}"/>
    <cellStyle name="Normal 4 2 4 2 2 6 2 3" xfId="12763" xr:uid="{F624069B-397A-47BE-9EB9-3F774D33FBB5}"/>
    <cellStyle name="Normal 4 2 4 2 2 6 3" xfId="6386" xr:uid="{00000000-0005-0000-0000-000052130000}"/>
    <cellStyle name="Normal 4 2 4 2 2 6 3 2" xfId="14836" xr:uid="{4F99ABBC-531A-45D6-8A75-C14D7D0BBF9C}"/>
    <cellStyle name="Normal 4 2 4 2 2 6 4" xfId="10618" xr:uid="{2965F100-7265-4510-AE1C-EE3A3B11B4EE}"/>
    <cellStyle name="Normal 4 2 4 2 2 7" xfId="2516" xr:uid="{00000000-0005-0000-0000-000053130000}"/>
    <cellStyle name="Normal 4 2 4 2 2 7 2" xfId="6799" xr:uid="{00000000-0005-0000-0000-000054130000}"/>
    <cellStyle name="Normal 4 2 4 2 2 7 2 2" xfId="15249" xr:uid="{2A9B2B60-E4D1-4486-AC59-6E722C34B4D9}"/>
    <cellStyle name="Normal 4 2 4 2 2 7 3" xfId="11031" xr:uid="{BB81993F-7A4A-4CCD-A401-6B9EAF559491}"/>
    <cellStyle name="Normal 4 2 4 2 2 8" xfId="4734" xr:uid="{00000000-0005-0000-0000-000055130000}"/>
    <cellStyle name="Normal 4 2 4 2 2 8 2" xfId="13184" xr:uid="{58AB2402-E0CC-4C53-92F1-6FAE6C4E6210}"/>
    <cellStyle name="Normal 4 2 4 2 2 9" xfId="8966" xr:uid="{0ED70F48-780F-4E91-A022-E7C037B43E7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EEB9BDF6-CAD5-4DBF-ADE2-0DF92E528881}"/>
    <cellStyle name="Normal 4 2 4 2 3 2 2 3" xfId="11526" xr:uid="{9E4280AC-3FD4-447A-B778-08E82AF2E6E6}"/>
    <cellStyle name="Normal 4 2 4 2 3 2 3" xfId="5149" xr:uid="{00000000-0005-0000-0000-00005A130000}"/>
    <cellStyle name="Normal 4 2 4 2 3 2 3 2" xfId="13599" xr:uid="{3FFC32EB-24C7-4F5F-93CC-C8F01017B41F}"/>
    <cellStyle name="Normal 4 2 4 2 3 2 4" xfId="9381" xr:uid="{7DD0C324-92E5-4407-85CD-50B2AD0383B5}"/>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3A1C16BF-DC31-4D91-BF3F-2632A69806AD}"/>
    <cellStyle name="Normal 4 2 4 2 3 3 2 3" xfId="11939" xr:uid="{D46CBA31-894B-471F-972B-9D4EDF5DB7DD}"/>
    <cellStyle name="Normal 4 2 4 2 3 3 3" xfId="5562" xr:uid="{00000000-0005-0000-0000-00005E130000}"/>
    <cellStyle name="Normal 4 2 4 2 3 3 3 2" xfId="14012" xr:uid="{1736DBED-7C81-4F27-9F93-848C2C27141B}"/>
    <cellStyle name="Normal 4 2 4 2 3 3 4" xfId="9794" xr:uid="{4D536009-0B00-4BD5-AE01-2D406F779A68}"/>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02356643-4A52-4034-90CB-A89D86F125C6}"/>
    <cellStyle name="Normal 4 2 4 2 3 4 2 3" xfId="12352" xr:uid="{0A56D536-BB24-42CC-BA4C-0ADAF405DA9E}"/>
    <cellStyle name="Normal 4 2 4 2 3 4 3" xfId="5975" xr:uid="{00000000-0005-0000-0000-000062130000}"/>
    <cellStyle name="Normal 4 2 4 2 3 4 3 2" xfId="14425" xr:uid="{7C405DC8-5E5B-4FE5-B23E-DCA9A828B5FF}"/>
    <cellStyle name="Normal 4 2 4 2 3 4 4" xfId="10207" xr:uid="{C748F9C4-9C60-4E16-95C5-0CE86E068A3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8EA3ED48-6AE9-430B-845A-A33492E2B1C8}"/>
    <cellStyle name="Normal 4 2 4 2 3 5 2 3" xfId="12765" xr:uid="{1601719D-50F3-4FBA-8368-CFBA05C12340}"/>
    <cellStyle name="Normal 4 2 4 2 3 5 3" xfId="6388" xr:uid="{00000000-0005-0000-0000-000066130000}"/>
    <cellStyle name="Normal 4 2 4 2 3 5 3 2" xfId="14838" xr:uid="{92D13B59-66EE-4626-830C-22626F128FAD}"/>
    <cellStyle name="Normal 4 2 4 2 3 5 4" xfId="10620" xr:uid="{C33638EB-95AD-4931-B538-E99D5BD4F0F1}"/>
    <cellStyle name="Normal 4 2 4 2 3 6" xfId="2518" xr:uid="{00000000-0005-0000-0000-000067130000}"/>
    <cellStyle name="Normal 4 2 4 2 3 6 2" xfId="6801" xr:uid="{00000000-0005-0000-0000-000068130000}"/>
    <cellStyle name="Normal 4 2 4 2 3 6 2 2" xfId="15251" xr:uid="{470A48DF-F22B-4284-A85B-24AADE408E2F}"/>
    <cellStyle name="Normal 4 2 4 2 3 6 3" xfId="11033" xr:uid="{0F252CB1-4B84-474F-A54C-4DFA74A92C18}"/>
    <cellStyle name="Normal 4 2 4 2 3 7" xfId="4736" xr:uid="{00000000-0005-0000-0000-000069130000}"/>
    <cellStyle name="Normal 4 2 4 2 3 7 2" xfId="13186" xr:uid="{83B9DC94-41AC-49B0-A64C-9644013B0D0E}"/>
    <cellStyle name="Normal 4 2 4 2 3 8" xfId="8968" xr:uid="{FBEF88A2-6C29-4D2E-B0DF-959BC0702003}"/>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DA4D6308-1AD3-41EE-8660-2FE741C5074A}"/>
    <cellStyle name="Normal 4 2 4 2 4 2 3" xfId="11523" xr:uid="{D60C8E20-8F40-4483-8402-A4A73BF63DB7}"/>
    <cellStyle name="Normal 4 2 4 2 4 3" xfId="5146" xr:uid="{00000000-0005-0000-0000-00006D130000}"/>
    <cellStyle name="Normal 4 2 4 2 4 3 2" xfId="13596" xr:uid="{C861FE45-8645-4933-A30C-C06527A54DC1}"/>
    <cellStyle name="Normal 4 2 4 2 4 4" xfId="9378" xr:uid="{40D0D6C7-969A-44C1-B102-458F44AE810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F0499862-C429-4679-9DBF-B9D733397E7B}"/>
    <cellStyle name="Normal 4 2 4 2 5 2 3" xfId="11936" xr:uid="{81E6C245-1D10-425A-9993-C61C3BD6F088}"/>
    <cellStyle name="Normal 4 2 4 2 5 3" xfId="5559" xr:uid="{00000000-0005-0000-0000-000071130000}"/>
    <cellStyle name="Normal 4 2 4 2 5 3 2" xfId="14009" xr:uid="{3C62E254-1593-4CA3-90FB-12D7E4BA0987}"/>
    <cellStyle name="Normal 4 2 4 2 5 4" xfId="9791" xr:uid="{3DF0E2F7-A185-4130-8F63-2C391BEC3CC2}"/>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A2BDF844-9344-4A6C-87AA-916278F9EBA6}"/>
    <cellStyle name="Normal 4 2 4 2 6 2 3" xfId="12349" xr:uid="{5D7A6903-FB4D-4AF6-B870-7AD9B8E1EB65}"/>
    <cellStyle name="Normal 4 2 4 2 6 3" xfId="5972" xr:uid="{00000000-0005-0000-0000-000075130000}"/>
    <cellStyle name="Normal 4 2 4 2 6 3 2" xfId="14422" xr:uid="{37A99D6D-1C64-4577-9BC1-1CED03976FEE}"/>
    <cellStyle name="Normal 4 2 4 2 6 4" xfId="10204" xr:uid="{CDA05744-967E-4353-839D-E8BBA8D41D3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E7F9D123-C374-4A0D-8609-8034EB6C13BF}"/>
    <cellStyle name="Normal 4 2 4 2 7 2 3" xfId="12762" xr:uid="{9D895102-3455-4F34-8B04-5E9056AAC926}"/>
    <cellStyle name="Normal 4 2 4 2 7 3" xfId="6385" xr:uid="{00000000-0005-0000-0000-000079130000}"/>
    <cellStyle name="Normal 4 2 4 2 7 3 2" xfId="14835" xr:uid="{B855AADE-5A57-434F-8A1B-7C5960C0A93E}"/>
    <cellStyle name="Normal 4 2 4 2 7 4" xfId="10617" xr:uid="{9235315E-8FB8-4090-9F4D-A185A374C74F}"/>
    <cellStyle name="Normal 4 2 4 2 8" xfId="2515" xr:uid="{00000000-0005-0000-0000-00007A130000}"/>
    <cellStyle name="Normal 4 2 4 2 8 2" xfId="6798" xr:uid="{00000000-0005-0000-0000-00007B130000}"/>
    <cellStyle name="Normal 4 2 4 2 8 2 2" xfId="15248" xr:uid="{8DEEA420-6D9F-42C2-B542-336F650B87B3}"/>
    <cellStyle name="Normal 4 2 4 2 8 3" xfId="11030" xr:uid="{8B16BA87-3F42-4710-AE24-70A3110F5FED}"/>
    <cellStyle name="Normal 4 2 4 2 9" xfId="4733" xr:uid="{00000000-0005-0000-0000-00007C130000}"/>
    <cellStyle name="Normal 4 2 4 2 9 2" xfId="13183" xr:uid="{A214E3A0-18F4-41E7-A818-1F150015996A}"/>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6848E1FD-4915-4CD2-897C-D0158B323418}"/>
    <cellStyle name="Normal 4 2 4 3 2 2 2 3" xfId="11528" xr:uid="{FA313CFF-0BEE-4C4C-95F7-C7FAF59FB56C}"/>
    <cellStyle name="Normal 4 2 4 3 2 2 3" xfId="5151" xr:uid="{00000000-0005-0000-0000-000082130000}"/>
    <cellStyle name="Normal 4 2 4 3 2 2 3 2" xfId="13601" xr:uid="{4E12030A-68C8-45C6-AED7-8E96A90F962C}"/>
    <cellStyle name="Normal 4 2 4 3 2 2 4" xfId="9383" xr:uid="{D89BED92-7596-4AED-8DA2-35F55FDA6A1D}"/>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4AC7E3D3-D3B9-42F1-9114-7556B388EF64}"/>
    <cellStyle name="Normal 4 2 4 3 2 3 2 3" xfId="11941" xr:uid="{F5C4B70A-C90A-46E1-8BC3-07DF2DD62882}"/>
    <cellStyle name="Normal 4 2 4 3 2 3 3" xfId="5564" xr:uid="{00000000-0005-0000-0000-000086130000}"/>
    <cellStyle name="Normal 4 2 4 3 2 3 3 2" xfId="14014" xr:uid="{1A8BD88D-95CC-4D07-B777-035EB7793390}"/>
    <cellStyle name="Normal 4 2 4 3 2 3 4" xfId="9796" xr:uid="{379B8D1E-25FC-443F-BD55-3F71066C2C4A}"/>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846AE973-1CF6-4FE2-9C04-BFBCA52D157E}"/>
    <cellStyle name="Normal 4 2 4 3 2 4 2 3" xfId="12354" xr:uid="{B706ADAC-1833-4754-9D26-A4FA30D28BB3}"/>
    <cellStyle name="Normal 4 2 4 3 2 4 3" xfId="5977" xr:uid="{00000000-0005-0000-0000-00008A130000}"/>
    <cellStyle name="Normal 4 2 4 3 2 4 3 2" xfId="14427" xr:uid="{83C1ADB4-FF70-4896-854C-FF5868333AA4}"/>
    <cellStyle name="Normal 4 2 4 3 2 4 4" xfId="10209" xr:uid="{CF273BFF-03B2-427A-8990-C77BC381679E}"/>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A88B6D6A-4917-4509-89D3-1C4246E2FA09}"/>
    <cellStyle name="Normal 4 2 4 3 2 5 2 3" xfId="12767" xr:uid="{51B22B35-BE69-4258-83C7-3D3E3C4C11E0}"/>
    <cellStyle name="Normal 4 2 4 3 2 5 3" xfId="6390" xr:uid="{00000000-0005-0000-0000-00008E130000}"/>
    <cellStyle name="Normal 4 2 4 3 2 5 3 2" xfId="14840" xr:uid="{857A2C1E-9D06-442B-A8CE-E7F8653CA51C}"/>
    <cellStyle name="Normal 4 2 4 3 2 5 4" xfId="10622" xr:uid="{B180F113-1F0B-4208-B7CD-339B64F025D3}"/>
    <cellStyle name="Normal 4 2 4 3 2 6" xfId="2520" xr:uid="{00000000-0005-0000-0000-00008F130000}"/>
    <cellStyle name="Normal 4 2 4 3 2 6 2" xfId="6803" xr:uid="{00000000-0005-0000-0000-000090130000}"/>
    <cellStyle name="Normal 4 2 4 3 2 6 2 2" xfId="15253" xr:uid="{8A669258-2A2D-4CFF-A876-D9893212101A}"/>
    <cellStyle name="Normal 4 2 4 3 2 6 3" xfId="11035" xr:uid="{1B5B267A-4906-499E-837B-158BBF4BBE7D}"/>
    <cellStyle name="Normal 4 2 4 3 2 7" xfId="4738" xr:uid="{00000000-0005-0000-0000-000091130000}"/>
    <cellStyle name="Normal 4 2 4 3 2 7 2" xfId="13188" xr:uid="{B2A6B4B8-210F-40EE-A32A-42B9C0C73149}"/>
    <cellStyle name="Normal 4 2 4 3 2 8" xfId="8970" xr:uid="{9540C8D3-A98D-44CF-9D50-C0CA0005839F}"/>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E8AE6798-37A1-4176-94C4-7C2933BF0577}"/>
    <cellStyle name="Normal 4 2 4 3 3 2 3" xfId="11527" xr:uid="{BBAD8435-1F3D-4B59-8E2F-F87E2DE8D5A5}"/>
    <cellStyle name="Normal 4 2 4 3 3 3" xfId="5150" xr:uid="{00000000-0005-0000-0000-000095130000}"/>
    <cellStyle name="Normal 4 2 4 3 3 3 2" xfId="13600" xr:uid="{8A497AE1-2857-4A05-8F92-BDB8367EEB3E}"/>
    <cellStyle name="Normal 4 2 4 3 3 4" xfId="9382" xr:uid="{ED3026EB-E127-432F-A53B-B06B3FFFB39B}"/>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D794322A-E9BE-43B9-9F57-4C7CEC083DD3}"/>
    <cellStyle name="Normal 4 2 4 3 4 2 3" xfId="11940" xr:uid="{7DF03444-80AF-435A-A284-392261DFC7AE}"/>
    <cellStyle name="Normal 4 2 4 3 4 3" xfId="5563" xr:uid="{00000000-0005-0000-0000-000099130000}"/>
    <cellStyle name="Normal 4 2 4 3 4 3 2" xfId="14013" xr:uid="{82C67B7F-3BC6-448D-BDE7-038CB1AB8EF5}"/>
    <cellStyle name="Normal 4 2 4 3 4 4" xfId="9795" xr:uid="{23593A60-0747-4566-B21B-EC5B3217725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1F5BCA7B-B34E-4261-BCBC-9B44B0420FFC}"/>
    <cellStyle name="Normal 4 2 4 3 5 2 3" xfId="12353" xr:uid="{9B4852D3-0D81-4036-BC9E-0C246D00B80D}"/>
    <cellStyle name="Normal 4 2 4 3 5 3" xfId="5976" xr:uid="{00000000-0005-0000-0000-00009D130000}"/>
    <cellStyle name="Normal 4 2 4 3 5 3 2" xfId="14426" xr:uid="{84EA7827-4A07-4DDD-B5CB-8F0D7E8CBF1E}"/>
    <cellStyle name="Normal 4 2 4 3 5 4" xfId="10208" xr:uid="{5DCADAE9-B880-43C1-A0A1-9DE9D395C4EF}"/>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F5B299E1-96DA-4E4D-8F60-53F04D87BF0D}"/>
    <cellStyle name="Normal 4 2 4 3 6 2 3" xfId="12766" xr:uid="{7BADCD71-BE8E-4AAF-8DED-417D939649B8}"/>
    <cellStyle name="Normal 4 2 4 3 6 3" xfId="6389" xr:uid="{00000000-0005-0000-0000-0000A1130000}"/>
    <cellStyle name="Normal 4 2 4 3 6 3 2" xfId="14839" xr:uid="{06BD07FB-22FB-46F7-95B4-E506AC5F12CF}"/>
    <cellStyle name="Normal 4 2 4 3 6 4" xfId="10621" xr:uid="{A852AAA8-6AF6-4EBC-BEE2-3F9F1890572E}"/>
    <cellStyle name="Normal 4 2 4 3 7" xfId="2519" xr:uid="{00000000-0005-0000-0000-0000A2130000}"/>
    <cellStyle name="Normal 4 2 4 3 7 2" xfId="6802" xr:uid="{00000000-0005-0000-0000-0000A3130000}"/>
    <cellStyle name="Normal 4 2 4 3 7 2 2" xfId="15252" xr:uid="{FD0079F3-8E17-4D7D-A6F8-9B479C403644}"/>
    <cellStyle name="Normal 4 2 4 3 7 3" xfId="11034" xr:uid="{DD36B22B-0EB9-4BCC-AF29-BCCD55A5F824}"/>
    <cellStyle name="Normal 4 2 4 3 8" xfId="4737" xr:uid="{00000000-0005-0000-0000-0000A4130000}"/>
    <cellStyle name="Normal 4 2 4 3 8 2" xfId="13187" xr:uid="{9635426A-915A-44F6-80F7-0A99A429581C}"/>
    <cellStyle name="Normal 4 2 4 3 9" xfId="8969" xr:uid="{A8C3C99D-13B3-4508-97D0-1539093572C3}"/>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E21DBA61-CAD4-47EA-BF0D-FBB40B16AC15}"/>
    <cellStyle name="Normal 4 2 4 4 2 2 3" xfId="11529" xr:uid="{63ED37DE-D237-429A-8BF7-65E0A9B6C647}"/>
    <cellStyle name="Normal 4 2 4 4 2 3" xfId="5152" xr:uid="{00000000-0005-0000-0000-0000A9130000}"/>
    <cellStyle name="Normal 4 2 4 4 2 3 2" xfId="13602" xr:uid="{6C04CE08-2A04-4A86-A92D-0021326A4B9F}"/>
    <cellStyle name="Normal 4 2 4 4 2 4" xfId="9384" xr:uid="{D6FAD476-B92D-43CF-B329-BABA2723234B}"/>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CCD3D966-0906-4B56-9306-A6FF23010397}"/>
    <cellStyle name="Normal 4 2 4 4 3 2 3" xfId="11942" xr:uid="{5F252AF3-29E8-46E6-B886-4C0481AAA603}"/>
    <cellStyle name="Normal 4 2 4 4 3 3" xfId="5565" xr:uid="{00000000-0005-0000-0000-0000AD130000}"/>
    <cellStyle name="Normal 4 2 4 4 3 3 2" xfId="14015" xr:uid="{26A42DD4-1038-464B-B795-E48B896765F8}"/>
    <cellStyle name="Normal 4 2 4 4 3 4" xfId="9797" xr:uid="{CAA5A942-0095-431A-9CC9-77F3698EEC3A}"/>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E5286552-D8C7-46CB-B8C1-053D7F0F84AB}"/>
    <cellStyle name="Normal 4 2 4 4 4 2 3" xfId="12355" xr:uid="{0F681ED2-C230-4264-B869-164CDED998E8}"/>
    <cellStyle name="Normal 4 2 4 4 4 3" xfId="5978" xr:uid="{00000000-0005-0000-0000-0000B1130000}"/>
    <cellStyle name="Normal 4 2 4 4 4 3 2" xfId="14428" xr:uid="{4A11D358-4F70-4F68-A2F6-E95891711F6E}"/>
    <cellStyle name="Normal 4 2 4 4 4 4" xfId="10210" xr:uid="{978ED46B-0D48-4223-87DC-44DEF489060A}"/>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76843025-AD29-4504-8D3B-529D37828A32}"/>
    <cellStyle name="Normal 4 2 4 4 5 2 3" xfId="12768" xr:uid="{6AA327C8-1949-4779-83ED-0298F46273FB}"/>
    <cellStyle name="Normal 4 2 4 4 5 3" xfId="6391" xr:uid="{00000000-0005-0000-0000-0000B5130000}"/>
    <cellStyle name="Normal 4 2 4 4 5 3 2" xfId="14841" xr:uid="{2C834006-87BE-433B-B58B-73C5510B3A1B}"/>
    <cellStyle name="Normal 4 2 4 4 5 4" xfId="10623" xr:uid="{B1E06142-8187-485D-B20F-7C787CAB2D88}"/>
    <cellStyle name="Normal 4 2 4 4 6" xfId="2521" xr:uid="{00000000-0005-0000-0000-0000B6130000}"/>
    <cellStyle name="Normal 4 2 4 4 6 2" xfId="6804" xr:uid="{00000000-0005-0000-0000-0000B7130000}"/>
    <cellStyle name="Normal 4 2 4 4 6 2 2" xfId="15254" xr:uid="{2D2AA892-B685-4B3B-9A29-FFDA6D731846}"/>
    <cellStyle name="Normal 4 2 4 4 6 3" xfId="11036" xr:uid="{9F7A21BC-8472-4430-ABBE-52AF3AC51CF0}"/>
    <cellStyle name="Normal 4 2 4 4 7" xfId="4739" xr:uid="{00000000-0005-0000-0000-0000B8130000}"/>
    <cellStyle name="Normal 4 2 4 4 7 2" xfId="13189" xr:uid="{64C2FDF4-F477-4C3C-938F-B341D0EBE39E}"/>
    <cellStyle name="Normal 4 2 4 4 8" xfId="8971" xr:uid="{47E81A0E-977D-4F0A-944E-46770265E590}"/>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7736B390-CFF1-4BAA-892B-27A38444EC77}"/>
    <cellStyle name="Normal 4 2 4 5 2 3" xfId="11522" xr:uid="{9B7916CA-4459-4D24-82DA-D19E6BAC3D63}"/>
    <cellStyle name="Normal 4 2 4 5 3" xfId="5145" xr:uid="{00000000-0005-0000-0000-0000BC130000}"/>
    <cellStyle name="Normal 4 2 4 5 3 2" xfId="13595" xr:uid="{7282AAEE-8F5B-4B7F-A836-D659F1855219}"/>
    <cellStyle name="Normal 4 2 4 5 4" xfId="9377" xr:uid="{51DD02EA-0D65-4A54-8402-A946A825C64E}"/>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12400377-E9A9-4154-AFFB-783D1612FB24}"/>
    <cellStyle name="Normal 4 2 4 6 2 3" xfId="11935" xr:uid="{DCC5C3EB-5EB9-43A5-873B-6E098F7AC9A2}"/>
    <cellStyle name="Normal 4 2 4 6 3" xfId="5558" xr:uid="{00000000-0005-0000-0000-0000C0130000}"/>
    <cellStyle name="Normal 4 2 4 6 3 2" xfId="14008" xr:uid="{38A116A5-9F8E-4B6C-9A47-8A32D2C85C2B}"/>
    <cellStyle name="Normal 4 2 4 6 4" xfId="9790" xr:uid="{59DA5CF9-0803-4539-A51A-9FE5FF1E9695}"/>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D09D59A7-B767-4A0D-99E2-2AC5A7E234AE}"/>
    <cellStyle name="Normal 4 2 4 7 2 3" xfId="12348" xr:uid="{634E749A-8F79-4087-8D7A-0B384F151C23}"/>
    <cellStyle name="Normal 4 2 4 7 3" xfId="5971" xr:uid="{00000000-0005-0000-0000-0000C4130000}"/>
    <cellStyle name="Normal 4 2 4 7 3 2" xfId="14421" xr:uid="{18C43C54-2E42-4013-8304-3AA8807B8C60}"/>
    <cellStyle name="Normal 4 2 4 7 4" xfId="10203" xr:uid="{95B49090-5A85-4C6E-9BDE-16752A78380C}"/>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C16E4920-F3FF-43A8-8580-CFFDBE06115C}"/>
    <cellStyle name="Normal 4 2 4 8 2 3" xfId="12761" xr:uid="{D97255A7-97F5-4F13-9858-190A0F702DC3}"/>
    <cellStyle name="Normal 4 2 4 8 3" xfId="6384" xr:uid="{00000000-0005-0000-0000-0000C8130000}"/>
    <cellStyle name="Normal 4 2 4 8 3 2" xfId="14834" xr:uid="{3C3E4251-4EA9-4A85-A121-C675AB8E108D}"/>
    <cellStyle name="Normal 4 2 4 8 4" xfId="10616" xr:uid="{D188B7C4-0F68-48D5-A0FB-0FA78A55AD93}"/>
    <cellStyle name="Normal 4 2 4 9" xfId="2514" xr:uid="{00000000-0005-0000-0000-0000C9130000}"/>
    <cellStyle name="Normal 4 2 4 9 2" xfId="6797" xr:uid="{00000000-0005-0000-0000-0000CA130000}"/>
    <cellStyle name="Normal 4 2 4 9 2 2" xfId="15247" xr:uid="{9424FE76-31C0-4410-8DE7-012543938191}"/>
    <cellStyle name="Normal 4 2 4 9 3" xfId="11029" xr:uid="{DA66AC07-503C-4468-8818-A1CF2B6F4981}"/>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32182567-01F1-4958-9596-13BAD0F9B86F}"/>
    <cellStyle name="Normal 4 2 5 2 2 2 3" xfId="11531" xr:uid="{1CBFD4BA-F3F2-45E5-9311-BB87F16EC1C0}"/>
    <cellStyle name="Normal 4 2 5 2 2 3" xfId="5154" xr:uid="{00000000-0005-0000-0000-0000D0130000}"/>
    <cellStyle name="Normal 4 2 5 2 2 3 2" xfId="13604" xr:uid="{8D8EB2AE-E148-4A46-9EE1-4B0D60253367}"/>
    <cellStyle name="Normal 4 2 5 2 2 4" xfId="9386" xr:uid="{A20A54BB-B6C0-4A5C-96AC-9774C5ECDACA}"/>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A126651F-AAEE-4096-B7E6-1A6F4057F480}"/>
    <cellStyle name="Normal 4 2 5 2 3 2 3" xfId="11944" xr:uid="{07883243-47D3-466B-8A8F-7E8A2A1C63B2}"/>
    <cellStyle name="Normal 4 2 5 2 3 3" xfId="5567" xr:uid="{00000000-0005-0000-0000-0000D4130000}"/>
    <cellStyle name="Normal 4 2 5 2 3 3 2" xfId="14017" xr:uid="{4898F880-238D-46D3-8A04-F6BA4E8BCA35}"/>
    <cellStyle name="Normal 4 2 5 2 3 4" xfId="9799" xr:uid="{623C4AEB-668E-48E6-A8C2-138ABC834D6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FFD41653-2948-46EF-BF0F-D0F4CA5CECCA}"/>
    <cellStyle name="Normal 4 2 5 2 4 2 3" xfId="12357" xr:uid="{583B38BD-D8DF-4554-8690-51B980FAF0C3}"/>
    <cellStyle name="Normal 4 2 5 2 4 3" xfId="5980" xr:uid="{00000000-0005-0000-0000-0000D8130000}"/>
    <cellStyle name="Normal 4 2 5 2 4 3 2" xfId="14430" xr:uid="{6F519B03-20A5-4E14-86A6-9D34A5CCFD9E}"/>
    <cellStyle name="Normal 4 2 5 2 4 4" xfId="10212" xr:uid="{1CF2FABE-F095-4934-9F99-3DD258D208EB}"/>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08DC05A8-3A68-4665-A305-2D831477F58C}"/>
    <cellStyle name="Normal 4 2 5 2 5 2 3" xfId="12770" xr:uid="{6938C413-19F9-4313-9E22-266A8A4ED91C}"/>
    <cellStyle name="Normal 4 2 5 2 5 3" xfId="6393" xr:uid="{00000000-0005-0000-0000-0000DC130000}"/>
    <cellStyle name="Normal 4 2 5 2 5 3 2" xfId="14843" xr:uid="{201B14E3-5A46-4ADA-8CD9-CF8D2A37D0FE}"/>
    <cellStyle name="Normal 4 2 5 2 5 4" xfId="10625" xr:uid="{F5D59483-285F-4DCD-BF5B-55CCE809DC05}"/>
    <cellStyle name="Normal 4 2 5 2 6" xfId="2523" xr:uid="{00000000-0005-0000-0000-0000DD130000}"/>
    <cellStyle name="Normal 4 2 5 2 6 2" xfId="6806" xr:uid="{00000000-0005-0000-0000-0000DE130000}"/>
    <cellStyle name="Normal 4 2 5 2 6 2 2" xfId="15256" xr:uid="{A32099FC-C499-4C9F-AA6E-CC56CC4EB03B}"/>
    <cellStyle name="Normal 4 2 5 2 6 3" xfId="11038" xr:uid="{2E10A1D4-3EB1-4F3A-A53D-D957B0FA6988}"/>
    <cellStyle name="Normal 4 2 5 2 7" xfId="4741" xr:uid="{00000000-0005-0000-0000-0000DF130000}"/>
    <cellStyle name="Normal 4 2 5 2 7 2" xfId="13191" xr:uid="{63A6B3F6-BF5C-4A83-A93E-0C24299B1C0B}"/>
    <cellStyle name="Normal 4 2 5 2 8" xfId="8973" xr:uid="{222AB9DA-D138-4CEC-9D5E-6B73E4A8760D}"/>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9DA7ADAD-42E9-4ABF-9C23-43A0C98605EC}"/>
    <cellStyle name="Normal 4 2 5 3 2 3" xfId="11530" xr:uid="{63E8578C-F036-4762-8552-EA6887E7C50A}"/>
    <cellStyle name="Normal 4 2 5 3 3" xfId="5153" xr:uid="{00000000-0005-0000-0000-0000E3130000}"/>
    <cellStyle name="Normal 4 2 5 3 3 2" xfId="13603" xr:uid="{3249C84F-87F2-4809-A47A-9CC709596EB2}"/>
    <cellStyle name="Normal 4 2 5 3 4" xfId="9385" xr:uid="{6EE0160F-6DEE-43DA-B62A-B2D70FA57137}"/>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FF39043C-2562-42E1-926A-7B0AEBEFE254}"/>
    <cellStyle name="Normal 4 2 5 4 2 3" xfId="11943" xr:uid="{E66E992A-1FB0-4EC8-AC43-C80C57AB9B39}"/>
    <cellStyle name="Normal 4 2 5 4 3" xfId="5566" xr:uid="{00000000-0005-0000-0000-0000E7130000}"/>
    <cellStyle name="Normal 4 2 5 4 3 2" xfId="14016" xr:uid="{7F9F7E6D-A4F2-40F9-8D52-CC979CBB64D4}"/>
    <cellStyle name="Normal 4 2 5 4 4" xfId="9798" xr:uid="{51CCDCBE-4300-472E-B97F-D3016FFB93EC}"/>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092A9DA9-1FF1-4DDD-A34E-82B863E5213F}"/>
    <cellStyle name="Normal 4 2 5 5 2 3" xfId="12356" xr:uid="{579142CD-3073-44AC-9948-0AE737E5128E}"/>
    <cellStyle name="Normal 4 2 5 5 3" xfId="5979" xr:uid="{00000000-0005-0000-0000-0000EB130000}"/>
    <cellStyle name="Normal 4 2 5 5 3 2" xfId="14429" xr:uid="{51DAB884-1CEC-43F2-B5E9-9C81E3D3414C}"/>
    <cellStyle name="Normal 4 2 5 5 4" xfId="10211" xr:uid="{A9A916E3-0409-4BFF-8DE8-AD9E7A66AE75}"/>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7CF86965-3241-4C48-BF34-C7048C1EEC6E}"/>
    <cellStyle name="Normal 4 2 5 6 2 3" xfId="12769" xr:uid="{2838C723-4DE5-48C1-8527-8DD256BB1FA5}"/>
    <cellStyle name="Normal 4 2 5 6 3" xfId="6392" xr:uid="{00000000-0005-0000-0000-0000EF130000}"/>
    <cellStyle name="Normal 4 2 5 6 3 2" xfId="14842" xr:uid="{B9985FE6-4D58-4C0D-994C-EF49E3A608C1}"/>
    <cellStyle name="Normal 4 2 5 6 4" xfId="10624" xr:uid="{FD7F162D-6BDB-4893-ABDB-57C655E3D5EA}"/>
    <cellStyle name="Normal 4 2 5 7" xfId="2522" xr:uid="{00000000-0005-0000-0000-0000F0130000}"/>
    <cellStyle name="Normal 4 2 5 7 2" xfId="6805" xr:uid="{00000000-0005-0000-0000-0000F1130000}"/>
    <cellStyle name="Normal 4 2 5 7 2 2" xfId="15255" xr:uid="{71499D07-4A04-4A5A-A18E-BFF7AFB180E3}"/>
    <cellStyle name="Normal 4 2 5 7 3" xfId="11037" xr:uid="{1F2234DA-3AE4-4252-8BA3-5A77610ECACA}"/>
    <cellStyle name="Normal 4 2 5 8" xfId="4740" xr:uid="{00000000-0005-0000-0000-0000F2130000}"/>
    <cellStyle name="Normal 4 2 5 8 2" xfId="13190" xr:uid="{CC9E8B06-0C0D-4A3A-8773-A16532103BCF}"/>
    <cellStyle name="Normal 4 2 5 9" xfId="8972" xr:uid="{F7AC0DDD-7515-4B57-B61B-8F3D99770C81}"/>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2BA8DF5B-7269-4BD6-B7AB-49D57E04C4BA}"/>
    <cellStyle name="Normal 4 2 6 2 2 3" xfId="11532" xr:uid="{4EDF05A4-3B58-4FDC-9891-EDABD76C202E}"/>
    <cellStyle name="Normal 4 2 6 2 3" xfId="5155" xr:uid="{00000000-0005-0000-0000-0000F7130000}"/>
    <cellStyle name="Normal 4 2 6 2 3 2" xfId="13605" xr:uid="{7F40E2B3-C652-4EDD-912C-291A307FC0FB}"/>
    <cellStyle name="Normal 4 2 6 2 4" xfId="9387" xr:uid="{546A86F7-D664-4A29-A7D5-6BBEA9E787B6}"/>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0CEB65C1-1834-48C1-915A-62C166C2874E}"/>
    <cellStyle name="Normal 4 2 6 3 2 3" xfId="11945" xr:uid="{63E46E66-A4FF-40C1-9E29-700B7E2681AF}"/>
    <cellStyle name="Normal 4 2 6 3 3" xfId="5568" xr:uid="{00000000-0005-0000-0000-0000FB130000}"/>
    <cellStyle name="Normal 4 2 6 3 3 2" xfId="14018" xr:uid="{CF5BCF1D-146D-474A-9ED9-09F76BB6DC58}"/>
    <cellStyle name="Normal 4 2 6 3 4" xfId="9800" xr:uid="{89532EC4-E706-45AD-A168-C6CE9597392F}"/>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51EB9F87-8C53-4F85-8606-96756D5E4E2F}"/>
    <cellStyle name="Normal 4 2 6 4 2 3" xfId="12358" xr:uid="{455F9D4E-67C2-4530-BE59-20F8DDD2A8AD}"/>
    <cellStyle name="Normal 4 2 6 4 3" xfId="5981" xr:uid="{00000000-0005-0000-0000-0000FF130000}"/>
    <cellStyle name="Normal 4 2 6 4 3 2" xfId="14431" xr:uid="{02087DFF-741F-4A7B-BDE7-4988A2B3F0AD}"/>
    <cellStyle name="Normal 4 2 6 4 4" xfId="10213" xr:uid="{5C99993F-355C-4CB2-A8BD-E94220984803}"/>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2FE33A31-6A24-44AB-9327-254689CD2B94}"/>
    <cellStyle name="Normal 4 2 6 5 2 3" xfId="12771" xr:uid="{ECC32F5A-15E5-4E0C-97A4-FA3F48B1A7A7}"/>
    <cellStyle name="Normal 4 2 6 5 3" xfId="6394" xr:uid="{00000000-0005-0000-0000-000003140000}"/>
    <cellStyle name="Normal 4 2 6 5 3 2" xfId="14844" xr:uid="{CADA443B-EF80-4461-85DC-FF13CC258D43}"/>
    <cellStyle name="Normal 4 2 6 5 4" xfId="10626" xr:uid="{607923A7-F111-4DF3-BDEA-6375FE956788}"/>
    <cellStyle name="Normal 4 2 6 6" xfId="2524" xr:uid="{00000000-0005-0000-0000-000004140000}"/>
    <cellStyle name="Normal 4 2 6 6 2" xfId="6807" xr:uid="{00000000-0005-0000-0000-000005140000}"/>
    <cellStyle name="Normal 4 2 6 6 2 2" xfId="15257" xr:uid="{1BF19130-0ABE-43FC-BD32-645AE2403B1A}"/>
    <cellStyle name="Normal 4 2 6 6 3" xfId="11039" xr:uid="{0981A843-EC23-4DCB-BDAB-18C47D45B3A0}"/>
    <cellStyle name="Normal 4 2 6 7" xfId="4742" xr:uid="{00000000-0005-0000-0000-000006140000}"/>
    <cellStyle name="Normal 4 2 6 7 2" xfId="13192" xr:uid="{998CE893-FE6B-4D7E-9611-BFA3DD17A29D}"/>
    <cellStyle name="Normal 4 2 6 8" xfId="8974" xr:uid="{064C3C5B-0D26-42E5-801B-49EDCD56A658}"/>
    <cellStyle name="Normal 4 3" xfId="366" xr:uid="{00000000-0005-0000-0000-000007140000}"/>
    <cellStyle name="Normal 4 3 10" xfId="8975" xr:uid="{E47C21B0-5A42-4E33-A431-BADBB9162782}"/>
    <cellStyle name="Normal 4 3 2" xfId="367" xr:uid="{00000000-0005-0000-0000-000008140000}"/>
    <cellStyle name="Normal 4 3 2 2" xfId="368" xr:uid="{00000000-0005-0000-0000-000009140000}"/>
    <cellStyle name="Normal 4 3 2 2 2" xfId="369" xr:uid="{00000000-0005-0000-0000-00000A140000}"/>
    <cellStyle name="Normal 4 3 2 2 2 10" xfId="8976" xr:uid="{69D32C41-116F-4E49-A4F6-98093C794B99}"/>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E8606400-44DC-4CBD-A476-C4F36B88D409}"/>
    <cellStyle name="Normal 4 3 2 2 2 2 2 2 2 3" xfId="11536" xr:uid="{FB460769-B405-4918-B0A1-A95088D1A424}"/>
    <cellStyle name="Normal 4 3 2 2 2 2 2 2 3" xfId="5159" xr:uid="{00000000-0005-0000-0000-000010140000}"/>
    <cellStyle name="Normal 4 3 2 2 2 2 2 2 3 2" xfId="13609" xr:uid="{2B37DF68-682F-45E6-87D3-630DAE60C29E}"/>
    <cellStyle name="Normal 4 3 2 2 2 2 2 2 4" xfId="9391" xr:uid="{63E54304-99D9-435C-ADE5-AF1CDD368963}"/>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2476287A-7F07-4BC8-BA72-F03BE911603A}"/>
    <cellStyle name="Normal 4 3 2 2 2 2 2 3 2 3" xfId="11949" xr:uid="{ACF05873-C0D3-440B-AC48-AE6F9F113373}"/>
    <cellStyle name="Normal 4 3 2 2 2 2 2 3 3" xfId="5572" xr:uid="{00000000-0005-0000-0000-000014140000}"/>
    <cellStyle name="Normal 4 3 2 2 2 2 2 3 3 2" xfId="14022" xr:uid="{6EC530FD-C0E1-494C-BBA3-D4B34C2C8ACE}"/>
    <cellStyle name="Normal 4 3 2 2 2 2 2 3 4" xfId="9804" xr:uid="{D4ED4BD5-F7D8-4BCA-840E-A6A64D5CC899}"/>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5920E2C7-2F2D-4FDA-929B-4F074EC465B0}"/>
    <cellStyle name="Normal 4 3 2 2 2 2 2 4 2 3" xfId="12362" xr:uid="{AE513DB1-B13E-4C79-9533-6478A2AEB184}"/>
    <cellStyle name="Normal 4 3 2 2 2 2 2 4 3" xfId="5985" xr:uid="{00000000-0005-0000-0000-000018140000}"/>
    <cellStyle name="Normal 4 3 2 2 2 2 2 4 3 2" xfId="14435" xr:uid="{785ACE86-10AD-471F-B16E-4D1CF71A13F5}"/>
    <cellStyle name="Normal 4 3 2 2 2 2 2 4 4" xfId="10217" xr:uid="{532D2B99-6C8A-4135-8F98-7852532C0B3D}"/>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958DCDA1-7795-40A3-9867-BA342F50FB47}"/>
    <cellStyle name="Normal 4 3 2 2 2 2 2 5 2 3" xfId="12775" xr:uid="{53236715-7E2A-420B-8CDE-7952051B3B1E}"/>
    <cellStyle name="Normal 4 3 2 2 2 2 2 5 3" xfId="6398" xr:uid="{00000000-0005-0000-0000-00001C140000}"/>
    <cellStyle name="Normal 4 3 2 2 2 2 2 5 3 2" xfId="14848" xr:uid="{89E44958-A989-45CB-BEC8-99EBC81EB25A}"/>
    <cellStyle name="Normal 4 3 2 2 2 2 2 5 4" xfId="10630" xr:uid="{7C293BCC-8C12-423F-94BF-431BADD14ACD}"/>
    <cellStyle name="Normal 4 3 2 2 2 2 2 6" xfId="2528" xr:uid="{00000000-0005-0000-0000-00001D140000}"/>
    <cellStyle name="Normal 4 3 2 2 2 2 2 6 2" xfId="6811" xr:uid="{00000000-0005-0000-0000-00001E140000}"/>
    <cellStyle name="Normal 4 3 2 2 2 2 2 6 2 2" xfId="15261" xr:uid="{B82A395F-9838-4C26-AD6A-2939E0B74CCF}"/>
    <cellStyle name="Normal 4 3 2 2 2 2 2 6 3" xfId="11043" xr:uid="{BA9E21CA-49CB-4625-946F-0AA2DEE1826D}"/>
    <cellStyle name="Normal 4 3 2 2 2 2 2 7" xfId="4746" xr:uid="{00000000-0005-0000-0000-00001F140000}"/>
    <cellStyle name="Normal 4 3 2 2 2 2 2 7 2" xfId="13196" xr:uid="{2105F549-3AE4-4C87-B8E5-C2BF69136693}"/>
    <cellStyle name="Normal 4 3 2 2 2 2 2 8" xfId="8978" xr:uid="{EB0110A0-B9BF-4CA0-9B92-1538A201C3C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5F6A0139-E0F3-483E-9B37-7E99C32032F3}"/>
    <cellStyle name="Normal 4 3 2 2 2 2 3 2 3" xfId="11535" xr:uid="{D9A8878C-53B0-49BE-A9C2-EBD0AF0D27D3}"/>
    <cellStyle name="Normal 4 3 2 2 2 2 3 3" xfId="5158" xr:uid="{00000000-0005-0000-0000-000023140000}"/>
    <cellStyle name="Normal 4 3 2 2 2 2 3 3 2" xfId="13608" xr:uid="{A2464338-1933-4ED8-AFFA-B61203901E25}"/>
    <cellStyle name="Normal 4 3 2 2 2 2 3 4" xfId="9390" xr:uid="{A07D93F2-D1DD-4CBE-8F2C-1D958604DA9C}"/>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D00F317B-C88A-4772-AEA9-EBCD7D7D2F92}"/>
    <cellStyle name="Normal 4 3 2 2 2 2 4 2 3" xfId="11948" xr:uid="{C710C0A0-FABD-4B57-BF50-53012DC4575B}"/>
    <cellStyle name="Normal 4 3 2 2 2 2 4 3" xfId="5571" xr:uid="{00000000-0005-0000-0000-000027140000}"/>
    <cellStyle name="Normal 4 3 2 2 2 2 4 3 2" xfId="14021" xr:uid="{09BC1640-97DA-463F-B905-056DB97B3898}"/>
    <cellStyle name="Normal 4 3 2 2 2 2 4 4" xfId="9803" xr:uid="{44365567-CD21-45F1-A42E-AD82991866A3}"/>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F926A547-07A9-4C05-9E38-711B2BE653BE}"/>
    <cellStyle name="Normal 4 3 2 2 2 2 5 2 3" xfId="12361" xr:uid="{284E3698-ECE6-4E99-B6F2-9D2913C607C2}"/>
    <cellStyle name="Normal 4 3 2 2 2 2 5 3" xfId="5984" xr:uid="{00000000-0005-0000-0000-00002B140000}"/>
    <cellStyle name="Normal 4 3 2 2 2 2 5 3 2" xfId="14434" xr:uid="{B2DFD84A-53AF-490B-807F-C4E4EE901D97}"/>
    <cellStyle name="Normal 4 3 2 2 2 2 5 4" xfId="10216" xr:uid="{E2B0ADC5-7189-4D1E-8A1F-3820617F0117}"/>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64AEF85E-4837-462B-B657-2C531F1A5C68}"/>
    <cellStyle name="Normal 4 3 2 2 2 2 6 2 3" xfId="12774" xr:uid="{9BFA0292-BA64-4C78-B0E0-C8402471DF81}"/>
    <cellStyle name="Normal 4 3 2 2 2 2 6 3" xfId="6397" xr:uid="{00000000-0005-0000-0000-00002F140000}"/>
    <cellStyle name="Normal 4 3 2 2 2 2 6 3 2" xfId="14847" xr:uid="{3232C8D5-6B69-4CC9-87F4-A6A5BC0ABB58}"/>
    <cellStyle name="Normal 4 3 2 2 2 2 6 4" xfId="10629" xr:uid="{E2E185C3-31B9-48DF-A297-E4D301ED6E2C}"/>
    <cellStyle name="Normal 4 3 2 2 2 2 7" xfId="2527" xr:uid="{00000000-0005-0000-0000-000030140000}"/>
    <cellStyle name="Normal 4 3 2 2 2 2 7 2" xfId="6810" xr:uid="{00000000-0005-0000-0000-000031140000}"/>
    <cellStyle name="Normal 4 3 2 2 2 2 7 2 2" xfId="15260" xr:uid="{A8B2A67A-6663-4C44-8539-CAD8E4CB3BD2}"/>
    <cellStyle name="Normal 4 3 2 2 2 2 7 3" xfId="11042" xr:uid="{AEBC810B-13EE-49A7-B0B7-099149AE221B}"/>
    <cellStyle name="Normal 4 3 2 2 2 2 8" xfId="4745" xr:uid="{00000000-0005-0000-0000-000032140000}"/>
    <cellStyle name="Normal 4 3 2 2 2 2 8 2" xfId="13195" xr:uid="{DF169C0C-9B1A-41A3-87DF-B06224C2CE21}"/>
    <cellStyle name="Normal 4 3 2 2 2 2 9" xfId="8977" xr:uid="{C0745016-5323-4E7E-B390-6DFE80C5E254}"/>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280EB06F-4228-4EDB-B906-0AE8D7381227}"/>
    <cellStyle name="Normal 4 3 2 2 2 3 2 2 3" xfId="11537" xr:uid="{0B81543E-A3A7-4181-8E4E-7A6A73E8FCE9}"/>
    <cellStyle name="Normal 4 3 2 2 2 3 2 3" xfId="5160" xr:uid="{00000000-0005-0000-0000-000037140000}"/>
    <cellStyle name="Normal 4 3 2 2 2 3 2 3 2" xfId="13610" xr:uid="{4722A5FD-5534-485F-97EC-21CECBB5C800}"/>
    <cellStyle name="Normal 4 3 2 2 2 3 2 4" xfId="9392" xr:uid="{CC9FBB52-2C8B-48C0-B7E7-F955F19DE4AA}"/>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BC7B2E30-46EE-47CC-88A9-6F6511BB6734}"/>
    <cellStyle name="Normal 4 3 2 2 2 3 3 2 3" xfId="11950" xr:uid="{59FFFF3F-B4C8-4239-9C27-68EE194D74EF}"/>
    <cellStyle name="Normal 4 3 2 2 2 3 3 3" xfId="5573" xr:uid="{00000000-0005-0000-0000-00003B140000}"/>
    <cellStyle name="Normal 4 3 2 2 2 3 3 3 2" xfId="14023" xr:uid="{EFC04588-0602-4CD7-B58C-DB549A5D7E42}"/>
    <cellStyle name="Normal 4 3 2 2 2 3 3 4" xfId="9805" xr:uid="{BE6774BC-CB48-4EA4-96AA-DCD5FD62B63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5FCC87A4-2319-4518-85A6-304533F1FD46}"/>
    <cellStyle name="Normal 4 3 2 2 2 3 4 2 3" xfId="12363" xr:uid="{C36D455C-DEEA-4BEB-97DE-4F2177958DC1}"/>
    <cellStyle name="Normal 4 3 2 2 2 3 4 3" xfId="5986" xr:uid="{00000000-0005-0000-0000-00003F140000}"/>
    <cellStyle name="Normal 4 3 2 2 2 3 4 3 2" xfId="14436" xr:uid="{54E424D9-BFB5-4A6F-96C2-20942D03CC42}"/>
    <cellStyle name="Normal 4 3 2 2 2 3 4 4" xfId="10218" xr:uid="{038D3C37-9C77-4CC0-978A-E309371F7A8B}"/>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6D3E7964-CE44-4CA7-8F2D-12CF0B45F064}"/>
    <cellStyle name="Normal 4 3 2 2 2 3 5 2 3" xfId="12776" xr:uid="{00FC7DAB-400B-4BC0-A402-D89EA5435528}"/>
    <cellStyle name="Normal 4 3 2 2 2 3 5 3" xfId="6399" xr:uid="{00000000-0005-0000-0000-000043140000}"/>
    <cellStyle name="Normal 4 3 2 2 2 3 5 3 2" xfId="14849" xr:uid="{A3E18B58-9C25-4B4B-BA43-1D9075E74508}"/>
    <cellStyle name="Normal 4 3 2 2 2 3 5 4" xfId="10631" xr:uid="{18E42248-83C0-445F-ADEA-4E9A91635242}"/>
    <cellStyle name="Normal 4 3 2 2 2 3 6" xfId="2529" xr:uid="{00000000-0005-0000-0000-000044140000}"/>
    <cellStyle name="Normal 4 3 2 2 2 3 6 2" xfId="6812" xr:uid="{00000000-0005-0000-0000-000045140000}"/>
    <cellStyle name="Normal 4 3 2 2 2 3 6 2 2" xfId="15262" xr:uid="{AE9331BA-D6BF-497A-9D59-38D17430BB61}"/>
    <cellStyle name="Normal 4 3 2 2 2 3 6 3" xfId="11044" xr:uid="{AEB4220A-10BD-4DBA-AB66-20317B5B53F5}"/>
    <cellStyle name="Normal 4 3 2 2 2 3 7" xfId="4747" xr:uid="{00000000-0005-0000-0000-000046140000}"/>
    <cellStyle name="Normal 4 3 2 2 2 3 7 2" xfId="13197" xr:uid="{3AB26260-A1B4-4AD3-8C99-5CAA189780DC}"/>
    <cellStyle name="Normal 4 3 2 2 2 3 8" xfId="8979" xr:uid="{103B0955-5E7D-4FFC-B88A-608A00864AE7}"/>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1FB29667-EDEC-43C3-9E4D-C7CAF8671FBF}"/>
    <cellStyle name="Normal 4 3 2 2 2 4 2 3" xfId="11534" xr:uid="{FCCC5AC8-20CF-4254-9589-C2CCA8EFB643}"/>
    <cellStyle name="Normal 4 3 2 2 2 4 3" xfId="5157" xr:uid="{00000000-0005-0000-0000-00004A140000}"/>
    <cellStyle name="Normal 4 3 2 2 2 4 3 2" xfId="13607" xr:uid="{BE1D94CD-1B8B-480B-B6B5-3E969BC6FE4E}"/>
    <cellStyle name="Normal 4 3 2 2 2 4 4" xfId="9389" xr:uid="{81EF624F-70CE-4EB4-B97E-C5C9D8325746}"/>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91A0B8DE-E0E2-4F8B-A0AF-13BE6FA525F1}"/>
    <cellStyle name="Normal 4 3 2 2 2 5 2 3" xfId="11947" xr:uid="{AC7D45A3-0802-48CE-96D4-2C6CEF7B0140}"/>
    <cellStyle name="Normal 4 3 2 2 2 5 3" xfId="5570" xr:uid="{00000000-0005-0000-0000-00004E140000}"/>
    <cellStyle name="Normal 4 3 2 2 2 5 3 2" xfId="14020" xr:uid="{2965D620-AE28-4B6F-BDDB-32933FC282A1}"/>
    <cellStyle name="Normal 4 3 2 2 2 5 4" xfId="9802" xr:uid="{0567FEDB-0B10-4841-8109-2918B360DB29}"/>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9831AD1D-0DC9-4F66-AFC3-2293FBB9FD05}"/>
    <cellStyle name="Normal 4 3 2 2 2 6 2 3" xfId="12360" xr:uid="{E6D72B4E-31AE-4A95-A6ED-91D1FB3584EA}"/>
    <cellStyle name="Normal 4 3 2 2 2 6 3" xfId="5983" xr:uid="{00000000-0005-0000-0000-000052140000}"/>
    <cellStyle name="Normal 4 3 2 2 2 6 3 2" xfId="14433" xr:uid="{00909219-0E97-4D93-8317-11BB69391D21}"/>
    <cellStyle name="Normal 4 3 2 2 2 6 4" xfId="10215" xr:uid="{9EFB9740-B3C7-425C-B8F5-CDFF15C9914D}"/>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1086503F-EE4A-4FD8-AA22-A6D60F0B5AEC}"/>
    <cellStyle name="Normal 4 3 2 2 2 7 2 3" xfId="12773" xr:uid="{08CBFFB6-CA0C-4E58-BAB7-8E0F199B0358}"/>
    <cellStyle name="Normal 4 3 2 2 2 7 3" xfId="6396" xr:uid="{00000000-0005-0000-0000-000056140000}"/>
    <cellStyle name="Normal 4 3 2 2 2 7 3 2" xfId="14846" xr:uid="{DEC4C82E-6FB4-45F4-B969-52EE015ABB82}"/>
    <cellStyle name="Normal 4 3 2 2 2 7 4" xfId="10628" xr:uid="{DDD1E9E8-9349-4865-AFB4-2C504704F10C}"/>
    <cellStyle name="Normal 4 3 2 2 2 8" xfId="2526" xr:uid="{00000000-0005-0000-0000-000057140000}"/>
    <cellStyle name="Normal 4 3 2 2 2 8 2" xfId="6809" xr:uid="{00000000-0005-0000-0000-000058140000}"/>
    <cellStyle name="Normal 4 3 2 2 2 8 2 2" xfId="15259" xr:uid="{7F2575C5-9A1E-45F6-B3DC-F4A25F43CA69}"/>
    <cellStyle name="Normal 4 3 2 2 2 8 3" xfId="11041" xr:uid="{B1313574-1874-42C6-978C-2D66A209D887}"/>
    <cellStyle name="Normal 4 3 2 2 2 9" xfId="4744" xr:uid="{00000000-0005-0000-0000-000059140000}"/>
    <cellStyle name="Normal 4 3 2 2 2 9 2" xfId="13194" xr:uid="{1FD8F044-7977-4D09-8C4F-EE77DAC6D65C}"/>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F6F7E9D9-3A76-4A0C-ADAF-59CA3C012AF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56580D4E-8E98-424F-A7F9-6C4A0633F30D}"/>
    <cellStyle name="Normal 4 3 3 2 2 2 2 3" xfId="11540" xr:uid="{985514BD-D68C-49AA-8847-95ABC183FDB5}"/>
    <cellStyle name="Normal 4 3 3 2 2 2 3" xfId="5163" xr:uid="{00000000-0005-0000-0000-000063140000}"/>
    <cellStyle name="Normal 4 3 3 2 2 2 3 2" xfId="13613" xr:uid="{43ED8E11-7C0E-46F4-A2BB-A27C316C975E}"/>
    <cellStyle name="Normal 4 3 3 2 2 2 4" xfId="9395" xr:uid="{7E08777B-E16A-4796-B4D6-39597B13E56A}"/>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A68F5E09-CD8F-4821-A9BE-58B1C0666D1F}"/>
    <cellStyle name="Normal 4 3 3 2 2 3 2 3" xfId="11953" xr:uid="{B9791648-CF45-4A33-9C7B-360BBDE2FD29}"/>
    <cellStyle name="Normal 4 3 3 2 2 3 3" xfId="5576" xr:uid="{00000000-0005-0000-0000-000067140000}"/>
    <cellStyle name="Normal 4 3 3 2 2 3 3 2" xfId="14026" xr:uid="{360140C7-5EF3-4C00-A34C-620FCF6E8A51}"/>
    <cellStyle name="Normal 4 3 3 2 2 3 4" xfId="9808" xr:uid="{09008CB7-78A4-4F4E-80CC-AC1BA0D6666E}"/>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CAC7495B-6CEC-4446-BFF4-E4E954EDC25E}"/>
    <cellStyle name="Normal 4 3 3 2 2 4 2 3" xfId="12366" xr:uid="{1E4DD24A-6D1D-4713-8C3B-ED4D117727EE}"/>
    <cellStyle name="Normal 4 3 3 2 2 4 3" xfId="5989" xr:uid="{00000000-0005-0000-0000-00006B140000}"/>
    <cellStyle name="Normal 4 3 3 2 2 4 3 2" xfId="14439" xr:uid="{25628840-F012-48D9-8605-C40491F55772}"/>
    <cellStyle name="Normal 4 3 3 2 2 4 4" xfId="10221" xr:uid="{8EF2A7A4-EA5A-43CC-BE2B-E41ED830680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28881887-D94F-4AF9-992A-402446D26745}"/>
    <cellStyle name="Normal 4 3 3 2 2 5 2 3" xfId="12779" xr:uid="{81839F30-4EB8-43CB-AB03-6DB07394DB6B}"/>
    <cellStyle name="Normal 4 3 3 2 2 5 3" xfId="6402" xr:uid="{00000000-0005-0000-0000-00006F140000}"/>
    <cellStyle name="Normal 4 3 3 2 2 5 3 2" xfId="14852" xr:uid="{D2EAB413-6AFA-48BB-B87B-63A79D83DB61}"/>
    <cellStyle name="Normal 4 3 3 2 2 5 4" xfId="10634" xr:uid="{30209C8B-DD74-4F70-9423-DBD143A06439}"/>
    <cellStyle name="Normal 4 3 3 2 2 6" xfId="2532" xr:uid="{00000000-0005-0000-0000-000070140000}"/>
    <cellStyle name="Normal 4 3 3 2 2 6 2" xfId="6815" xr:uid="{00000000-0005-0000-0000-000071140000}"/>
    <cellStyle name="Normal 4 3 3 2 2 6 2 2" xfId="15265" xr:uid="{12153290-9DDE-4D07-8E2C-DA2CC219BDB5}"/>
    <cellStyle name="Normal 4 3 3 2 2 6 3" xfId="11047" xr:uid="{18845AFA-37BE-4105-B613-343FF4C2CE87}"/>
    <cellStyle name="Normal 4 3 3 2 2 7" xfId="4750" xr:uid="{00000000-0005-0000-0000-000072140000}"/>
    <cellStyle name="Normal 4 3 3 2 2 7 2" xfId="13200" xr:uid="{F6E0D912-A303-40F0-85B5-70E8CDE4B595}"/>
    <cellStyle name="Normal 4 3 3 2 2 8" xfId="8982" xr:uid="{531EA1B2-A819-42FC-B8B2-ABEDD4785154}"/>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08BBA504-37AF-4094-B08C-AFBE5780BDA0}"/>
    <cellStyle name="Normal 4 3 3 2 3 2 3" xfId="11539" xr:uid="{0639A867-6479-4D89-B1BB-9D2ACD2413A7}"/>
    <cellStyle name="Normal 4 3 3 2 3 3" xfId="5162" xr:uid="{00000000-0005-0000-0000-000076140000}"/>
    <cellStyle name="Normal 4 3 3 2 3 3 2" xfId="13612" xr:uid="{35D72295-CEE9-4215-AC5C-351F4C25FA3B}"/>
    <cellStyle name="Normal 4 3 3 2 3 4" xfId="9394" xr:uid="{C3EFDDD0-421D-490C-84BD-2E43E4E5308F}"/>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66EE7F70-C756-4B83-A71D-A781B573C3E9}"/>
    <cellStyle name="Normal 4 3 3 2 4 2 3" xfId="11952" xr:uid="{B79AB219-38A8-426F-BAF7-9D5E668B5F20}"/>
    <cellStyle name="Normal 4 3 3 2 4 3" xfId="5575" xr:uid="{00000000-0005-0000-0000-00007A140000}"/>
    <cellStyle name="Normal 4 3 3 2 4 3 2" xfId="14025" xr:uid="{83ED0BA1-BCEE-4F94-8517-742CD254B37F}"/>
    <cellStyle name="Normal 4 3 3 2 4 4" xfId="9807" xr:uid="{3107D69B-D61C-4838-B6C2-A2E9F475207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D0D17BD1-306D-4F95-8C63-9EF7A15F4CC0}"/>
    <cellStyle name="Normal 4 3 3 2 5 2 3" xfId="12365" xr:uid="{8036701E-745C-450D-9CC9-980DAEA527A8}"/>
    <cellStyle name="Normal 4 3 3 2 5 3" xfId="5988" xr:uid="{00000000-0005-0000-0000-00007E140000}"/>
    <cellStyle name="Normal 4 3 3 2 5 3 2" xfId="14438" xr:uid="{490E0B5F-E365-4228-8E56-774D0D3D16D5}"/>
    <cellStyle name="Normal 4 3 3 2 5 4" xfId="10220" xr:uid="{B4780CC7-14B2-487A-93E0-655DD0571DFC}"/>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0E33EE52-EC83-439E-B901-7DFC02CF974E}"/>
    <cellStyle name="Normal 4 3 3 2 6 2 3" xfId="12778" xr:uid="{B20E6BA2-952A-4CE6-990B-24ABF70C4A18}"/>
    <cellStyle name="Normal 4 3 3 2 6 3" xfId="6401" xr:uid="{00000000-0005-0000-0000-000082140000}"/>
    <cellStyle name="Normal 4 3 3 2 6 3 2" xfId="14851" xr:uid="{57B6701F-C64F-4FA6-A4ED-EB99252C21F2}"/>
    <cellStyle name="Normal 4 3 3 2 6 4" xfId="10633" xr:uid="{B493AB35-51EB-4A15-8BCE-663560B297A2}"/>
    <cellStyle name="Normal 4 3 3 2 7" xfId="2531" xr:uid="{00000000-0005-0000-0000-000083140000}"/>
    <cellStyle name="Normal 4 3 3 2 7 2" xfId="6814" xr:uid="{00000000-0005-0000-0000-000084140000}"/>
    <cellStyle name="Normal 4 3 3 2 7 2 2" xfId="15264" xr:uid="{25D59735-691F-431F-94EF-B835310B9382}"/>
    <cellStyle name="Normal 4 3 3 2 7 3" xfId="11046" xr:uid="{EA15AD5F-2A4D-4321-B16C-AC4C855AF1C6}"/>
    <cellStyle name="Normal 4 3 3 2 8" xfId="4749" xr:uid="{00000000-0005-0000-0000-000085140000}"/>
    <cellStyle name="Normal 4 3 3 2 8 2" xfId="13199" xr:uid="{4F0665A5-35A7-4B6F-9D11-2628AA3CD9BE}"/>
    <cellStyle name="Normal 4 3 3 2 9" xfId="8981" xr:uid="{5D551914-D510-48F7-9DE1-019E5CC3B6C5}"/>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DC4D3EE6-F672-4C4F-A51B-3513DAACFB71}"/>
    <cellStyle name="Normal 4 3 3 3 2 2 3" xfId="11541" xr:uid="{476B2D89-C961-4DF4-8FC3-F3DCFAFFD1DE}"/>
    <cellStyle name="Normal 4 3 3 3 2 3" xfId="5164" xr:uid="{00000000-0005-0000-0000-00008A140000}"/>
    <cellStyle name="Normal 4 3 3 3 2 3 2" xfId="13614" xr:uid="{C80CFADE-43E3-4CF0-80F3-C339A2EC412E}"/>
    <cellStyle name="Normal 4 3 3 3 2 4" xfId="9396" xr:uid="{142F424B-3784-4A47-AF43-B24EA28E822C}"/>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4BF0E22E-92B8-4DB7-BCE8-FEEEB0980D4A}"/>
    <cellStyle name="Normal 4 3 3 3 3 2 3" xfId="11954" xr:uid="{B89F1332-44DF-4D3A-93E8-55E83075D2E4}"/>
    <cellStyle name="Normal 4 3 3 3 3 3" xfId="5577" xr:uid="{00000000-0005-0000-0000-00008E140000}"/>
    <cellStyle name="Normal 4 3 3 3 3 3 2" xfId="14027" xr:uid="{DB3F1EA6-54F6-4490-A0A6-B455F0F0495C}"/>
    <cellStyle name="Normal 4 3 3 3 3 4" xfId="9809" xr:uid="{135262E9-A2FD-40F9-ABFD-C229A167D83C}"/>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5EA69760-B08E-418E-A43C-908C278FC39B}"/>
    <cellStyle name="Normal 4 3 3 3 4 2 3" xfId="12367" xr:uid="{CB548AD6-6771-4116-A7A7-D20347E59451}"/>
    <cellStyle name="Normal 4 3 3 3 4 3" xfId="5990" xr:uid="{00000000-0005-0000-0000-000092140000}"/>
    <cellStyle name="Normal 4 3 3 3 4 3 2" xfId="14440" xr:uid="{BB95D19F-BEF4-45F7-9BFD-8AAC68755D8A}"/>
    <cellStyle name="Normal 4 3 3 3 4 4" xfId="10222" xr:uid="{36932627-FB75-4DD3-BEF8-D9A9214056B4}"/>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12D2F3CF-7809-4B3B-85DB-CA3916D8630F}"/>
    <cellStyle name="Normal 4 3 3 3 5 2 3" xfId="12780" xr:uid="{DA9ABD27-5561-4939-837E-08AA8F3E1677}"/>
    <cellStyle name="Normal 4 3 3 3 5 3" xfId="6403" xr:uid="{00000000-0005-0000-0000-000096140000}"/>
    <cellStyle name="Normal 4 3 3 3 5 3 2" xfId="14853" xr:uid="{8584770B-0D21-4BB3-867E-4DE45625B245}"/>
    <cellStyle name="Normal 4 3 3 3 5 4" xfId="10635" xr:uid="{3567393C-8BEB-4953-A6A6-30EE2F767150}"/>
    <cellStyle name="Normal 4 3 3 3 6" xfId="2533" xr:uid="{00000000-0005-0000-0000-000097140000}"/>
    <cellStyle name="Normal 4 3 3 3 6 2" xfId="6816" xr:uid="{00000000-0005-0000-0000-000098140000}"/>
    <cellStyle name="Normal 4 3 3 3 6 2 2" xfId="15266" xr:uid="{DB3717E2-99D1-4F13-884C-467D53DF1389}"/>
    <cellStyle name="Normal 4 3 3 3 6 3" xfId="11048" xr:uid="{955C6019-E6AD-4985-9785-E3E92829E4E6}"/>
    <cellStyle name="Normal 4 3 3 3 7" xfId="4751" xr:uid="{00000000-0005-0000-0000-000099140000}"/>
    <cellStyle name="Normal 4 3 3 3 7 2" xfId="13201" xr:uid="{95FD76F1-0F68-476F-BF7F-C6FA64ABF4E9}"/>
    <cellStyle name="Normal 4 3 3 3 8" xfId="8983" xr:uid="{8DA209C5-1C5B-4289-B6E8-DB309A736998}"/>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B698A073-BC65-417C-9809-A2E78AF5E3F0}"/>
    <cellStyle name="Normal 4 3 3 4 2 3" xfId="11538" xr:uid="{AAD4AAE8-383E-49BE-9D6D-DB22C6EAF6C5}"/>
    <cellStyle name="Normal 4 3 3 4 3" xfId="5161" xr:uid="{00000000-0005-0000-0000-00009D140000}"/>
    <cellStyle name="Normal 4 3 3 4 3 2" xfId="13611" xr:uid="{2B20FEBA-309A-4795-9CEB-FADB09EE6A72}"/>
    <cellStyle name="Normal 4 3 3 4 4" xfId="9393" xr:uid="{3AFE014E-6F7D-4BE1-984A-962D5A0BB5A8}"/>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50809F44-E896-44A5-B84F-1FAF47EA6F72}"/>
    <cellStyle name="Normal 4 3 3 5 2 3" xfId="11951" xr:uid="{0D9EA66B-A084-44E0-A777-E4285AA2B4E2}"/>
    <cellStyle name="Normal 4 3 3 5 3" xfId="5574" xr:uid="{00000000-0005-0000-0000-0000A1140000}"/>
    <cellStyle name="Normal 4 3 3 5 3 2" xfId="14024" xr:uid="{075D802C-79CD-4186-8E30-B5343698B322}"/>
    <cellStyle name="Normal 4 3 3 5 4" xfId="9806" xr:uid="{5461CEEE-68DD-47F6-B164-8D5C45AC1CF6}"/>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527DA85A-873B-472B-8248-C42AEE07AFF0}"/>
    <cellStyle name="Normal 4 3 3 6 2 3" xfId="12364" xr:uid="{CE31163A-8908-47BF-AE0F-760DDDD012D7}"/>
    <cellStyle name="Normal 4 3 3 6 3" xfId="5987" xr:uid="{00000000-0005-0000-0000-0000A5140000}"/>
    <cellStyle name="Normal 4 3 3 6 3 2" xfId="14437" xr:uid="{B6E28147-BCEE-45F8-905D-6A8840EE65A0}"/>
    <cellStyle name="Normal 4 3 3 6 4" xfId="10219" xr:uid="{7F4AB41A-F7AE-4B19-8888-DA04C6A4F165}"/>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948EBC70-85FC-4416-A48D-67703316D349}"/>
    <cellStyle name="Normal 4 3 3 7 2 3" xfId="12777" xr:uid="{73BAC13A-7C11-47B9-AC43-539C9999852A}"/>
    <cellStyle name="Normal 4 3 3 7 3" xfId="6400" xr:uid="{00000000-0005-0000-0000-0000A9140000}"/>
    <cellStyle name="Normal 4 3 3 7 3 2" xfId="14850" xr:uid="{8F28A7D3-0129-48F3-AF95-EDA3ABB97870}"/>
    <cellStyle name="Normal 4 3 3 7 4" xfId="10632" xr:uid="{4E971C72-201F-41D3-B2B6-DF66765E339F}"/>
    <cellStyle name="Normal 4 3 3 8" xfId="2530" xr:uid="{00000000-0005-0000-0000-0000AA140000}"/>
    <cellStyle name="Normal 4 3 3 8 2" xfId="6813" xr:uid="{00000000-0005-0000-0000-0000AB140000}"/>
    <cellStyle name="Normal 4 3 3 8 2 2" xfId="15263" xr:uid="{7ACF7C72-22EE-4921-9E96-3C8244EFCFAC}"/>
    <cellStyle name="Normal 4 3 3 8 3" xfId="11045" xr:uid="{F219ECAC-661B-4C64-B369-6D09EA316086}"/>
    <cellStyle name="Normal 4 3 3 9" xfId="4748" xr:uid="{00000000-0005-0000-0000-0000AC140000}"/>
    <cellStyle name="Normal 4 3 3 9 2" xfId="13198" xr:uid="{6CE6E998-32CA-4B65-92AE-F7C95E221278}"/>
    <cellStyle name="Normal 4 3 4" xfId="842" xr:uid="{00000000-0005-0000-0000-0000AD140000}"/>
    <cellStyle name="Normal 4 3 4 2" xfId="3079" xr:uid="{00000000-0005-0000-0000-0000AE140000}"/>
    <cellStyle name="Normal 4 3 4 2 2" xfId="7301" xr:uid="{00000000-0005-0000-0000-0000AF140000}"/>
    <cellStyle name="Normal 4 3 4 2 2 2" xfId="15751" xr:uid="{6873D2ED-86A1-49AC-9202-084F9C08A2E7}"/>
    <cellStyle name="Normal 4 3 4 2 3" xfId="11533" xr:uid="{1F3C0F77-4FE8-4060-BECD-61C45A18B198}"/>
    <cellStyle name="Normal 4 3 4 3" xfId="5156" xr:uid="{00000000-0005-0000-0000-0000B0140000}"/>
    <cellStyle name="Normal 4 3 4 3 2" xfId="13606" xr:uid="{F64FF7EF-8538-4190-916F-DCDC299847B1}"/>
    <cellStyle name="Normal 4 3 4 4" xfId="9388" xr:uid="{8848E738-1C78-4661-8601-2086C8B9EFAC}"/>
    <cellStyle name="Normal 4 3 5" xfId="1262" xr:uid="{00000000-0005-0000-0000-0000B1140000}"/>
    <cellStyle name="Normal 4 3 5 2" xfId="3492" xr:uid="{00000000-0005-0000-0000-0000B2140000}"/>
    <cellStyle name="Normal 4 3 5 2 2" xfId="7714" xr:uid="{00000000-0005-0000-0000-0000B3140000}"/>
    <cellStyle name="Normal 4 3 5 2 2 2" xfId="16164" xr:uid="{FEC7D15C-BE69-439E-B985-BB255A5A5F91}"/>
    <cellStyle name="Normal 4 3 5 2 3" xfId="11946" xr:uid="{40441082-9BF7-4788-968E-9E557E27B69C}"/>
    <cellStyle name="Normal 4 3 5 3" xfId="5569" xr:uid="{00000000-0005-0000-0000-0000B4140000}"/>
    <cellStyle name="Normal 4 3 5 3 2" xfId="14019" xr:uid="{7C3D7BE2-DA48-464E-98CA-95A8C7061C2D}"/>
    <cellStyle name="Normal 4 3 5 4" xfId="9801" xr:uid="{517D409D-F200-47BD-A676-DF877C6F9F3F}"/>
    <cellStyle name="Normal 4 3 6" xfId="1675" xr:uid="{00000000-0005-0000-0000-0000B5140000}"/>
    <cellStyle name="Normal 4 3 6 2" xfId="3905" xr:uid="{00000000-0005-0000-0000-0000B6140000}"/>
    <cellStyle name="Normal 4 3 6 2 2" xfId="8127" xr:uid="{00000000-0005-0000-0000-0000B7140000}"/>
    <cellStyle name="Normal 4 3 6 2 2 2" xfId="16577" xr:uid="{AAF63778-B410-4D61-8003-D85C77FADF7A}"/>
    <cellStyle name="Normal 4 3 6 2 3" xfId="12359" xr:uid="{F032A79D-9303-4185-810C-0210D199174E}"/>
    <cellStyle name="Normal 4 3 6 3" xfId="5982" xr:uid="{00000000-0005-0000-0000-0000B8140000}"/>
    <cellStyle name="Normal 4 3 6 3 2" xfId="14432" xr:uid="{CF4B9550-6A55-4519-A958-2784DE079FF7}"/>
    <cellStyle name="Normal 4 3 6 4" xfId="10214" xr:uid="{0B381490-2FC5-4D2C-A43D-7D007CDA70AF}"/>
    <cellStyle name="Normal 4 3 7" xfId="2089" xr:uid="{00000000-0005-0000-0000-0000B9140000}"/>
    <cellStyle name="Normal 4 3 7 2" xfId="4318" xr:uid="{00000000-0005-0000-0000-0000BA140000}"/>
    <cellStyle name="Normal 4 3 7 2 2" xfId="8540" xr:uid="{00000000-0005-0000-0000-0000BB140000}"/>
    <cellStyle name="Normal 4 3 7 2 2 2" xfId="16990" xr:uid="{A3BA7E48-03A1-466A-B165-B268E45D9CF4}"/>
    <cellStyle name="Normal 4 3 7 2 3" xfId="12772" xr:uid="{5303949F-76EA-46EA-85D1-E0009134523C}"/>
    <cellStyle name="Normal 4 3 7 3" xfId="6395" xr:uid="{00000000-0005-0000-0000-0000BC140000}"/>
    <cellStyle name="Normal 4 3 7 3 2" xfId="14845" xr:uid="{65A456A9-F489-48CB-8E53-033F08E3BE81}"/>
    <cellStyle name="Normal 4 3 7 4" xfId="10627" xr:uid="{6BF4D8EE-740F-4C54-8846-CAA208385E19}"/>
    <cellStyle name="Normal 4 3 8" xfId="2525" xr:uid="{00000000-0005-0000-0000-0000BD140000}"/>
    <cellStyle name="Normal 4 3 8 2" xfId="6808" xr:uid="{00000000-0005-0000-0000-0000BE140000}"/>
    <cellStyle name="Normal 4 3 8 2 2" xfId="15258" xr:uid="{F540A217-99E8-4E01-B5C3-B27C6108A6AE}"/>
    <cellStyle name="Normal 4 3 8 3" xfId="11040" xr:uid="{4802AB22-F5AB-477D-B71F-9883FA00E08C}"/>
    <cellStyle name="Normal 4 3 9" xfId="4743" xr:uid="{00000000-0005-0000-0000-0000BF140000}"/>
    <cellStyle name="Normal 4 3 9 2" xfId="13193" xr:uid="{1E857B4B-66D7-432A-A2E1-EF8775217367}"/>
    <cellStyle name="Normal 4 4" xfId="378" xr:uid="{00000000-0005-0000-0000-0000C0140000}"/>
    <cellStyle name="Normal 4 4 10" xfId="2534" xr:uid="{00000000-0005-0000-0000-0000C1140000}"/>
    <cellStyle name="Normal 4 4 10 2" xfId="6817" xr:uid="{00000000-0005-0000-0000-0000C2140000}"/>
    <cellStyle name="Normal 4 4 10 2 2" xfId="15267" xr:uid="{7F902BD0-93AB-4539-B901-8B3A4A9A60AE}"/>
    <cellStyle name="Normal 4 4 10 3" xfId="11049" xr:uid="{5C702389-4BE6-4F1B-9960-EFE82D307D8B}"/>
    <cellStyle name="Normal 4 4 11" xfId="4752" xr:uid="{00000000-0005-0000-0000-0000C3140000}"/>
    <cellStyle name="Normal 4 4 11 2" xfId="13202" xr:uid="{922A7102-78DB-4C70-AD7C-84C1F44B4DE4}"/>
    <cellStyle name="Normal 4 4 12" xfId="8984" xr:uid="{AC27492D-F162-46C6-9ADC-E47713242FC9}"/>
    <cellStyle name="Normal 4 4 2" xfId="379" xr:uid="{00000000-0005-0000-0000-0000C4140000}"/>
    <cellStyle name="Normal 4 4 2 10" xfId="4753" xr:uid="{00000000-0005-0000-0000-0000C5140000}"/>
    <cellStyle name="Normal 4 4 2 10 2" xfId="13203" xr:uid="{B601BBEC-F5DD-4EE7-91DF-3BED6464AA55}"/>
    <cellStyle name="Normal 4 4 2 11" xfId="8985" xr:uid="{D5A2F4CB-D7C4-4ED5-813D-71E376E84346}"/>
    <cellStyle name="Normal 4 4 2 2" xfId="380" xr:uid="{00000000-0005-0000-0000-0000C6140000}"/>
    <cellStyle name="Normal 4 4 2 2 10" xfId="8986" xr:uid="{E1604C58-831A-43C2-AA93-B43A1C2500C7}"/>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BFFB195D-C136-4B11-8703-7280792E07C7}"/>
    <cellStyle name="Normal 4 4 2 2 2 2 2 2 3" xfId="11546" xr:uid="{062BD5AF-627B-4DE6-BF88-C7BC062EB0C6}"/>
    <cellStyle name="Normal 4 4 2 2 2 2 2 3" xfId="5169" xr:uid="{00000000-0005-0000-0000-0000CC140000}"/>
    <cellStyle name="Normal 4 4 2 2 2 2 2 3 2" xfId="13619" xr:uid="{4A5EDBD6-F317-453D-8F99-8EEDD768E35B}"/>
    <cellStyle name="Normal 4 4 2 2 2 2 2 4" xfId="9401" xr:uid="{B20CFA89-3B86-42FE-B650-83E6CE6C6811}"/>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4D16EAE0-E13D-49CD-A875-F76734D1CF1A}"/>
    <cellStyle name="Normal 4 4 2 2 2 2 3 2 3" xfId="11959" xr:uid="{41ECDB64-E017-42EF-8CA6-9CF7502B5D72}"/>
    <cellStyle name="Normal 4 4 2 2 2 2 3 3" xfId="5582" xr:uid="{00000000-0005-0000-0000-0000D0140000}"/>
    <cellStyle name="Normal 4 4 2 2 2 2 3 3 2" xfId="14032" xr:uid="{89D80BD2-80E6-4105-B2FF-A0A8F7B8B3C1}"/>
    <cellStyle name="Normal 4 4 2 2 2 2 3 4" xfId="9814" xr:uid="{E5554815-9A0D-4694-B076-A50D42DB6219}"/>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5D74F8F2-40C4-408C-A17C-4F89BEDABE41}"/>
    <cellStyle name="Normal 4 4 2 2 2 2 4 2 3" xfId="12372" xr:uid="{DE295AA6-FFD7-414C-879C-FA1D9B7BFA0B}"/>
    <cellStyle name="Normal 4 4 2 2 2 2 4 3" xfId="5995" xr:uid="{00000000-0005-0000-0000-0000D4140000}"/>
    <cellStyle name="Normal 4 4 2 2 2 2 4 3 2" xfId="14445" xr:uid="{972049DE-8D8B-4060-B39D-24947FE6F666}"/>
    <cellStyle name="Normal 4 4 2 2 2 2 4 4" xfId="10227" xr:uid="{A2BCC837-5188-478C-96A5-D6B868C6DA1C}"/>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FFCBA92A-ACCD-40D8-B029-6070CF706160}"/>
    <cellStyle name="Normal 4 4 2 2 2 2 5 2 3" xfId="12785" xr:uid="{18099D3B-9E8F-4017-A67D-1FDD7BBBFCEA}"/>
    <cellStyle name="Normal 4 4 2 2 2 2 5 3" xfId="6408" xr:uid="{00000000-0005-0000-0000-0000D8140000}"/>
    <cellStyle name="Normal 4 4 2 2 2 2 5 3 2" xfId="14858" xr:uid="{0590623A-F4C5-4A55-BD70-BBE8DAAB2061}"/>
    <cellStyle name="Normal 4 4 2 2 2 2 5 4" xfId="10640" xr:uid="{7F1A8B22-0091-4F19-B5FE-CF14067A49CE}"/>
    <cellStyle name="Normal 4 4 2 2 2 2 6" xfId="2538" xr:uid="{00000000-0005-0000-0000-0000D9140000}"/>
    <cellStyle name="Normal 4 4 2 2 2 2 6 2" xfId="6821" xr:uid="{00000000-0005-0000-0000-0000DA140000}"/>
    <cellStyle name="Normal 4 4 2 2 2 2 6 2 2" xfId="15271" xr:uid="{E27ED001-5EC2-4C60-8EB2-77BE80A684A1}"/>
    <cellStyle name="Normal 4 4 2 2 2 2 6 3" xfId="11053" xr:uid="{A23B1DB2-444F-4409-96F3-6F567301507D}"/>
    <cellStyle name="Normal 4 4 2 2 2 2 7" xfId="4756" xr:uid="{00000000-0005-0000-0000-0000DB140000}"/>
    <cellStyle name="Normal 4 4 2 2 2 2 7 2" xfId="13206" xr:uid="{7EAA956D-9C51-40EE-BFC8-455060BC20EA}"/>
    <cellStyle name="Normal 4 4 2 2 2 2 8" xfId="8988" xr:uid="{001A723B-4644-4829-9F55-8D7DAAAD639F}"/>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15593B32-61B7-4E9B-8485-83CB79E0C53C}"/>
    <cellStyle name="Normal 4 4 2 2 2 3 2 3" xfId="11545" xr:uid="{7D6F892B-08EB-4F01-949A-E7917C1BC86D}"/>
    <cellStyle name="Normal 4 4 2 2 2 3 3" xfId="5168" xr:uid="{00000000-0005-0000-0000-0000DF140000}"/>
    <cellStyle name="Normal 4 4 2 2 2 3 3 2" xfId="13618" xr:uid="{FCAD5B8E-D96F-49BB-ADB6-1A4A4309D223}"/>
    <cellStyle name="Normal 4 4 2 2 2 3 4" xfId="9400" xr:uid="{D789E774-0EC0-4B1D-8BEF-0918B6A893D8}"/>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342DF9DA-1810-4CCA-A740-74AA573AEB10}"/>
    <cellStyle name="Normal 4 4 2 2 2 4 2 3" xfId="11958" xr:uid="{AC2B7F06-6739-4814-BAE8-6F37FE423E57}"/>
    <cellStyle name="Normal 4 4 2 2 2 4 3" xfId="5581" xr:uid="{00000000-0005-0000-0000-0000E3140000}"/>
    <cellStyle name="Normal 4 4 2 2 2 4 3 2" xfId="14031" xr:uid="{32DB5357-C0C0-4C9D-8615-EDA1C886EE2B}"/>
    <cellStyle name="Normal 4 4 2 2 2 4 4" xfId="9813" xr:uid="{B608371C-0A4E-41FA-BB6B-CA4F2A5F00E8}"/>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90582A30-DDF3-4077-90C8-EF44779363EB}"/>
    <cellStyle name="Normal 4 4 2 2 2 5 2 3" xfId="12371" xr:uid="{A9DA3295-4624-44D6-890B-057B5AAC6A27}"/>
    <cellStyle name="Normal 4 4 2 2 2 5 3" xfId="5994" xr:uid="{00000000-0005-0000-0000-0000E7140000}"/>
    <cellStyle name="Normal 4 4 2 2 2 5 3 2" xfId="14444" xr:uid="{B7AEF335-DC9B-4D6E-AC55-D60F55995354}"/>
    <cellStyle name="Normal 4 4 2 2 2 5 4" xfId="10226" xr:uid="{98070010-68F3-4A5D-8451-CDA87299B638}"/>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851B6E99-607F-4AAC-A6E4-04E889C89196}"/>
    <cellStyle name="Normal 4 4 2 2 2 6 2 3" xfId="12784" xr:uid="{C74176E8-AB95-458B-AF8A-600F1ECD59D0}"/>
    <cellStyle name="Normal 4 4 2 2 2 6 3" xfId="6407" xr:uid="{00000000-0005-0000-0000-0000EB140000}"/>
    <cellStyle name="Normal 4 4 2 2 2 6 3 2" xfId="14857" xr:uid="{4A0C5EF3-1AD7-4846-BD58-1C39581D10E9}"/>
    <cellStyle name="Normal 4 4 2 2 2 6 4" xfId="10639" xr:uid="{B757D61B-27A6-4A75-A586-4F5FC9C3D742}"/>
    <cellStyle name="Normal 4 4 2 2 2 7" xfId="2537" xr:uid="{00000000-0005-0000-0000-0000EC140000}"/>
    <cellStyle name="Normal 4 4 2 2 2 7 2" xfId="6820" xr:uid="{00000000-0005-0000-0000-0000ED140000}"/>
    <cellStyle name="Normal 4 4 2 2 2 7 2 2" xfId="15270" xr:uid="{311640CB-7D53-444D-A9EA-66AC121B997E}"/>
    <cellStyle name="Normal 4 4 2 2 2 7 3" xfId="11052" xr:uid="{84D26453-93B0-4725-8292-F090FE80F3A8}"/>
    <cellStyle name="Normal 4 4 2 2 2 8" xfId="4755" xr:uid="{00000000-0005-0000-0000-0000EE140000}"/>
    <cellStyle name="Normal 4 4 2 2 2 8 2" xfId="13205" xr:uid="{6A62AE14-3981-48D1-A08D-64D6BB90D04A}"/>
    <cellStyle name="Normal 4 4 2 2 2 9" xfId="8987" xr:uid="{E13871D9-DC39-4767-B6C5-348BDA9EF02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4271F808-1433-493B-8910-8A9242C48BC1}"/>
    <cellStyle name="Normal 4 4 2 2 3 2 2 3" xfId="11547" xr:uid="{72A52B6A-B360-49FC-9AFA-F402F8DB4440}"/>
    <cellStyle name="Normal 4 4 2 2 3 2 3" xfId="5170" xr:uid="{00000000-0005-0000-0000-0000F3140000}"/>
    <cellStyle name="Normal 4 4 2 2 3 2 3 2" xfId="13620" xr:uid="{1145E9A2-C652-4ADC-B2AB-0935A6DCB026}"/>
    <cellStyle name="Normal 4 4 2 2 3 2 4" xfId="9402" xr:uid="{F6B803EA-C464-48C6-89C8-F651BFAC779E}"/>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4AACB289-2394-4DF7-86A1-BEF95B1508AC}"/>
    <cellStyle name="Normal 4 4 2 2 3 3 2 3" xfId="11960" xr:uid="{1004652A-AD19-450A-AAD1-0483CE6146C4}"/>
    <cellStyle name="Normal 4 4 2 2 3 3 3" xfId="5583" xr:uid="{00000000-0005-0000-0000-0000F7140000}"/>
    <cellStyle name="Normal 4 4 2 2 3 3 3 2" xfId="14033" xr:uid="{AAAC848B-72A7-488D-8AC2-A333F8044F96}"/>
    <cellStyle name="Normal 4 4 2 2 3 3 4" xfId="9815" xr:uid="{732166A5-57E2-4A54-8E8F-D7C13F71858C}"/>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4DFBB7C2-A0FF-4F60-8826-B057923D7BF7}"/>
    <cellStyle name="Normal 4 4 2 2 3 4 2 3" xfId="12373" xr:uid="{77BD35F8-AB15-4CB9-B417-8237D4F58E95}"/>
    <cellStyle name="Normal 4 4 2 2 3 4 3" xfId="5996" xr:uid="{00000000-0005-0000-0000-0000FB140000}"/>
    <cellStyle name="Normal 4 4 2 2 3 4 3 2" xfId="14446" xr:uid="{6C011317-E9D5-4C63-B498-1F1028D8A504}"/>
    <cellStyle name="Normal 4 4 2 2 3 4 4" xfId="10228" xr:uid="{40556087-DB06-4015-B30A-6A3B1B8CD53E}"/>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48B4A40F-C0FC-4126-A6CF-B9E519B53931}"/>
    <cellStyle name="Normal 4 4 2 2 3 5 2 3" xfId="12786" xr:uid="{197CED2E-C22D-4ACD-9BB0-81945BBBC4E3}"/>
    <cellStyle name="Normal 4 4 2 2 3 5 3" xfId="6409" xr:uid="{00000000-0005-0000-0000-0000FF140000}"/>
    <cellStyle name="Normal 4 4 2 2 3 5 3 2" xfId="14859" xr:uid="{EEF4E4AB-82A2-47C9-8C1A-BFFEEDC4BED8}"/>
    <cellStyle name="Normal 4 4 2 2 3 5 4" xfId="10641" xr:uid="{152C1015-1134-49AF-8BC8-5AB924EB48CF}"/>
    <cellStyle name="Normal 4 4 2 2 3 6" xfId="2539" xr:uid="{00000000-0005-0000-0000-000000150000}"/>
    <cellStyle name="Normal 4 4 2 2 3 6 2" xfId="6822" xr:uid="{00000000-0005-0000-0000-000001150000}"/>
    <cellStyle name="Normal 4 4 2 2 3 6 2 2" xfId="15272" xr:uid="{A5730744-9B79-4ABC-993D-7442F00E074D}"/>
    <cellStyle name="Normal 4 4 2 2 3 6 3" xfId="11054" xr:uid="{37F12124-1869-4E60-BB28-B4CB47F3AD72}"/>
    <cellStyle name="Normal 4 4 2 2 3 7" xfId="4757" xr:uid="{00000000-0005-0000-0000-000002150000}"/>
    <cellStyle name="Normal 4 4 2 2 3 7 2" xfId="13207" xr:uid="{54A1AE29-E50F-4D13-9181-709A54212F63}"/>
    <cellStyle name="Normal 4 4 2 2 3 8" xfId="8989" xr:uid="{BEE38DA9-4A7C-441F-8930-F140B15046F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A609B9D2-E0E6-4915-B060-E50D04AEC23B}"/>
    <cellStyle name="Normal 4 4 2 2 4 2 3" xfId="11544" xr:uid="{AE7F2855-48BF-4DE1-9744-1D4418621482}"/>
    <cellStyle name="Normal 4 4 2 2 4 3" xfId="5167" xr:uid="{00000000-0005-0000-0000-000006150000}"/>
    <cellStyle name="Normal 4 4 2 2 4 3 2" xfId="13617" xr:uid="{292425F3-3181-42F2-ABF2-553B09F2E307}"/>
    <cellStyle name="Normal 4 4 2 2 4 4" xfId="9399" xr:uid="{2A43E3FC-3121-4EC8-BA4D-4FEDF6909768}"/>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451F0EA4-3FA6-4408-B076-7A79B6515EDD}"/>
    <cellStyle name="Normal 4 4 2 2 5 2 3" xfId="11957" xr:uid="{D3F7F4FC-FA19-4C42-9263-A66272297984}"/>
    <cellStyle name="Normal 4 4 2 2 5 3" xfId="5580" xr:uid="{00000000-0005-0000-0000-00000A150000}"/>
    <cellStyle name="Normal 4 4 2 2 5 3 2" xfId="14030" xr:uid="{A6EAC727-ED7F-41DB-B599-A9B813509118}"/>
    <cellStyle name="Normal 4 4 2 2 5 4" xfId="9812" xr:uid="{390E9AFE-0E30-46AE-B436-E887B68286F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34E4255B-0851-4960-A551-2B011EB31DD4}"/>
    <cellStyle name="Normal 4 4 2 2 6 2 3" xfId="12370" xr:uid="{C9E168F5-564E-46B5-BEC0-EC268C7690AA}"/>
    <cellStyle name="Normal 4 4 2 2 6 3" xfId="5993" xr:uid="{00000000-0005-0000-0000-00000E150000}"/>
    <cellStyle name="Normal 4 4 2 2 6 3 2" xfId="14443" xr:uid="{DAD16371-2898-4377-BAFB-A011AAACC304}"/>
    <cellStyle name="Normal 4 4 2 2 6 4" xfId="10225" xr:uid="{52B7BB00-07F4-4ADD-BC56-DCB2CCF103A6}"/>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9274D573-587F-4D4E-B5C4-AC737197A554}"/>
    <cellStyle name="Normal 4 4 2 2 7 2 3" xfId="12783" xr:uid="{F3792400-BC2E-4CE8-84FF-11E657FAB1C9}"/>
    <cellStyle name="Normal 4 4 2 2 7 3" xfId="6406" xr:uid="{00000000-0005-0000-0000-000012150000}"/>
    <cellStyle name="Normal 4 4 2 2 7 3 2" xfId="14856" xr:uid="{F619AEC2-DF42-4511-BD83-EBABFBFA48B0}"/>
    <cellStyle name="Normal 4 4 2 2 7 4" xfId="10638" xr:uid="{8DA40A55-745D-40E1-AD8A-7EB3E385904E}"/>
    <cellStyle name="Normal 4 4 2 2 8" xfId="2536" xr:uid="{00000000-0005-0000-0000-000013150000}"/>
    <cellStyle name="Normal 4 4 2 2 8 2" xfId="6819" xr:uid="{00000000-0005-0000-0000-000014150000}"/>
    <cellStyle name="Normal 4 4 2 2 8 2 2" xfId="15269" xr:uid="{A1DF75C4-1F4D-4330-B15A-5DDE144C5CD5}"/>
    <cellStyle name="Normal 4 4 2 2 8 3" xfId="11051" xr:uid="{8024B6C8-64F6-475D-AB17-E65E124D547F}"/>
    <cellStyle name="Normal 4 4 2 2 9" xfId="4754" xr:uid="{00000000-0005-0000-0000-000015150000}"/>
    <cellStyle name="Normal 4 4 2 2 9 2" xfId="13204" xr:uid="{3D75543D-4EA3-45A8-A910-AE3ABE976F1E}"/>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0E740A34-ED9B-41A7-86B0-114753E598A4}"/>
    <cellStyle name="Normal 4 4 2 3 2 2 2 3" xfId="11549" xr:uid="{EA9950A5-D50B-4668-BD98-0C23C5E2C7D5}"/>
    <cellStyle name="Normal 4 4 2 3 2 2 3" xfId="5172" xr:uid="{00000000-0005-0000-0000-00001B150000}"/>
    <cellStyle name="Normal 4 4 2 3 2 2 3 2" xfId="13622" xr:uid="{6F7705B4-5F8E-43A6-B082-D79559F48FDE}"/>
    <cellStyle name="Normal 4 4 2 3 2 2 4" xfId="9404" xr:uid="{7D5D0013-FD56-42E2-BBA0-E102D8C60647}"/>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90AD8225-C508-4B42-9214-D9AF2AE41B07}"/>
    <cellStyle name="Normal 4 4 2 3 2 3 2 3" xfId="11962" xr:uid="{41578CF4-9106-40D4-988F-0F2365188932}"/>
    <cellStyle name="Normal 4 4 2 3 2 3 3" xfId="5585" xr:uid="{00000000-0005-0000-0000-00001F150000}"/>
    <cellStyle name="Normal 4 4 2 3 2 3 3 2" xfId="14035" xr:uid="{A8D4DBC5-DA32-40B0-98C6-6E3CCA61FEFE}"/>
    <cellStyle name="Normal 4 4 2 3 2 3 4" xfId="9817" xr:uid="{8709F4D3-2C30-4849-9294-B77082CC5F3D}"/>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15A3CCEF-26DF-41B9-9B3E-AA27F20374C0}"/>
    <cellStyle name="Normal 4 4 2 3 2 4 2 3" xfId="12375" xr:uid="{147512A1-9064-43F5-98C6-C13986C06345}"/>
    <cellStyle name="Normal 4 4 2 3 2 4 3" xfId="5998" xr:uid="{00000000-0005-0000-0000-000023150000}"/>
    <cellStyle name="Normal 4 4 2 3 2 4 3 2" xfId="14448" xr:uid="{3120D27D-8484-4A1E-9C28-38AE973A2E72}"/>
    <cellStyle name="Normal 4 4 2 3 2 4 4" xfId="10230" xr:uid="{62257F35-F187-417C-B057-BA7F21231E11}"/>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A7C66EC8-915B-4C20-8621-692B362C5FB0}"/>
    <cellStyle name="Normal 4 4 2 3 2 5 2 3" xfId="12788" xr:uid="{A25A6B28-BC77-4004-AC2C-C6B08BE83077}"/>
    <cellStyle name="Normal 4 4 2 3 2 5 3" xfId="6411" xr:uid="{00000000-0005-0000-0000-000027150000}"/>
    <cellStyle name="Normal 4 4 2 3 2 5 3 2" xfId="14861" xr:uid="{03621290-0612-4865-B0ED-0D48323434A0}"/>
    <cellStyle name="Normal 4 4 2 3 2 5 4" xfId="10643" xr:uid="{EAE296E4-0BF8-46D6-85CD-9330E0680191}"/>
    <cellStyle name="Normal 4 4 2 3 2 6" xfId="2541" xr:uid="{00000000-0005-0000-0000-000028150000}"/>
    <cellStyle name="Normal 4 4 2 3 2 6 2" xfId="6824" xr:uid="{00000000-0005-0000-0000-000029150000}"/>
    <cellStyle name="Normal 4 4 2 3 2 6 2 2" xfId="15274" xr:uid="{FA2658A8-0C0C-4983-B407-2EB6C7A5BCB3}"/>
    <cellStyle name="Normal 4 4 2 3 2 6 3" xfId="11056" xr:uid="{1125B3FC-2617-4CA9-B986-358846CC9F7A}"/>
    <cellStyle name="Normal 4 4 2 3 2 7" xfId="4759" xr:uid="{00000000-0005-0000-0000-00002A150000}"/>
    <cellStyle name="Normal 4 4 2 3 2 7 2" xfId="13209" xr:uid="{53D04456-C5DD-4D63-A02D-60A2BC72926F}"/>
    <cellStyle name="Normal 4 4 2 3 2 8" xfId="8991" xr:uid="{062AF638-465C-4F78-8563-ACEFE74B982B}"/>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3F288C6A-9B38-4895-82A4-E5BA87F2AF7A}"/>
    <cellStyle name="Normal 4 4 2 3 3 2 3" xfId="11548" xr:uid="{E8169191-7F2F-4E90-9745-47EE0E226984}"/>
    <cellStyle name="Normal 4 4 2 3 3 3" xfId="5171" xr:uid="{00000000-0005-0000-0000-00002E150000}"/>
    <cellStyle name="Normal 4 4 2 3 3 3 2" xfId="13621" xr:uid="{8DE002C1-1A4D-4D8D-A606-7F40D843510C}"/>
    <cellStyle name="Normal 4 4 2 3 3 4" xfId="9403" xr:uid="{0E418445-EEC4-42A0-BC86-625BDECA609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C7CD8B92-7E6D-460E-AB38-5C6D0C3372F4}"/>
    <cellStyle name="Normal 4 4 2 3 4 2 3" xfId="11961" xr:uid="{AA5C361A-6588-41E0-8096-F45EB6CD0B56}"/>
    <cellStyle name="Normal 4 4 2 3 4 3" xfId="5584" xr:uid="{00000000-0005-0000-0000-000032150000}"/>
    <cellStyle name="Normal 4 4 2 3 4 3 2" xfId="14034" xr:uid="{740EEDF4-484D-438E-AC70-09728AA1F319}"/>
    <cellStyle name="Normal 4 4 2 3 4 4" xfId="9816" xr:uid="{BC11B96D-0281-44D1-8163-8CB1D5F34EA1}"/>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2A1E08E6-1D7C-4CC8-908C-B438FA982B13}"/>
    <cellStyle name="Normal 4 4 2 3 5 2 3" xfId="12374" xr:uid="{FF329CE2-4F8D-40FF-8634-4D936711555C}"/>
    <cellStyle name="Normal 4 4 2 3 5 3" xfId="5997" xr:uid="{00000000-0005-0000-0000-000036150000}"/>
    <cellStyle name="Normal 4 4 2 3 5 3 2" xfId="14447" xr:uid="{8813F6F4-9A42-4F70-9D6A-BFB22187CBF4}"/>
    <cellStyle name="Normal 4 4 2 3 5 4" xfId="10229" xr:uid="{4AE2F43F-9B9A-4439-BBC7-249D9713B5A3}"/>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D94C923E-33B9-446D-9BCC-A255A2F40179}"/>
    <cellStyle name="Normal 4 4 2 3 6 2 3" xfId="12787" xr:uid="{B9C8AE4A-6B05-4635-B24E-A2BBC0BDA6F5}"/>
    <cellStyle name="Normal 4 4 2 3 6 3" xfId="6410" xr:uid="{00000000-0005-0000-0000-00003A150000}"/>
    <cellStyle name="Normal 4 4 2 3 6 3 2" xfId="14860" xr:uid="{2F895867-E404-48AF-BB5F-A6689374B59F}"/>
    <cellStyle name="Normal 4 4 2 3 6 4" xfId="10642" xr:uid="{AE725C3E-4707-4AAB-A409-D18038755891}"/>
    <cellStyle name="Normal 4 4 2 3 7" xfId="2540" xr:uid="{00000000-0005-0000-0000-00003B150000}"/>
    <cellStyle name="Normal 4 4 2 3 7 2" xfId="6823" xr:uid="{00000000-0005-0000-0000-00003C150000}"/>
    <cellStyle name="Normal 4 4 2 3 7 2 2" xfId="15273" xr:uid="{D47DC5DA-5CA2-4190-AFAF-2F3CCE368154}"/>
    <cellStyle name="Normal 4 4 2 3 7 3" xfId="11055" xr:uid="{048B3D76-8D88-4382-893F-6CA514EE1691}"/>
    <cellStyle name="Normal 4 4 2 3 8" xfId="4758" xr:uid="{00000000-0005-0000-0000-00003D150000}"/>
    <cellStyle name="Normal 4 4 2 3 8 2" xfId="13208" xr:uid="{13B9FA38-E829-43D8-8D5D-4C677C71AFC6}"/>
    <cellStyle name="Normal 4 4 2 3 9" xfId="8990" xr:uid="{59E1B18F-7AAC-40BD-B23F-C912926CB383}"/>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9C4AB4CE-8C4E-4663-B9BE-4DDDB8766631}"/>
    <cellStyle name="Normal 4 4 2 4 2 2 3" xfId="11550" xr:uid="{B40BDE80-A76C-4A4C-8AD4-08146B51F8E1}"/>
    <cellStyle name="Normal 4 4 2 4 2 3" xfId="5173" xr:uid="{00000000-0005-0000-0000-000042150000}"/>
    <cellStyle name="Normal 4 4 2 4 2 3 2" xfId="13623" xr:uid="{104B36A0-17F9-43F4-95E5-78482942415A}"/>
    <cellStyle name="Normal 4 4 2 4 2 4" xfId="9405" xr:uid="{CCBB3935-1C96-459E-8809-244A2E91B71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A714F849-CAF0-40F6-8292-F0B55D7F1676}"/>
    <cellStyle name="Normal 4 4 2 4 3 2 3" xfId="11963" xr:uid="{79D65095-FDD2-42D3-ADC5-097487D8FC5D}"/>
    <cellStyle name="Normal 4 4 2 4 3 3" xfId="5586" xr:uid="{00000000-0005-0000-0000-000046150000}"/>
    <cellStyle name="Normal 4 4 2 4 3 3 2" xfId="14036" xr:uid="{63D7917A-99A1-40C2-BE90-4BBC4B22F04F}"/>
    <cellStyle name="Normal 4 4 2 4 3 4" xfId="9818" xr:uid="{194B98DD-1D69-41C4-B99E-B8360796D9C5}"/>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B5663849-C308-4E9C-8876-B7D847510513}"/>
    <cellStyle name="Normal 4 4 2 4 4 2 3" xfId="12376" xr:uid="{23CA700A-D656-4A1C-B99B-BE397A22071E}"/>
    <cellStyle name="Normal 4 4 2 4 4 3" xfId="5999" xr:uid="{00000000-0005-0000-0000-00004A150000}"/>
    <cellStyle name="Normal 4 4 2 4 4 3 2" xfId="14449" xr:uid="{A2A4D238-18A7-45E0-A02B-2699E1168061}"/>
    <cellStyle name="Normal 4 4 2 4 4 4" xfId="10231" xr:uid="{F8954C77-4BFB-4D54-A42A-6C98801EAD50}"/>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B84170FA-98D0-4532-9BB6-16F515636C9D}"/>
    <cellStyle name="Normal 4 4 2 4 5 2 3" xfId="12789" xr:uid="{02DBC8A9-2FC0-4242-9C4A-97001F82FC4B}"/>
    <cellStyle name="Normal 4 4 2 4 5 3" xfId="6412" xr:uid="{00000000-0005-0000-0000-00004E150000}"/>
    <cellStyle name="Normal 4 4 2 4 5 3 2" xfId="14862" xr:uid="{7F3B6DF9-2A18-4463-A2D5-F4C37DC497D6}"/>
    <cellStyle name="Normal 4 4 2 4 5 4" xfId="10644" xr:uid="{7B7B8620-DE7E-4B3C-8D21-9802374DCD99}"/>
    <cellStyle name="Normal 4 4 2 4 6" xfId="2542" xr:uid="{00000000-0005-0000-0000-00004F150000}"/>
    <cellStyle name="Normal 4 4 2 4 6 2" xfId="6825" xr:uid="{00000000-0005-0000-0000-000050150000}"/>
    <cellStyle name="Normal 4 4 2 4 6 2 2" xfId="15275" xr:uid="{A35B4641-3825-4993-B033-128BECF7C5D1}"/>
    <cellStyle name="Normal 4 4 2 4 6 3" xfId="11057" xr:uid="{5728E915-DB57-4229-ADC6-3F272926D126}"/>
    <cellStyle name="Normal 4 4 2 4 7" xfId="4760" xr:uid="{00000000-0005-0000-0000-000051150000}"/>
    <cellStyle name="Normal 4 4 2 4 7 2" xfId="13210" xr:uid="{FEF69090-303E-4973-9661-21CB7382169F}"/>
    <cellStyle name="Normal 4 4 2 4 8" xfId="8992" xr:uid="{76A8B44E-4FBA-43FD-9D6C-FE960C33B9C7}"/>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296DEC45-AC38-493C-90F4-75857F76D5C1}"/>
    <cellStyle name="Normal 4 4 2 5 2 3" xfId="11543" xr:uid="{E8F295EF-3348-47D5-8AB3-82DA73F7304E}"/>
    <cellStyle name="Normal 4 4 2 5 3" xfId="5166" xr:uid="{00000000-0005-0000-0000-000055150000}"/>
    <cellStyle name="Normal 4 4 2 5 3 2" xfId="13616" xr:uid="{32434725-09D7-443E-B7C8-E502E486CEFE}"/>
    <cellStyle name="Normal 4 4 2 5 4" xfId="9398" xr:uid="{E350E0ED-4CA3-439F-B784-1B57FAF72AEC}"/>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4FE9C671-563B-48F4-89AA-86F6DDA5181C}"/>
    <cellStyle name="Normal 4 4 2 6 2 3" xfId="11956" xr:uid="{26AB641C-5609-42B9-B177-682416A212EF}"/>
    <cellStyle name="Normal 4 4 2 6 3" xfId="5579" xr:uid="{00000000-0005-0000-0000-000059150000}"/>
    <cellStyle name="Normal 4 4 2 6 3 2" xfId="14029" xr:uid="{89BDAACC-6D7B-4F28-B46E-901359AF5E8A}"/>
    <cellStyle name="Normal 4 4 2 6 4" xfId="9811" xr:uid="{3F2015EB-D3B1-4C47-BF55-9B3A0A7B1A07}"/>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E530F9FB-EB7B-4B46-A2EB-9DF3B95C2D8A}"/>
    <cellStyle name="Normal 4 4 2 7 2 3" xfId="12369" xr:uid="{AFB863E6-586E-4F40-B3B4-DC2EAB4FBEAB}"/>
    <cellStyle name="Normal 4 4 2 7 3" xfId="5992" xr:uid="{00000000-0005-0000-0000-00005D150000}"/>
    <cellStyle name="Normal 4 4 2 7 3 2" xfId="14442" xr:uid="{299B7050-CFE3-415F-A70F-7E1138E1E44C}"/>
    <cellStyle name="Normal 4 4 2 7 4" xfId="10224" xr:uid="{08CFC082-C609-4230-8261-093283E1E440}"/>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7B5D79FC-150C-4179-94EB-E7438FE4394F}"/>
    <cellStyle name="Normal 4 4 2 8 2 3" xfId="12782" xr:uid="{BF2EFD20-678A-4636-88F9-D0B09874360A}"/>
    <cellStyle name="Normal 4 4 2 8 3" xfId="6405" xr:uid="{00000000-0005-0000-0000-000061150000}"/>
    <cellStyle name="Normal 4 4 2 8 3 2" xfId="14855" xr:uid="{4E192D48-370A-4FAE-8EFA-C8DA6C1E63BF}"/>
    <cellStyle name="Normal 4 4 2 8 4" xfId="10637" xr:uid="{475BEBD9-2C51-4B86-9B77-AD822EA608C4}"/>
    <cellStyle name="Normal 4 4 2 9" xfId="2535" xr:uid="{00000000-0005-0000-0000-000062150000}"/>
    <cellStyle name="Normal 4 4 2 9 2" xfId="6818" xr:uid="{00000000-0005-0000-0000-000063150000}"/>
    <cellStyle name="Normal 4 4 2 9 2 2" xfId="15268" xr:uid="{E3660CB2-26E1-4BAF-90C1-7AA5F9DBBBF8}"/>
    <cellStyle name="Normal 4 4 2 9 3" xfId="11050" xr:uid="{3D586103-00CD-44FC-877C-82A57F66AE5D}"/>
    <cellStyle name="Normal 4 4 3" xfId="387" xr:uid="{00000000-0005-0000-0000-000064150000}"/>
    <cellStyle name="Normal 4 4 3 10" xfId="8993" xr:uid="{6D9A3175-5F70-412F-9834-2D07191385B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1EB0478F-9A1F-4E84-95DF-92EA014D2784}"/>
    <cellStyle name="Normal 4 4 3 2 2 2 2 3" xfId="11553" xr:uid="{8BC61DD8-31F8-41B0-AA56-77F1EFFADAF1}"/>
    <cellStyle name="Normal 4 4 3 2 2 2 3" xfId="5176" xr:uid="{00000000-0005-0000-0000-00006A150000}"/>
    <cellStyle name="Normal 4 4 3 2 2 2 3 2" xfId="13626" xr:uid="{82E2C2D9-C4C2-4E5C-B518-5769629EC122}"/>
    <cellStyle name="Normal 4 4 3 2 2 2 4" xfId="9408" xr:uid="{2B19C126-51E5-41B2-9A29-DB946BB452E3}"/>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5B7E3CE7-262F-4946-9453-A97B8DEA8A7C}"/>
    <cellStyle name="Normal 4 4 3 2 2 3 2 3" xfId="11966" xr:uid="{9E2C332E-8D93-4017-A152-D9EF280DB678}"/>
    <cellStyle name="Normal 4 4 3 2 2 3 3" xfId="5589" xr:uid="{00000000-0005-0000-0000-00006E150000}"/>
    <cellStyle name="Normal 4 4 3 2 2 3 3 2" xfId="14039" xr:uid="{C931AF7F-C34A-474E-ADD8-6AAB183B63F5}"/>
    <cellStyle name="Normal 4 4 3 2 2 3 4" xfId="9821" xr:uid="{A814795C-68BE-431A-958D-EEAC0BDD42DC}"/>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E9002761-BA89-4613-A8FB-F99BDD971BD7}"/>
    <cellStyle name="Normal 4 4 3 2 2 4 2 3" xfId="12379" xr:uid="{01DAB174-ED6D-40B8-B3D1-390438C92A86}"/>
    <cellStyle name="Normal 4 4 3 2 2 4 3" xfId="6002" xr:uid="{00000000-0005-0000-0000-000072150000}"/>
    <cellStyle name="Normal 4 4 3 2 2 4 3 2" xfId="14452" xr:uid="{0E379C06-3629-4F77-9159-E0BBDB92D70B}"/>
    <cellStyle name="Normal 4 4 3 2 2 4 4" xfId="10234" xr:uid="{9D10B963-EB2F-4B4C-9B0E-378FE010DDD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CF3E389D-C883-4D30-BBDC-321CA75F2507}"/>
    <cellStyle name="Normal 4 4 3 2 2 5 2 3" xfId="12792" xr:uid="{A1EE10A2-2590-4866-981B-10F33536F066}"/>
    <cellStyle name="Normal 4 4 3 2 2 5 3" xfId="6415" xr:uid="{00000000-0005-0000-0000-000076150000}"/>
    <cellStyle name="Normal 4 4 3 2 2 5 3 2" xfId="14865" xr:uid="{A6BB8ABC-45A8-4EA5-930F-BB39C02C143C}"/>
    <cellStyle name="Normal 4 4 3 2 2 5 4" xfId="10647" xr:uid="{413C2C4F-ECF7-468A-8D9A-143C6B8DCAD9}"/>
    <cellStyle name="Normal 4 4 3 2 2 6" xfId="2545" xr:uid="{00000000-0005-0000-0000-000077150000}"/>
    <cellStyle name="Normal 4 4 3 2 2 6 2" xfId="6828" xr:uid="{00000000-0005-0000-0000-000078150000}"/>
    <cellStyle name="Normal 4 4 3 2 2 6 2 2" xfId="15278" xr:uid="{DF0DD577-24DF-4E1A-97E8-908F7D99CAF4}"/>
    <cellStyle name="Normal 4 4 3 2 2 6 3" xfId="11060" xr:uid="{2707D66F-F85B-48E6-8C06-4F0A5B3C5901}"/>
    <cellStyle name="Normal 4 4 3 2 2 7" xfId="4763" xr:uid="{00000000-0005-0000-0000-000079150000}"/>
    <cellStyle name="Normal 4 4 3 2 2 7 2" xfId="13213" xr:uid="{29D44578-E751-4909-B7D7-E8529AFAD800}"/>
    <cellStyle name="Normal 4 4 3 2 2 8" xfId="8995" xr:uid="{CDFDC9E3-2F82-4756-9730-2DE2D60C8F5A}"/>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F5E30DEF-7499-4336-A523-85606700BF9E}"/>
    <cellStyle name="Normal 4 4 3 2 3 2 3" xfId="11552" xr:uid="{9CFAEC17-1215-4C8E-9889-5ABB27EF4D18}"/>
    <cellStyle name="Normal 4 4 3 2 3 3" xfId="5175" xr:uid="{00000000-0005-0000-0000-00007D150000}"/>
    <cellStyle name="Normal 4 4 3 2 3 3 2" xfId="13625" xr:uid="{EAC18892-21B6-4794-873E-77A77F989B62}"/>
    <cellStyle name="Normal 4 4 3 2 3 4" xfId="9407" xr:uid="{874EFDC6-81F6-400B-8B48-45DD2125BF3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F9BAD127-4D58-4E5C-9A8D-377F24413E9D}"/>
    <cellStyle name="Normal 4 4 3 2 4 2 3" xfId="11965" xr:uid="{1299BF0A-D6F5-4371-97AF-828FB7226AC5}"/>
    <cellStyle name="Normal 4 4 3 2 4 3" xfId="5588" xr:uid="{00000000-0005-0000-0000-000081150000}"/>
    <cellStyle name="Normal 4 4 3 2 4 3 2" xfId="14038" xr:uid="{30D98716-549A-4FFC-BF78-1B555E6DAD07}"/>
    <cellStyle name="Normal 4 4 3 2 4 4" xfId="9820" xr:uid="{9A217FB6-744E-495A-B03C-050BD9A01E47}"/>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DCA7611B-3525-48B6-A7FE-3639A7B49AFD}"/>
    <cellStyle name="Normal 4 4 3 2 5 2 3" xfId="12378" xr:uid="{B6E83D44-9231-4923-ACA1-3287B7122FFB}"/>
    <cellStyle name="Normal 4 4 3 2 5 3" xfId="6001" xr:uid="{00000000-0005-0000-0000-000085150000}"/>
    <cellStyle name="Normal 4 4 3 2 5 3 2" xfId="14451" xr:uid="{804FC957-A1EE-44C4-95C9-119725B9383E}"/>
    <cellStyle name="Normal 4 4 3 2 5 4" xfId="10233" xr:uid="{A24EAE76-70D3-4F31-A6FE-B6AFDE68A53E}"/>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C13EC167-0A01-437E-9A11-FE27ADD84A5D}"/>
    <cellStyle name="Normal 4 4 3 2 6 2 3" xfId="12791" xr:uid="{18A24D26-A4ED-4C79-A165-BB39CC8A3B2C}"/>
    <cellStyle name="Normal 4 4 3 2 6 3" xfId="6414" xr:uid="{00000000-0005-0000-0000-000089150000}"/>
    <cellStyle name="Normal 4 4 3 2 6 3 2" xfId="14864" xr:uid="{6467480C-6255-44BD-807A-1839BA5BC492}"/>
    <cellStyle name="Normal 4 4 3 2 6 4" xfId="10646" xr:uid="{F16C7E9B-6FB5-4AFF-8955-721971543AAC}"/>
    <cellStyle name="Normal 4 4 3 2 7" xfId="2544" xr:uid="{00000000-0005-0000-0000-00008A150000}"/>
    <cellStyle name="Normal 4 4 3 2 7 2" xfId="6827" xr:uid="{00000000-0005-0000-0000-00008B150000}"/>
    <cellStyle name="Normal 4 4 3 2 7 2 2" xfId="15277" xr:uid="{A33C0CE7-9BFE-4A65-9C6F-B9FCDAA96A02}"/>
    <cellStyle name="Normal 4 4 3 2 7 3" xfId="11059" xr:uid="{EEB070BE-BA7C-4EA0-A6D8-4EF44FC877C6}"/>
    <cellStyle name="Normal 4 4 3 2 8" xfId="4762" xr:uid="{00000000-0005-0000-0000-00008C150000}"/>
    <cellStyle name="Normal 4 4 3 2 8 2" xfId="13212" xr:uid="{3089C194-74B6-474F-A1CC-A260D975BBA2}"/>
    <cellStyle name="Normal 4 4 3 2 9" xfId="8994" xr:uid="{6E139ED8-0B8D-4002-928C-4BDFD3FBD104}"/>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8D3AD740-49F9-499F-A7C5-40E3C0958925}"/>
    <cellStyle name="Normal 4 4 3 3 2 2 3" xfId="11554" xr:uid="{95067192-6679-4A98-85C8-B85D27522647}"/>
    <cellStyle name="Normal 4 4 3 3 2 3" xfId="5177" xr:uid="{00000000-0005-0000-0000-000091150000}"/>
    <cellStyle name="Normal 4 4 3 3 2 3 2" xfId="13627" xr:uid="{F5CB23C2-7AA2-4F20-9A60-3ED9643D7F7F}"/>
    <cellStyle name="Normal 4 4 3 3 2 4" xfId="9409" xr:uid="{18618C72-9682-4F1B-9A24-A1E18E5D5C2F}"/>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C9257C24-8F63-4CA0-B3C9-09319A387D66}"/>
    <cellStyle name="Normal 4 4 3 3 3 2 3" xfId="11967" xr:uid="{3BFD7F66-D828-42B0-BF02-0A9D829668F3}"/>
    <cellStyle name="Normal 4 4 3 3 3 3" xfId="5590" xr:uid="{00000000-0005-0000-0000-000095150000}"/>
    <cellStyle name="Normal 4 4 3 3 3 3 2" xfId="14040" xr:uid="{D0E04967-8B75-4D99-BA64-C1257581ABA0}"/>
    <cellStyle name="Normal 4 4 3 3 3 4" xfId="9822" xr:uid="{0E988488-EACB-4AB0-A495-894515D2FE46}"/>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BADFC684-58FF-492E-B74F-3BC65D015B6B}"/>
    <cellStyle name="Normal 4 4 3 3 4 2 3" xfId="12380" xr:uid="{5244A53C-C924-4CBF-9FD7-CEC83AF69C45}"/>
    <cellStyle name="Normal 4 4 3 3 4 3" xfId="6003" xr:uid="{00000000-0005-0000-0000-000099150000}"/>
    <cellStyle name="Normal 4 4 3 3 4 3 2" xfId="14453" xr:uid="{98F8733A-35F1-4CB8-BD6F-380FF6F4B624}"/>
    <cellStyle name="Normal 4 4 3 3 4 4" xfId="10235" xr:uid="{435CF1C2-862C-4677-A52B-82DCF30AFF2A}"/>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FC28C4A7-F814-4299-B8E2-FD946D260C50}"/>
    <cellStyle name="Normal 4 4 3 3 5 2 3" xfId="12793" xr:uid="{CC5AD8D4-62FA-478B-BFA9-92E37613F945}"/>
    <cellStyle name="Normal 4 4 3 3 5 3" xfId="6416" xr:uid="{00000000-0005-0000-0000-00009D150000}"/>
    <cellStyle name="Normal 4 4 3 3 5 3 2" xfId="14866" xr:uid="{EBA8F984-0D1D-4F4A-947D-4672D75E0E3A}"/>
    <cellStyle name="Normal 4 4 3 3 5 4" xfId="10648" xr:uid="{330CD718-B747-45DB-A6B6-09E6DF8A7E0E}"/>
    <cellStyle name="Normal 4 4 3 3 6" xfId="2546" xr:uid="{00000000-0005-0000-0000-00009E150000}"/>
    <cellStyle name="Normal 4 4 3 3 6 2" xfId="6829" xr:uid="{00000000-0005-0000-0000-00009F150000}"/>
    <cellStyle name="Normal 4 4 3 3 6 2 2" xfId="15279" xr:uid="{3669FB55-751F-46C2-8A92-821DCBAC2D3E}"/>
    <cellStyle name="Normal 4 4 3 3 6 3" xfId="11061" xr:uid="{03AABBD3-C48F-4461-9024-F4D83683F5B6}"/>
    <cellStyle name="Normal 4 4 3 3 7" xfId="4764" xr:uid="{00000000-0005-0000-0000-0000A0150000}"/>
    <cellStyle name="Normal 4 4 3 3 7 2" xfId="13214" xr:uid="{F01D6B01-0A23-408C-BC41-0A6BCC7AD196}"/>
    <cellStyle name="Normal 4 4 3 3 8" xfId="8996" xr:uid="{1F90F1F4-6794-437B-9C00-E1303EB37F3B}"/>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712C5230-F537-41F4-AB07-84C07EDD5199}"/>
    <cellStyle name="Normal 4 4 3 4 2 3" xfId="11551" xr:uid="{3FB83E11-FF6E-4CCE-B1AA-335B591F7DCC}"/>
    <cellStyle name="Normal 4 4 3 4 3" xfId="5174" xr:uid="{00000000-0005-0000-0000-0000A4150000}"/>
    <cellStyle name="Normal 4 4 3 4 3 2" xfId="13624" xr:uid="{CFEA4FBB-7153-48A5-80B2-36CF849D29AB}"/>
    <cellStyle name="Normal 4 4 3 4 4" xfId="9406" xr:uid="{AEE303BD-D3CD-4AD8-96B3-EA0C5564722E}"/>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AAADEDB4-647F-46EA-8DB4-DB1D9C38E7D6}"/>
    <cellStyle name="Normal 4 4 3 5 2 3" xfId="11964" xr:uid="{5F419D75-4B76-4945-8E7C-2790ADDDCCC0}"/>
    <cellStyle name="Normal 4 4 3 5 3" xfId="5587" xr:uid="{00000000-0005-0000-0000-0000A8150000}"/>
    <cellStyle name="Normal 4 4 3 5 3 2" xfId="14037" xr:uid="{39A561A4-9878-4463-B5D6-92FC03CCB52C}"/>
    <cellStyle name="Normal 4 4 3 5 4" xfId="9819" xr:uid="{28DF8595-D45F-49C3-ABC5-422AEDBE30F3}"/>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5C39B338-76FD-4935-9382-16F7989CAA3A}"/>
    <cellStyle name="Normal 4 4 3 6 2 3" xfId="12377" xr:uid="{13CE91CD-ECFC-434A-9AEB-2E7398D36F1C}"/>
    <cellStyle name="Normal 4 4 3 6 3" xfId="6000" xr:uid="{00000000-0005-0000-0000-0000AC150000}"/>
    <cellStyle name="Normal 4 4 3 6 3 2" xfId="14450" xr:uid="{F9D581A5-1E01-48DA-9467-CA3E5E88BB71}"/>
    <cellStyle name="Normal 4 4 3 6 4" xfId="10232" xr:uid="{CEC10999-03C6-40CD-A04D-C281549F0AE5}"/>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D373FF77-E8D7-45D5-B03B-753F636E1141}"/>
    <cellStyle name="Normal 4 4 3 7 2 3" xfId="12790" xr:uid="{49266E71-FD36-449C-8760-3255CB5DBAAB}"/>
    <cellStyle name="Normal 4 4 3 7 3" xfId="6413" xr:uid="{00000000-0005-0000-0000-0000B0150000}"/>
    <cellStyle name="Normal 4 4 3 7 3 2" xfId="14863" xr:uid="{2939E8A3-235D-490F-89A7-9C8AFCB949E9}"/>
    <cellStyle name="Normal 4 4 3 7 4" xfId="10645" xr:uid="{2BAFDDB8-05EB-4E2E-A119-7447F19AABB2}"/>
    <cellStyle name="Normal 4 4 3 8" xfId="2543" xr:uid="{00000000-0005-0000-0000-0000B1150000}"/>
    <cellStyle name="Normal 4 4 3 8 2" xfId="6826" xr:uid="{00000000-0005-0000-0000-0000B2150000}"/>
    <cellStyle name="Normal 4 4 3 8 2 2" xfId="15276" xr:uid="{E112DA11-5511-4FD2-A0A3-997F41C76158}"/>
    <cellStyle name="Normal 4 4 3 8 3" xfId="11058" xr:uid="{5E25E068-86C0-472C-8D95-F7DF2BA1BE31}"/>
    <cellStyle name="Normal 4 4 3 9" xfId="4761" xr:uid="{00000000-0005-0000-0000-0000B3150000}"/>
    <cellStyle name="Normal 4 4 3 9 2" xfId="13211" xr:uid="{E1EFCA26-B5E0-481C-BC26-D9D62D8C628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AF34FCB7-9DE7-48BA-9572-30E732216CE2}"/>
    <cellStyle name="Normal 4 4 4 2 2 2 3" xfId="11556" xr:uid="{1E0799D2-9049-4EFB-8836-26B1998D284D}"/>
    <cellStyle name="Normal 4 4 4 2 2 3" xfId="5179" xr:uid="{00000000-0005-0000-0000-0000B9150000}"/>
    <cellStyle name="Normal 4 4 4 2 2 3 2" xfId="13629" xr:uid="{3832F69A-1C75-4C60-9EE4-FF58E7CD49DF}"/>
    <cellStyle name="Normal 4 4 4 2 2 4" xfId="9411" xr:uid="{796036A8-F413-4182-8769-41F41A80C99D}"/>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E11E5958-4F4B-4B9D-9906-3F0147DB88AC}"/>
    <cellStyle name="Normal 4 4 4 2 3 2 3" xfId="11969" xr:uid="{D3254A12-C8C3-4DEE-9561-759AC324B587}"/>
    <cellStyle name="Normal 4 4 4 2 3 3" xfId="5592" xr:uid="{00000000-0005-0000-0000-0000BD150000}"/>
    <cellStyle name="Normal 4 4 4 2 3 3 2" xfId="14042" xr:uid="{C7D9CA3D-F3B8-4C6C-9E9F-DA79E70938EC}"/>
    <cellStyle name="Normal 4 4 4 2 3 4" xfId="9824" xr:uid="{147644AE-8409-40D6-8FFF-47FC52A0C3D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4839F5F6-244E-4F3D-B112-AA65011FE623}"/>
    <cellStyle name="Normal 4 4 4 2 4 2 3" xfId="12382" xr:uid="{B9842EAB-23D0-4977-A770-EF2C116882B2}"/>
    <cellStyle name="Normal 4 4 4 2 4 3" xfId="6005" xr:uid="{00000000-0005-0000-0000-0000C1150000}"/>
    <cellStyle name="Normal 4 4 4 2 4 3 2" xfId="14455" xr:uid="{B92394AE-83D1-4518-866D-776930087D93}"/>
    <cellStyle name="Normal 4 4 4 2 4 4" xfId="10237" xr:uid="{D9E6DD65-72AB-4D07-A4DA-E72BAA69DF91}"/>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8AA1B494-BF84-4F23-AF5C-FF5051EDBB0B}"/>
    <cellStyle name="Normal 4 4 4 2 5 2 3" xfId="12795" xr:uid="{36CEA933-F7F3-4EFF-9EEE-D0F49578E8EB}"/>
    <cellStyle name="Normal 4 4 4 2 5 3" xfId="6418" xr:uid="{00000000-0005-0000-0000-0000C5150000}"/>
    <cellStyle name="Normal 4 4 4 2 5 3 2" xfId="14868" xr:uid="{D93838B1-2BD0-4183-8A5D-81C30FE4EF62}"/>
    <cellStyle name="Normal 4 4 4 2 5 4" xfId="10650" xr:uid="{858F7926-76EE-4A88-8950-1D09BDA40B68}"/>
    <cellStyle name="Normal 4 4 4 2 6" xfId="2548" xr:uid="{00000000-0005-0000-0000-0000C6150000}"/>
    <cellStyle name="Normal 4 4 4 2 6 2" xfId="6831" xr:uid="{00000000-0005-0000-0000-0000C7150000}"/>
    <cellStyle name="Normal 4 4 4 2 6 2 2" xfId="15281" xr:uid="{D0DDF468-A972-4062-99DD-EC9E2219E869}"/>
    <cellStyle name="Normal 4 4 4 2 6 3" xfId="11063" xr:uid="{20F6FD5D-64B4-46E2-B6CE-2DB5F00D71CF}"/>
    <cellStyle name="Normal 4 4 4 2 7" xfId="4766" xr:uid="{00000000-0005-0000-0000-0000C8150000}"/>
    <cellStyle name="Normal 4 4 4 2 7 2" xfId="13216" xr:uid="{E3B2B33F-4D27-492A-8DC0-29EDF54F0EA8}"/>
    <cellStyle name="Normal 4 4 4 2 8" xfId="8998" xr:uid="{206FCA18-90BE-4D80-AA8A-565E5BC49540}"/>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13BF15D6-19DD-4F42-98A8-4327F519CCD2}"/>
    <cellStyle name="Normal 4 4 4 3 2 3" xfId="11555" xr:uid="{65B4EEBA-CF1A-4FF2-A809-E4B0CF486E82}"/>
    <cellStyle name="Normal 4 4 4 3 3" xfId="5178" xr:uid="{00000000-0005-0000-0000-0000CC150000}"/>
    <cellStyle name="Normal 4 4 4 3 3 2" xfId="13628" xr:uid="{C378E508-70A3-44AB-94A8-AFA442C40285}"/>
    <cellStyle name="Normal 4 4 4 3 4" xfId="9410" xr:uid="{73F25CF2-0CBD-499F-884B-BBBE335C853B}"/>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CD59A3BB-9445-47B5-9525-013B4657FDC2}"/>
    <cellStyle name="Normal 4 4 4 4 2 3" xfId="11968" xr:uid="{7E9373E8-05BF-4DC8-ACB5-2737B476526E}"/>
    <cellStyle name="Normal 4 4 4 4 3" xfId="5591" xr:uid="{00000000-0005-0000-0000-0000D0150000}"/>
    <cellStyle name="Normal 4 4 4 4 3 2" xfId="14041" xr:uid="{4203AD01-B7DF-4EB9-B683-0ED3DA92F0FA}"/>
    <cellStyle name="Normal 4 4 4 4 4" xfId="9823" xr:uid="{FB064AD4-9AFE-40D6-877B-5613221F58FE}"/>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AEE49A7A-2F31-4FC6-9E10-A09ADABD726B}"/>
    <cellStyle name="Normal 4 4 4 5 2 3" xfId="12381" xr:uid="{E63B81DC-6BC0-4F8D-8809-D93657C7F430}"/>
    <cellStyle name="Normal 4 4 4 5 3" xfId="6004" xr:uid="{00000000-0005-0000-0000-0000D4150000}"/>
    <cellStyle name="Normal 4 4 4 5 3 2" xfId="14454" xr:uid="{79D03615-FC10-4756-8DFE-0E443A9A3D05}"/>
    <cellStyle name="Normal 4 4 4 5 4" xfId="10236" xr:uid="{21B9F617-71BF-4CAC-96C7-24201E013667}"/>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3D167BA3-3E36-4F28-935F-761F5AD9A40C}"/>
    <cellStyle name="Normal 4 4 4 6 2 3" xfId="12794" xr:uid="{1D82321A-5C3C-4387-9842-8CC7814E3AE5}"/>
    <cellStyle name="Normal 4 4 4 6 3" xfId="6417" xr:uid="{00000000-0005-0000-0000-0000D8150000}"/>
    <cellStyle name="Normal 4 4 4 6 3 2" xfId="14867" xr:uid="{CEA256BB-3321-48C3-8E36-C1CF04FC8D30}"/>
    <cellStyle name="Normal 4 4 4 6 4" xfId="10649" xr:uid="{D91254C2-C967-4339-BC98-52A74169B70B}"/>
    <cellStyle name="Normal 4 4 4 7" xfId="2547" xr:uid="{00000000-0005-0000-0000-0000D9150000}"/>
    <cellStyle name="Normal 4 4 4 7 2" xfId="6830" xr:uid="{00000000-0005-0000-0000-0000DA150000}"/>
    <cellStyle name="Normal 4 4 4 7 2 2" xfId="15280" xr:uid="{E10431B9-68A3-401C-AFBD-F3DF874E6199}"/>
    <cellStyle name="Normal 4 4 4 7 3" xfId="11062" xr:uid="{48766C09-DC9E-49E1-991D-7CEAD519CDCD}"/>
    <cellStyle name="Normal 4 4 4 8" xfId="4765" xr:uid="{00000000-0005-0000-0000-0000DB150000}"/>
    <cellStyle name="Normal 4 4 4 8 2" xfId="13215" xr:uid="{D94AF663-628B-44DE-A330-C0DB6C779150}"/>
    <cellStyle name="Normal 4 4 4 9" xfId="8997" xr:uid="{ED749AA6-5543-4AF8-850C-E077FB8EBE14}"/>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3015AB3B-9E31-422B-BCDC-C82937AAD443}"/>
    <cellStyle name="Normal 4 4 5 2 2 3" xfId="11557" xr:uid="{6E924EF5-AEE3-4306-9D5D-78168BB28539}"/>
    <cellStyle name="Normal 4 4 5 2 3" xfId="5180" xr:uid="{00000000-0005-0000-0000-0000E0150000}"/>
    <cellStyle name="Normal 4 4 5 2 3 2" xfId="13630" xr:uid="{F47B3E0C-F8ED-4247-A0B5-0FD152B4FD6D}"/>
    <cellStyle name="Normal 4 4 5 2 4" xfId="9412" xr:uid="{F4603C57-E432-49A3-8F54-F207D1451833}"/>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5A96BB60-E111-4DAF-98F9-CA4AE92F65B1}"/>
    <cellStyle name="Normal 4 4 5 3 2 3" xfId="11970" xr:uid="{89F3CA10-9DF2-4DC3-AFD7-1BE8D97FE089}"/>
    <cellStyle name="Normal 4 4 5 3 3" xfId="5593" xr:uid="{00000000-0005-0000-0000-0000E4150000}"/>
    <cellStyle name="Normal 4 4 5 3 3 2" xfId="14043" xr:uid="{8DE81198-DA36-4437-9F45-5B06AC256892}"/>
    <cellStyle name="Normal 4 4 5 3 4" xfId="9825" xr:uid="{F5EA8BDC-F1E7-40A6-B16A-CCBB41C692B4}"/>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CCF90277-2B4F-4289-942F-4E6A120177C8}"/>
    <cellStyle name="Normal 4 4 5 4 2 3" xfId="12383" xr:uid="{40F5E429-9787-4824-B7DD-E92652E4955B}"/>
    <cellStyle name="Normal 4 4 5 4 3" xfId="6006" xr:uid="{00000000-0005-0000-0000-0000E8150000}"/>
    <cellStyle name="Normal 4 4 5 4 3 2" xfId="14456" xr:uid="{F8982915-0E7F-44E9-BBB0-E3E8F553FF98}"/>
    <cellStyle name="Normal 4 4 5 4 4" xfId="10238" xr:uid="{357DD404-6F92-42BC-9C10-42A433820D5A}"/>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B8DFDA06-CD89-49EE-9C88-3DCA596674A4}"/>
    <cellStyle name="Normal 4 4 5 5 2 3" xfId="12796" xr:uid="{06ED54E8-B28F-4E98-B730-023458076977}"/>
    <cellStyle name="Normal 4 4 5 5 3" xfId="6419" xr:uid="{00000000-0005-0000-0000-0000EC150000}"/>
    <cellStyle name="Normal 4 4 5 5 3 2" xfId="14869" xr:uid="{F21D3A7D-4FF9-4FEB-8744-B9624B66FBF0}"/>
    <cellStyle name="Normal 4 4 5 5 4" xfId="10651" xr:uid="{88263CA6-8044-4B76-8043-0D247CF191DB}"/>
    <cellStyle name="Normal 4 4 5 6" xfId="2549" xr:uid="{00000000-0005-0000-0000-0000ED150000}"/>
    <cellStyle name="Normal 4 4 5 6 2" xfId="6832" xr:uid="{00000000-0005-0000-0000-0000EE150000}"/>
    <cellStyle name="Normal 4 4 5 6 2 2" xfId="15282" xr:uid="{6A5E09EF-42DC-4409-89D5-40F36E660CFB}"/>
    <cellStyle name="Normal 4 4 5 6 3" xfId="11064" xr:uid="{5F4BB386-F2FE-43A6-A86B-C887045ED4B4}"/>
    <cellStyle name="Normal 4 4 5 7" xfId="4767" xr:uid="{00000000-0005-0000-0000-0000EF150000}"/>
    <cellStyle name="Normal 4 4 5 7 2" xfId="13217" xr:uid="{E01B2191-9016-4C3D-8F93-D7080DD0FA72}"/>
    <cellStyle name="Normal 4 4 5 8" xfId="8999" xr:uid="{39320053-673E-463F-B02D-3EB4B788D9DC}"/>
    <cellStyle name="Normal 4 4 6" xfId="853" xr:uid="{00000000-0005-0000-0000-0000F0150000}"/>
    <cellStyle name="Normal 4 4 6 2" xfId="3088" xr:uid="{00000000-0005-0000-0000-0000F1150000}"/>
    <cellStyle name="Normal 4 4 6 2 2" xfId="7310" xr:uid="{00000000-0005-0000-0000-0000F2150000}"/>
    <cellStyle name="Normal 4 4 6 2 2 2" xfId="15760" xr:uid="{18A63581-3A9C-434C-A16E-F22C0FA88919}"/>
    <cellStyle name="Normal 4 4 6 2 3" xfId="11542" xr:uid="{D903D25C-297E-47B7-8361-21A55D19FDD1}"/>
    <cellStyle name="Normal 4 4 6 3" xfId="5165" xr:uid="{00000000-0005-0000-0000-0000F3150000}"/>
    <cellStyle name="Normal 4 4 6 3 2" xfId="13615" xr:uid="{5AB7A66F-669E-4232-9C2D-F31E2329E14F}"/>
    <cellStyle name="Normal 4 4 6 4" xfId="9397" xr:uid="{B53B61A3-5976-4EA5-952B-0F4845587BB2}"/>
    <cellStyle name="Normal 4 4 7" xfId="1271" xr:uid="{00000000-0005-0000-0000-0000F4150000}"/>
    <cellStyle name="Normal 4 4 7 2" xfId="3501" xr:uid="{00000000-0005-0000-0000-0000F5150000}"/>
    <cellStyle name="Normal 4 4 7 2 2" xfId="7723" xr:uid="{00000000-0005-0000-0000-0000F6150000}"/>
    <cellStyle name="Normal 4 4 7 2 2 2" xfId="16173" xr:uid="{857D048E-26DC-47E4-B5E4-DB5C3C0FCD78}"/>
    <cellStyle name="Normal 4 4 7 2 3" xfId="11955" xr:uid="{C90F593F-6458-41AE-9684-E4C8D321A0AB}"/>
    <cellStyle name="Normal 4 4 7 3" xfId="5578" xr:uid="{00000000-0005-0000-0000-0000F7150000}"/>
    <cellStyle name="Normal 4 4 7 3 2" xfId="14028" xr:uid="{29C959B6-7F10-48F6-B09B-767404FAA3BB}"/>
    <cellStyle name="Normal 4 4 7 4" xfId="9810" xr:uid="{1DE1C0DD-006D-4C94-8A5F-AEE68D48819F}"/>
    <cellStyle name="Normal 4 4 8" xfId="1684" xr:uid="{00000000-0005-0000-0000-0000F8150000}"/>
    <cellStyle name="Normal 4 4 8 2" xfId="3914" xr:uid="{00000000-0005-0000-0000-0000F9150000}"/>
    <cellStyle name="Normal 4 4 8 2 2" xfId="8136" xr:uid="{00000000-0005-0000-0000-0000FA150000}"/>
    <cellStyle name="Normal 4 4 8 2 2 2" xfId="16586" xr:uid="{CB68C6DC-B1C0-4283-9AA4-B4679EE443A9}"/>
    <cellStyle name="Normal 4 4 8 2 3" xfId="12368" xr:uid="{1F3BD7E0-5486-4A5B-95BC-694722D29500}"/>
    <cellStyle name="Normal 4 4 8 3" xfId="5991" xr:uid="{00000000-0005-0000-0000-0000FB150000}"/>
    <cellStyle name="Normal 4 4 8 3 2" xfId="14441" xr:uid="{311272F2-BC06-42DE-8FB7-649E2165DE84}"/>
    <cellStyle name="Normal 4 4 8 4" xfId="10223" xr:uid="{34F9B1A0-9664-406D-9DA2-58807B281C38}"/>
    <cellStyle name="Normal 4 4 9" xfId="2098" xr:uid="{00000000-0005-0000-0000-0000FC150000}"/>
    <cellStyle name="Normal 4 4 9 2" xfId="4327" xr:uid="{00000000-0005-0000-0000-0000FD150000}"/>
    <cellStyle name="Normal 4 4 9 2 2" xfId="8549" xr:uid="{00000000-0005-0000-0000-0000FE150000}"/>
    <cellStyle name="Normal 4 4 9 2 2 2" xfId="16999" xr:uid="{76BA0845-A6AB-4736-9FE2-98098916B669}"/>
    <cellStyle name="Normal 4 4 9 2 3" xfId="12781" xr:uid="{F02AC7A8-55FD-4AAD-BD8D-6DE5831675EB}"/>
    <cellStyle name="Normal 4 4 9 3" xfId="6404" xr:uid="{00000000-0005-0000-0000-0000FF150000}"/>
    <cellStyle name="Normal 4 4 9 3 2" xfId="14854" xr:uid="{DE9656FD-ADCF-4A48-A2F4-D6BC2E7C63D4}"/>
    <cellStyle name="Normal 4 4 9 4" xfId="10636" xr:uid="{4E92C9BA-0F99-4C66-84D1-1E1350DF0CAC}"/>
    <cellStyle name="Normal 4 5" xfId="394" xr:uid="{00000000-0005-0000-0000-000000160000}"/>
    <cellStyle name="Normal 4 6" xfId="395" xr:uid="{00000000-0005-0000-0000-000001160000}"/>
    <cellStyle name="Normal 4 6 10" xfId="4768" xr:uid="{00000000-0005-0000-0000-000002160000}"/>
    <cellStyle name="Normal 4 6 10 2" xfId="13218" xr:uid="{7470C365-62E8-4858-8722-417D0C56A109}"/>
    <cellStyle name="Normal 4 6 11" xfId="9000" xr:uid="{1BCA22A8-2F70-4362-8D88-6C790A6F1E92}"/>
    <cellStyle name="Normal 4 6 2" xfId="396" xr:uid="{00000000-0005-0000-0000-000003160000}"/>
    <cellStyle name="Normal 4 6 2 10" xfId="9001" xr:uid="{92761AF8-8F81-4B8F-BE54-9E682F50E70B}"/>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E802F469-EB68-4E29-8E47-5A98C1614AC5}"/>
    <cellStyle name="Normal 4 6 2 2 2 2 2 3" xfId="11561" xr:uid="{BF459D24-628C-42D6-92AF-9BCDF98D537F}"/>
    <cellStyle name="Normal 4 6 2 2 2 2 3" xfId="5184" xr:uid="{00000000-0005-0000-0000-000009160000}"/>
    <cellStyle name="Normal 4 6 2 2 2 2 3 2" xfId="13634" xr:uid="{B4AB1314-D153-43EA-BC01-4AB7D4ECFCB5}"/>
    <cellStyle name="Normal 4 6 2 2 2 2 4" xfId="9416" xr:uid="{C83D5BA0-1CCD-4106-A58E-D24CBDD7E1D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7C4BF993-1F67-4804-AFAD-A6BA7DC8ED99}"/>
    <cellStyle name="Normal 4 6 2 2 2 3 2 3" xfId="11974" xr:uid="{2EACCED5-D0C9-4480-8E10-CF922321E590}"/>
    <cellStyle name="Normal 4 6 2 2 2 3 3" xfId="5597" xr:uid="{00000000-0005-0000-0000-00000D160000}"/>
    <cellStyle name="Normal 4 6 2 2 2 3 3 2" xfId="14047" xr:uid="{318BA60C-FC83-4C70-B36E-D3DAA2258A53}"/>
    <cellStyle name="Normal 4 6 2 2 2 3 4" xfId="9829" xr:uid="{EA2D2042-8CBA-4FC3-8D2B-8A142D4B9E03}"/>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1F0F4875-BAED-4C99-B821-1CA700CCCE57}"/>
    <cellStyle name="Normal 4 6 2 2 2 4 2 3" xfId="12387" xr:uid="{51E52330-7352-4BD1-9B31-96A3D6B6FE0A}"/>
    <cellStyle name="Normal 4 6 2 2 2 4 3" xfId="6010" xr:uid="{00000000-0005-0000-0000-000011160000}"/>
    <cellStyle name="Normal 4 6 2 2 2 4 3 2" xfId="14460" xr:uid="{784C8F33-AF43-4F8D-9164-4EE89238BB21}"/>
    <cellStyle name="Normal 4 6 2 2 2 4 4" xfId="10242" xr:uid="{5BA0AA89-2618-431F-8E4B-842792383E7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0662A63D-3AFA-4A1B-8EDD-ACB79294FB01}"/>
    <cellStyle name="Normal 4 6 2 2 2 5 2 3" xfId="12800" xr:uid="{0487F39C-0202-43D8-B38C-14BFFDF963CD}"/>
    <cellStyle name="Normal 4 6 2 2 2 5 3" xfId="6423" xr:uid="{00000000-0005-0000-0000-000015160000}"/>
    <cellStyle name="Normal 4 6 2 2 2 5 3 2" xfId="14873" xr:uid="{8669ED33-CBB6-4F41-8D3B-987A61893314}"/>
    <cellStyle name="Normal 4 6 2 2 2 5 4" xfId="10655" xr:uid="{FF65C652-6C9A-4103-AE0B-6A534FE4CE41}"/>
    <cellStyle name="Normal 4 6 2 2 2 6" xfId="2553" xr:uid="{00000000-0005-0000-0000-000016160000}"/>
    <cellStyle name="Normal 4 6 2 2 2 6 2" xfId="6836" xr:uid="{00000000-0005-0000-0000-000017160000}"/>
    <cellStyle name="Normal 4 6 2 2 2 6 2 2" xfId="15286" xr:uid="{6C3F65F9-0D39-476D-9F3E-2BFE5BA8715A}"/>
    <cellStyle name="Normal 4 6 2 2 2 6 3" xfId="11068" xr:uid="{8319B68F-EBAF-4C85-9A08-81334269C23D}"/>
    <cellStyle name="Normal 4 6 2 2 2 7" xfId="4771" xr:uid="{00000000-0005-0000-0000-000018160000}"/>
    <cellStyle name="Normal 4 6 2 2 2 7 2" xfId="13221" xr:uid="{F9B20722-9C50-4085-9D4F-2D28CC693617}"/>
    <cellStyle name="Normal 4 6 2 2 2 8" xfId="9003" xr:uid="{1539BF22-CBA8-4106-A3FD-EE8BAA186B0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466B54F4-FC6F-4F2D-BD2E-FA6C7A2FC7DE}"/>
    <cellStyle name="Normal 4 6 2 2 3 2 3" xfId="11560" xr:uid="{13C9AC7A-997C-4074-9822-46E1D077BEC8}"/>
    <cellStyle name="Normal 4 6 2 2 3 3" xfId="5183" xr:uid="{00000000-0005-0000-0000-00001C160000}"/>
    <cellStyle name="Normal 4 6 2 2 3 3 2" xfId="13633" xr:uid="{8CF0F59D-1730-424B-B20D-70B2B0FEB47B}"/>
    <cellStyle name="Normal 4 6 2 2 3 4" xfId="9415" xr:uid="{991F68C6-B18A-47F5-8916-311221F81178}"/>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47D47D73-ECA4-45B8-9928-094C44258C8C}"/>
    <cellStyle name="Normal 4 6 2 2 4 2 3" xfId="11973" xr:uid="{3D3EA3DD-B2E5-40B2-9DAA-88CC7BF6360F}"/>
    <cellStyle name="Normal 4 6 2 2 4 3" xfId="5596" xr:uid="{00000000-0005-0000-0000-000020160000}"/>
    <cellStyle name="Normal 4 6 2 2 4 3 2" xfId="14046" xr:uid="{8A8B697C-7A9C-456F-8B42-64033F0AA123}"/>
    <cellStyle name="Normal 4 6 2 2 4 4" xfId="9828" xr:uid="{BC00F6E4-DA71-4F57-BB77-876AA4B9202C}"/>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27387CB3-980C-46A6-956B-07FDE04F33A3}"/>
    <cellStyle name="Normal 4 6 2 2 5 2 3" xfId="12386" xr:uid="{58C0580E-B17E-4E96-90E2-EEEB82D1CD13}"/>
    <cellStyle name="Normal 4 6 2 2 5 3" xfId="6009" xr:uid="{00000000-0005-0000-0000-000024160000}"/>
    <cellStyle name="Normal 4 6 2 2 5 3 2" xfId="14459" xr:uid="{49B8BA3D-B3BB-411B-8A05-CE1399184A7A}"/>
    <cellStyle name="Normal 4 6 2 2 5 4" xfId="10241" xr:uid="{8D3E2B85-6F72-450D-96F7-4AB9613A34E6}"/>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52ABD7B2-1A6C-45D2-A901-C5FAD9299A08}"/>
    <cellStyle name="Normal 4 6 2 2 6 2 3" xfId="12799" xr:uid="{5E927A83-E14E-4104-A811-426E04DBFBB3}"/>
    <cellStyle name="Normal 4 6 2 2 6 3" xfId="6422" xr:uid="{00000000-0005-0000-0000-000028160000}"/>
    <cellStyle name="Normal 4 6 2 2 6 3 2" xfId="14872" xr:uid="{A7FBD141-D962-44B1-B443-5956B7A1628A}"/>
    <cellStyle name="Normal 4 6 2 2 6 4" xfId="10654" xr:uid="{FB7ED267-3A72-4960-9F29-39C235732C95}"/>
    <cellStyle name="Normal 4 6 2 2 7" xfId="2552" xr:uid="{00000000-0005-0000-0000-000029160000}"/>
    <cellStyle name="Normal 4 6 2 2 7 2" xfId="6835" xr:uid="{00000000-0005-0000-0000-00002A160000}"/>
    <cellStyle name="Normal 4 6 2 2 7 2 2" xfId="15285" xr:uid="{BF597EB8-7C05-4070-B93B-C9A0C54F675E}"/>
    <cellStyle name="Normal 4 6 2 2 7 3" xfId="11067" xr:uid="{86590F69-5A3F-4A4E-BCC7-68995AB93E89}"/>
    <cellStyle name="Normal 4 6 2 2 8" xfId="4770" xr:uid="{00000000-0005-0000-0000-00002B160000}"/>
    <cellStyle name="Normal 4 6 2 2 8 2" xfId="13220" xr:uid="{8CD19F01-7686-4F44-B01B-0E67E9A4CE2E}"/>
    <cellStyle name="Normal 4 6 2 2 9" xfId="9002" xr:uid="{099E39AD-A6F9-4CD7-A0A9-A9750DF51005}"/>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0DD4FB31-0538-4971-B9A2-D2D34D5B3DEC}"/>
    <cellStyle name="Normal 4 6 2 3 2 2 3" xfId="11562" xr:uid="{01518CFA-54EF-4A66-B81F-2516141AA1FB}"/>
    <cellStyle name="Normal 4 6 2 3 2 3" xfId="5185" xr:uid="{00000000-0005-0000-0000-000030160000}"/>
    <cellStyle name="Normal 4 6 2 3 2 3 2" xfId="13635" xr:uid="{A44381E8-062F-41D8-AD07-1823602EDE12}"/>
    <cellStyle name="Normal 4 6 2 3 2 4" xfId="9417" xr:uid="{0F0E791B-CF92-4FB9-92FB-39F561C2387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7EC96FE6-55A9-4D1B-8AE7-F2D384010C20}"/>
    <cellStyle name="Normal 4 6 2 3 3 2 3" xfId="11975" xr:uid="{994F58DF-40B4-490C-B9F5-24624DFF3D97}"/>
    <cellStyle name="Normal 4 6 2 3 3 3" xfId="5598" xr:uid="{00000000-0005-0000-0000-000034160000}"/>
    <cellStyle name="Normal 4 6 2 3 3 3 2" xfId="14048" xr:uid="{943C75DB-FCE9-45B7-B4A9-7EADEBFEFCF6}"/>
    <cellStyle name="Normal 4 6 2 3 3 4" xfId="9830" xr:uid="{DF0C618D-80E4-4D3B-8E4F-1FB9DB32F9B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425CD19E-83EC-46A2-838C-8D5DAC3FED55}"/>
    <cellStyle name="Normal 4 6 2 3 4 2 3" xfId="12388" xr:uid="{199E12FD-6491-4AF1-AEF9-18F35FB85E26}"/>
    <cellStyle name="Normal 4 6 2 3 4 3" xfId="6011" xr:uid="{00000000-0005-0000-0000-000038160000}"/>
    <cellStyle name="Normal 4 6 2 3 4 3 2" xfId="14461" xr:uid="{87AC2E8F-0E26-4A70-B6E6-35833E9AA3B5}"/>
    <cellStyle name="Normal 4 6 2 3 4 4" xfId="10243" xr:uid="{D809F9DB-6221-42FB-B7D7-3DE94D29F74A}"/>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420FD8ED-B256-484A-A6A1-6589287DDC5C}"/>
    <cellStyle name="Normal 4 6 2 3 5 2 3" xfId="12801" xr:uid="{6319FC5F-9BDD-4416-96EA-B22879DE760A}"/>
    <cellStyle name="Normal 4 6 2 3 5 3" xfId="6424" xr:uid="{00000000-0005-0000-0000-00003C160000}"/>
    <cellStyle name="Normal 4 6 2 3 5 3 2" xfId="14874" xr:uid="{25AD1122-3E54-4D02-BF24-F52DF58E0B9E}"/>
    <cellStyle name="Normal 4 6 2 3 5 4" xfId="10656" xr:uid="{73AD4BC9-BE1B-4843-A8EE-F428D91BCD89}"/>
    <cellStyle name="Normal 4 6 2 3 6" xfId="2554" xr:uid="{00000000-0005-0000-0000-00003D160000}"/>
    <cellStyle name="Normal 4 6 2 3 6 2" xfId="6837" xr:uid="{00000000-0005-0000-0000-00003E160000}"/>
    <cellStyle name="Normal 4 6 2 3 6 2 2" xfId="15287" xr:uid="{80A16605-00D8-4EE6-9A2A-3FD2F8C15956}"/>
    <cellStyle name="Normal 4 6 2 3 6 3" xfId="11069" xr:uid="{6822D048-F159-41CB-B0A5-91D288EE011B}"/>
    <cellStyle name="Normal 4 6 2 3 7" xfId="4772" xr:uid="{00000000-0005-0000-0000-00003F160000}"/>
    <cellStyle name="Normal 4 6 2 3 7 2" xfId="13222" xr:uid="{23E7E7E7-C770-4BC9-845C-3ADB1141E6A0}"/>
    <cellStyle name="Normal 4 6 2 3 8" xfId="9004" xr:uid="{A0E2D450-EDBA-4B76-B74F-92BA0EF94BB6}"/>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FFD1D5C1-D6B3-4BF4-B62D-B935EEA1CDA9}"/>
    <cellStyle name="Normal 4 6 2 4 2 3" xfId="11559" xr:uid="{782B8C72-E039-49F9-92CD-32D5BD587B8C}"/>
    <cellStyle name="Normal 4 6 2 4 3" xfId="5182" xr:uid="{00000000-0005-0000-0000-000043160000}"/>
    <cellStyle name="Normal 4 6 2 4 3 2" xfId="13632" xr:uid="{FAF413C8-26C9-4937-BDE7-3047DC0EA767}"/>
    <cellStyle name="Normal 4 6 2 4 4" xfId="9414" xr:uid="{27690585-DF93-4C8E-9ACD-84FA64836BA9}"/>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2AC4760C-98B9-4DBE-AAD1-59250F02D032}"/>
    <cellStyle name="Normal 4 6 2 5 2 3" xfId="11972" xr:uid="{61FAB169-052A-463B-B833-E512C811C97B}"/>
    <cellStyle name="Normal 4 6 2 5 3" xfId="5595" xr:uid="{00000000-0005-0000-0000-000047160000}"/>
    <cellStyle name="Normal 4 6 2 5 3 2" xfId="14045" xr:uid="{90D7F2EE-2902-414B-A0DD-C225A339FADF}"/>
    <cellStyle name="Normal 4 6 2 5 4" xfId="9827" xr:uid="{72985CB7-2E1B-448D-B4CD-B1FA2540C4EA}"/>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98C78AFD-C58E-47FA-A63E-DAE584CDC5F9}"/>
    <cellStyle name="Normal 4 6 2 6 2 3" xfId="12385" xr:uid="{659A0AFE-5130-4D18-8B6A-624CF5DC7401}"/>
    <cellStyle name="Normal 4 6 2 6 3" xfId="6008" xr:uid="{00000000-0005-0000-0000-00004B160000}"/>
    <cellStyle name="Normal 4 6 2 6 3 2" xfId="14458" xr:uid="{5E00A8ED-B28D-4032-BE63-CB28A7C7EC82}"/>
    <cellStyle name="Normal 4 6 2 6 4" xfId="10240" xr:uid="{4FB3B3B6-8C10-488E-9F5F-45C4A9896461}"/>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1DF766C2-BC10-40C1-BE41-6BF24BE8E4A2}"/>
    <cellStyle name="Normal 4 6 2 7 2 3" xfId="12798" xr:uid="{5366322D-B5D8-4C9A-902C-8420676F0F67}"/>
    <cellStyle name="Normal 4 6 2 7 3" xfId="6421" xr:uid="{00000000-0005-0000-0000-00004F160000}"/>
    <cellStyle name="Normal 4 6 2 7 3 2" xfId="14871" xr:uid="{43FF94C0-0148-43C3-A99A-6E120857EE85}"/>
    <cellStyle name="Normal 4 6 2 7 4" xfId="10653" xr:uid="{3CACD1DB-3096-4187-93AC-10A456B6D1AB}"/>
    <cellStyle name="Normal 4 6 2 8" xfId="2551" xr:uid="{00000000-0005-0000-0000-000050160000}"/>
    <cellStyle name="Normal 4 6 2 8 2" xfId="6834" xr:uid="{00000000-0005-0000-0000-000051160000}"/>
    <cellStyle name="Normal 4 6 2 8 2 2" xfId="15284" xr:uid="{6FC63B1E-8716-4FC0-B992-81C48DB82FDD}"/>
    <cellStyle name="Normal 4 6 2 8 3" xfId="11066" xr:uid="{51D96F4D-720D-4669-95CC-A806D3BF4663}"/>
    <cellStyle name="Normal 4 6 2 9" xfId="4769" xr:uid="{00000000-0005-0000-0000-000052160000}"/>
    <cellStyle name="Normal 4 6 2 9 2" xfId="13219" xr:uid="{A235246B-8214-46C6-BF9E-870F55D5FB4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504958F5-3488-4204-9F99-655BEDA0DA08}"/>
    <cellStyle name="Normal 4 6 3 2 2 2 3" xfId="11564" xr:uid="{77D5A22B-1B4A-477D-9B23-1CACE8DE0EAA}"/>
    <cellStyle name="Normal 4 6 3 2 2 3" xfId="5187" xr:uid="{00000000-0005-0000-0000-000058160000}"/>
    <cellStyle name="Normal 4 6 3 2 2 3 2" xfId="13637" xr:uid="{ECA26F57-F80C-40D9-8B62-7E28A07F4331}"/>
    <cellStyle name="Normal 4 6 3 2 2 4" xfId="9419" xr:uid="{C9A76CC1-49FE-4412-BE62-4ADE4C4A5066}"/>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6DA73C46-7D14-40ED-A927-153E5B0F6F2C}"/>
    <cellStyle name="Normal 4 6 3 2 3 2 3" xfId="11977" xr:uid="{58630BD0-24BD-42A8-881B-A1D51049FAB3}"/>
    <cellStyle name="Normal 4 6 3 2 3 3" xfId="5600" xr:uid="{00000000-0005-0000-0000-00005C160000}"/>
    <cellStyle name="Normal 4 6 3 2 3 3 2" xfId="14050" xr:uid="{9CD7B263-C33B-452D-BB08-77BC9BDCEE8D}"/>
    <cellStyle name="Normal 4 6 3 2 3 4" xfId="9832" xr:uid="{41E657B1-3A32-41DD-A544-999734518DC5}"/>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94BB7782-FF7A-4E09-8F01-6A3D3A80EDB7}"/>
    <cellStyle name="Normal 4 6 3 2 4 2 3" xfId="12390" xr:uid="{3516BABE-4914-4B3A-B03D-B7A6744936B1}"/>
    <cellStyle name="Normal 4 6 3 2 4 3" xfId="6013" xr:uid="{00000000-0005-0000-0000-000060160000}"/>
    <cellStyle name="Normal 4 6 3 2 4 3 2" xfId="14463" xr:uid="{371CB07B-6586-4FF4-8C02-B8C0740A87DF}"/>
    <cellStyle name="Normal 4 6 3 2 4 4" xfId="10245" xr:uid="{2C03AADD-332D-4561-9699-5C88C2A3D377}"/>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0BCCF8CE-0EA9-4D5B-9483-5DB0D5A1D4F2}"/>
    <cellStyle name="Normal 4 6 3 2 5 2 3" xfId="12803" xr:uid="{EBFB6B4B-FE17-41F3-A583-8466E614BE9A}"/>
    <cellStyle name="Normal 4 6 3 2 5 3" xfId="6426" xr:uid="{00000000-0005-0000-0000-000064160000}"/>
    <cellStyle name="Normal 4 6 3 2 5 3 2" xfId="14876" xr:uid="{A1890471-91DA-4945-8E8F-3CB92D4B988D}"/>
    <cellStyle name="Normal 4 6 3 2 5 4" xfId="10658" xr:uid="{02357602-935B-428B-8021-547ACADD579D}"/>
    <cellStyle name="Normal 4 6 3 2 6" xfId="2556" xr:uid="{00000000-0005-0000-0000-000065160000}"/>
    <cellStyle name="Normal 4 6 3 2 6 2" xfId="6839" xr:uid="{00000000-0005-0000-0000-000066160000}"/>
    <cellStyle name="Normal 4 6 3 2 6 2 2" xfId="15289" xr:uid="{02C99E89-CD56-4B59-AAF3-8C925E46630E}"/>
    <cellStyle name="Normal 4 6 3 2 6 3" xfId="11071" xr:uid="{0AF3DF65-3EDD-4390-BED6-33FBDB1852D9}"/>
    <cellStyle name="Normal 4 6 3 2 7" xfId="4774" xr:uid="{00000000-0005-0000-0000-000067160000}"/>
    <cellStyle name="Normal 4 6 3 2 7 2" xfId="13224" xr:uid="{E4502A2C-4CB1-4034-A672-763AC447802F}"/>
    <cellStyle name="Normal 4 6 3 2 8" xfId="9006" xr:uid="{60445D00-4712-4A5A-8543-AEBD11C4B87F}"/>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7B7D7F27-68B2-4F3F-B096-765B0E3117DF}"/>
    <cellStyle name="Normal 4 6 3 3 2 3" xfId="11563" xr:uid="{116DFC4F-078E-4A2A-8360-E866ADC1F749}"/>
    <cellStyle name="Normal 4 6 3 3 3" xfId="5186" xr:uid="{00000000-0005-0000-0000-00006B160000}"/>
    <cellStyle name="Normal 4 6 3 3 3 2" xfId="13636" xr:uid="{92A347A0-0118-4335-9215-9C7CA8DCCD15}"/>
    <cellStyle name="Normal 4 6 3 3 4" xfId="9418" xr:uid="{BAE45BEF-96C3-4779-8C1B-9BA04767EE6E}"/>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B5E13A3B-DFD7-4EA4-AF88-B35DAD954C6D}"/>
    <cellStyle name="Normal 4 6 3 4 2 3" xfId="11976" xr:uid="{F2D36B76-E318-45D6-8D3C-3CE1183AE866}"/>
    <cellStyle name="Normal 4 6 3 4 3" xfId="5599" xr:uid="{00000000-0005-0000-0000-00006F160000}"/>
    <cellStyle name="Normal 4 6 3 4 3 2" xfId="14049" xr:uid="{BDE9DA10-8FDC-4E23-9758-CE9A28808161}"/>
    <cellStyle name="Normal 4 6 3 4 4" xfId="9831" xr:uid="{E7022D58-CA2E-4E90-B27B-9F3F8E083F32}"/>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EC8AFD3D-D371-49F2-95A2-B621C0C5139B}"/>
    <cellStyle name="Normal 4 6 3 5 2 3" xfId="12389" xr:uid="{CBB1595B-A407-45CD-AF82-C8099EDEB7B6}"/>
    <cellStyle name="Normal 4 6 3 5 3" xfId="6012" xr:uid="{00000000-0005-0000-0000-000073160000}"/>
    <cellStyle name="Normal 4 6 3 5 3 2" xfId="14462" xr:uid="{D58D0A9F-E82D-43EA-AA14-F0562E49B4EB}"/>
    <cellStyle name="Normal 4 6 3 5 4" xfId="10244" xr:uid="{A9D76C36-0FFE-4DF7-8B34-0FBF7D2A2821}"/>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B5D180D4-0738-4B5C-A7FB-E9AE17B18F5D}"/>
    <cellStyle name="Normal 4 6 3 6 2 3" xfId="12802" xr:uid="{54739C85-3650-4338-8069-C9CF408B81C0}"/>
    <cellStyle name="Normal 4 6 3 6 3" xfId="6425" xr:uid="{00000000-0005-0000-0000-000077160000}"/>
    <cellStyle name="Normal 4 6 3 6 3 2" xfId="14875" xr:uid="{D13C6549-51C6-4DCB-877D-F6B1DCAE3B0A}"/>
    <cellStyle name="Normal 4 6 3 6 4" xfId="10657" xr:uid="{40025E4E-7D03-43C6-9677-7B8F6669D641}"/>
    <cellStyle name="Normal 4 6 3 7" xfId="2555" xr:uid="{00000000-0005-0000-0000-000078160000}"/>
    <cellStyle name="Normal 4 6 3 7 2" xfId="6838" xr:uid="{00000000-0005-0000-0000-000079160000}"/>
    <cellStyle name="Normal 4 6 3 7 2 2" xfId="15288" xr:uid="{A67C9F06-A95E-4B3F-A623-53A77D338F01}"/>
    <cellStyle name="Normal 4 6 3 7 3" xfId="11070" xr:uid="{BF3A3B13-B29D-4F9D-9DF1-9F1B926E2ECC}"/>
    <cellStyle name="Normal 4 6 3 8" xfId="4773" xr:uid="{00000000-0005-0000-0000-00007A160000}"/>
    <cellStyle name="Normal 4 6 3 8 2" xfId="13223" xr:uid="{86BA99B0-4672-4FD2-9294-66BE5A312372}"/>
    <cellStyle name="Normal 4 6 3 9" xfId="9005" xr:uid="{0F9D551A-25D0-4C63-9E13-6E6AE89D7CCA}"/>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F72C0898-B407-46FB-9D66-FA2A1A6C325F}"/>
    <cellStyle name="Normal 4 6 4 2 2 3" xfId="11565" xr:uid="{05F1084A-94EE-446B-B285-044AB14AF0A6}"/>
    <cellStyle name="Normal 4 6 4 2 3" xfId="5188" xr:uid="{00000000-0005-0000-0000-00007F160000}"/>
    <cellStyle name="Normal 4 6 4 2 3 2" xfId="13638" xr:uid="{DDFE40F0-B28A-43C8-A798-E2828400E2D0}"/>
    <cellStyle name="Normal 4 6 4 2 4" xfId="9420" xr:uid="{17B4ED46-B18F-4542-8C83-39A6AD8AE7F7}"/>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E820E738-713A-4D09-933C-141FC4B25E15}"/>
    <cellStyle name="Normal 4 6 4 3 2 3" xfId="11978" xr:uid="{D495BA6B-106A-4B27-91B1-94D832E88EAB}"/>
    <cellStyle name="Normal 4 6 4 3 3" xfId="5601" xr:uid="{00000000-0005-0000-0000-000083160000}"/>
    <cellStyle name="Normal 4 6 4 3 3 2" xfId="14051" xr:uid="{406F8C37-0329-4ADD-B5A4-C8030A929CA8}"/>
    <cellStyle name="Normal 4 6 4 3 4" xfId="9833" xr:uid="{3760A41D-7CA8-4B06-9CAB-1464DBA185D3}"/>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5D60E6CA-8654-44EC-A90E-90CBBF84086D}"/>
    <cellStyle name="Normal 4 6 4 4 2 3" xfId="12391" xr:uid="{E351AA78-6A4E-434B-A44E-B66034AD38E5}"/>
    <cellStyle name="Normal 4 6 4 4 3" xfId="6014" xr:uid="{00000000-0005-0000-0000-000087160000}"/>
    <cellStyle name="Normal 4 6 4 4 3 2" xfId="14464" xr:uid="{B323FFDA-2627-451A-8CD5-19970FC73073}"/>
    <cellStyle name="Normal 4 6 4 4 4" xfId="10246" xr:uid="{DACE55C4-EA7F-4B9F-99A8-A5A05D20B6B1}"/>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46D60316-733C-4F20-99CF-B54DA2FC0FF8}"/>
    <cellStyle name="Normal 4 6 4 5 2 3" xfId="12804" xr:uid="{92DB3A2E-B284-4B41-A8B9-FA0EA8A6F800}"/>
    <cellStyle name="Normal 4 6 4 5 3" xfId="6427" xr:uid="{00000000-0005-0000-0000-00008B160000}"/>
    <cellStyle name="Normal 4 6 4 5 3 2" xfId="14877" xr:uid="{2763267A-C418-4B5C-9F3F-9FEE902B738A}"/>
    <cellStyle name="Normal 4 6 4 5 4" xfId="10659" xr:uid="{6A629987-3D5D-40D1-95A3-1B394EBD5A87}"/>
    <cellStyle name="Normal 4 6 4 6" xfId="2557" xr:uid="{00000000-0005-0000-0000-00008C160000}"/>
    <cellStyle name="Normal 4 6 4 6 2" xfId="6840" xr:uid="{00000000-0005-0000-0000-00008D160000}"/>
    <cellStyle name="Normal 4 6 4 6 2 2" xfId="15290" xr:uid="{07FD2E04-ED8D-410F-A1B9-A2104A347A7B}"/>
    <cellStyle name="Normal 4 6 4 6 3" xfId="11072" xr:uid="{2C2E83EC-4ADE-46E9-8772-4D0FF09A5D3B}"/>
    <cellStyle name="Normal 4 6 4 7" xfId="4775" xr:uid="{00000000-0005-0000-0000-00008E160000}"/>
    <cellStyle name="Normal 4 6 4 7 2" xfId="13225" xr:uid="{8E8BF882-4F25-4AE6-8414-6300C7B6F807}"/>
    <cellStyle name="Normal 4 6 4 8" xfId="9007" xr:uid="{50D8DD34-0C4B-45E3-9286-025ED7971FD8}"/>
    <cellStyle name="Normal 4 6 5" xfId="869" xr:uid="{00000000-0005-0000-0000-00008F160000}"/>
    <cellStyle name="Normal 4 6 5 2" xfId="3104" xr:uid="{00000000-0005-0000-0000-000090160000}"/>
    <cellStyle name="Normal 4 6 5 2 2" xfId="7326" xr:uid="{00000000-0005-0000-0000-000091160000}"/>
    <cellStyle name="Normal 4 6 5 2 2 2" xfId="15776" xr:uid="{5B00036E-DB97-47A4-A603-CA7C6765BDE8}"/>
    <cellStyle name="Normal 4 6 5 2 3" xfId="11558" xr:uid="{4C76ADEB-0680-46CE-8117-2C4E66268267}"/>
    <cellStyle name="Normal 4 6 5 3" xfId="5181" xr:uid="{00000000-0005-0000-0000-000092160000}"/>
    <cellStyle name="Normal 4 6 5 3 2" xfId="13631" xr:uid="{7AD3EBC5-20F2-44C8-B5B7-92676B4723A6}"/>
    <cellStyle name="Normal 4 6 5 4" xfId="9413" xr:uid="{B88790BA-0EA4-4737-AA70-2E98E4FB0793}"/>
    <cellStyle name="Normal 4 6 6" xfId="1287" xr:uid="{00000000-0005-0000-0000-000093160000}"/>
    <cellStyle name="Normal 4 6 6 2" xfId="3517" xr:uid="{00000000-0005-0000-0000-000094160000}"/>
    <cellStyle name="Normal 4 6 6 2 2" xfId="7739" xr:uid="{00000000-0005-0000-0000-000095160000}"/>
    <cellStyle name="Normal 4 6 6 2 2 2" xfId="16189" xr:uid="{E0592E47-E0C9-4122-930D-72FF20F51F6D}"/>
    <cellStyle name="Normal 4 6 6 2 3" xfId="11971" xr:uid="{25CD6ACE-57CF-48E9-932E-D77EE0492636}"/>
    <cellStyle name="Normal 4 6 6 3" xfId="5594" xr:uid="{00000000-0005-0000-0000-000096160000}"/>
    <cellStyle name="Normal 4 6 6 3 2" xfId="14044" xr:uid="{152FA880-5643-425D-8E8C-64B08CA7B5B0}"/>
    <cellStyle name="Normal 4 6 6 4" xfId="9826" xr:uid="{5C5BE7AC-672B-47E8-AE08-21A83242EC61}"/>
    <cellStyle name="Normal 4 6 7" xfId="1700" xr:uid="{00000000-0005-0000-0000-000097160000}"/>
    <cellStyle name="Normal 4 6 7 2" xfId="3930" xr:uid="{00000000-0005-0000-0000-000098160000}"/>
    <cellStyle name="Normal 4 6 7 2 2" xfId="8152" xr:uid="{00000000-0005-0000-0000-000099160000}"/>
    <cellStyle name="Normal 4 6 7 2 2 2" xfId="16602" xr:uid="{88B8761C-7C9A-43F7-B170-7EC4522C1817}"/>
    <cellStyle name="Normal 4 6 7 2 3" xfId="12384" xr:uid="{CECA00FF-D5FA-4E73-B74F-7116E555C6C1}"/>
    <cellStyle name="Normal 4 6 7 3" xfId="6007" xr:uid="{00000000-0005-0000-0000-00009A160000}"/>
    <cellStyle name="Normal 4 6 7 3 2" xfId="14457" xr:uid="{891E429A-7499-4F59-AC07-5464A32CFD2C}"/>
    <cellStyle name="Normal 4 6 7 4" xfId="10239" xr:uid="{D1131E8F-762A-46C3-9A26-45370832751F}"/>
    <cellStyle name="Normal 4 6 8" xfId="2114" xr:uid="{00000000-0005-0000-0000-00009B160000}"/>
    <cellStyle name="Normal 4 6 8 2" xfId="4343" xr:uid="{00000000-0005-0000-0000-00009C160000}"/>
    <cellStyle name="Normal 4 6 8 2 2" xfId="8565" xr:uid="{00000000-0005-0000-0000-00009D160000}"/>
    <cellStyle name="Normal 4 6 8 2 2 2" xfId="17015" xr:uid="{6A5A6B9E-71D4-4126-BC54-ED213BD7B914}"/>
    <cellStyle name="Normal 4 6 8 2 3" xfId="12797" xr:uid="{7ED70CE3-96CD-40CB-87DE-36218DB3C8A8}"/>
    <cellStyle name="Normal 4 6 8 3" xfId="6420" xr:uid="{00000000-0005-0000-0000-00009E160000}"/>
    <cellStyle name="Normal 4 6 8 3 2" xfId="14870" xr:uid="{F3E77337-5B7A-43A5-A46A-FEB1A6BE2BF0}"/>
    <cellStyle name="Normal 4 6 8 4" xfId="10652" xr:uid="{43AA8F37-A5E3-43C3-AEBA-91260992F7E7}"/>
    <cellStyle name="Normal 4 6 9" xfId="2550" xr:uid="{00000000-0005-0000-0000-00009F160000}"/>
    <cellStyle name="Normal 4 6 9 2" xfId="6833" xr:uid="{00000000-0005-0000-0000-0000A0160000}"/>
    <cellStyle name="Normal 4 6 9 2 2" xfId="15283" xr:uid="{5D50AC59-23B9-4D9C-94BC-E6402BDB64CE}"/>
    <cellStyle name="Normal 4 6 9 3" xfId="11065" xr:uid="{64B4EA0A-0578-422B-B8AB-1236592B199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3A781CD8-97F6-4365-A8EA-479CD078F22B}"/>
    <cellStyle name="Normal 4 7 2 2 2 3" xfId="11567" xr:uid="{DBB19C1D-BC3C-4016-B336-B9BB30F9872C}"/>
    <cellStyle name="Normal 4 7 2 2 3" xfId="5190" xr:uid="{00000000-0005-0000-0000-0000A6160000}"/>
    <cellStyle name="Normal 4 7 2 2 3 2" xfId="13640" xr:uid="{D623E121-7D54-41F4-9503-06B526CDCB29}"/>
    <cellStyle name="Normal 4 7 2 2 4" xfId="9422" xr:uid="{0B9BF771-BB46-459C-8729-9D5FE9C07D77}"/>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0C95D157-3037-472E-988E-E0877CB27562}"/>
    <cellStyle name="Normal 4 7 2 3 2 3" xfId="11980" xr:uid="{CF40E377-AC96-4081-BE62-638E418FA6E2}"/>
    <cellStyle name="Normal 4 7 2 3 3" xfId="5603" xr:uid="{00000000-0005-0000-0000-0000AA160000}"/>
    <cellStyle name="Normal 4 7 2 3 3 2" xfId="14053" xr:uid="{15F0AC0D-2BD9-4BB1-A20E-25038EF7FAE3}"/>
    <cellStyle name="Normal 4 7 2 3 4" xfId="9835" xr:uid="{BB21F2FB-7A05-465F-9C70-BB15BFF0888F}"/>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073D78DD-19DB-4DBA-9F1C-2EBACEAD49B1}"/>
    <cellStyle name="Normal 4 7 2 4 2 3" xfId="12393" xr:uid="{D101D6E5-4338-469C-90A2-34B8E62A24E1}"/>
    <cellStyle name="Normal 4 7 2 4 3" xfId="6016" xr:uid="{00000000-0005-0000-0000-0000AE160000}"/>
    <cellStyle name="Normal 4 7 2 4 3 2" xfId="14466" xr:uid="{66B19DCA-118D-45F6-BBE5-7E6A901FA209}"/>
    <cellStyle name="Normal 4 7 2 4 4" xfId="10248" xr:uid="{21C27F0F-0AF4-4CA5-936E-D314B94C2A9D}"/>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1A62110C-9A52-47DE-8259-507F81CD9830}"/>
    <cellStyle name="Normal 4 7 2 5 2 3" xfId="12806" xr:uid="{0BEA00E9-C609-4F34-ACBE-BD3C4801B1E9}"/>
    <cellStyle name="Normal 4 7 2 5 3" xfId="6429" xr:uid="{00000000-0005-0000-0000-0000B2160000}"/>
    <cellStyle name="Normal 4 7 2 5 3 2" xfId="14879" xr:uid="{D5A99CCF-65AE-4661-8236-DF54CF9AF192}"/>
    <cellStyle name="Normal 4 7 2 5 4" xfId="10661" xr:uid="{789796CA-A2F5-41B9-9DEE-9CF74BEB9AA7}"/>
    <cellStyle name="Normal 4 7 2 6" xfId="2559" xr:uid="{00000000-0005-0000-0000-0000B3160000}"/>
    <cellStyle name="Normal 4 7 2 6 2" xfId="6842" xr:uid="{00000000-0005-0000-0000-0000B4160000}"/>
    <cellStyle name="Normal 4 7 2 6 2 2" xfId="15292" xr:uid="{212CD5A5-BC07-4D3F-8936-5C084014CFAE}"/>
    <cellStyle name="Normal 4 7 2 6 3" xfId="11074" xr:uid="{521374A9-B8B2-4712-B8CF-CDDC3E5AC8DB}"/>
    <cellStyle name="Normal 4 7 2 7" xfId="4777" xr:uid="{00000000-0005-0000-0000-0000B5160000}"/>
    <cellStyle name="Normal 4 7 2 7 2" xfId="13227" xr:uid="{F7003334-5B98-49A7-A5D0-E747B0CE2DF7}"/>
    <cellStyle name="Normal 4 7 2 8" xfId="9009" xr:uid="{F75BE49D-1D58-44E2-9922-4D2FA96FC6BB}"/>
    <cellStyle name="Normal 4 7 3" xfId="877" xr:uid="{00000000-0005-0000-0000-0000B6160000}"/>
    <cellStyle name="Normal 4 7 3 2" xfId="3112" xr:uid="{00000000-0005-0000-0000-0000B7160000}"/>
    <cellStyle name="Normal 4 7 3 2 2" xfId="7334" xr:uid="{00000000-0005-0000-0000-0000B8160000}"/>
    <cellStyle name="Normal 4 7 3 2 2 2" xfId="15784" xr:uid="{7D50D49B-5B7D-46BD-B5D9-B2226D56DD68}"/>
    <cellStyle name="Normal 4 7 3 2 3" xfId="11566" xr:uid="{1FD1C573-29C1-458E-8325-A999C8371EBA}"/>
    <cellStyle name="Normal 4 7 3 3" xfId="5189" xr:uid="{00000000-0005-0000-0000-0000B9160000}"/>
    <cellStyle name="Normal 4 7 3 3 2" xfId="13639" xr:uid="{779D2E0A-71B3-4F5A-BFDB-62F5B088BAAD}"/>
    <cellStyle name="Normal 4 7 3 4" xfId="9421" xr:uid="{1C133774-AB08-4DD7-992C-7212DFD044EE}"/>
    <cellStyle name="Normal 4 7 4" xfId="1295" xr:uid="{00000000-0005-0000-0000-0000BA160000}"/>
    <cellStyle name="Normal 4 7 4 2" xfId="3525" xr:uid="{00000000-0005-0000-0000-0000BB160000}"/>
    <cellStyle name="Normal 4 7 4 2 2" xfId="7747" xr:uid="{00000000-0005-0000-0000-0000BC160000}"/>
    <cellStyle name="Normal 4 7 4 2 2 2" xfId="16197" xr:uid="{EADE7E03-9DA0-4E49-9D20-22969E1E4240}"/>
    <cellStyle name="Normal 4 7 4 2 3" xfId="11979" xr:uid="{92A7F8B6-0B10-4346-ABF8-325C4DE0FA6F}"/>
    <cellStyle name="Normal 4 7 4 3" xfId="5602" xr:uid="{00000000-0005-0000-0000-0000BD160000}"/>
    <cellStyle name="Normal 4 7 4 3 2" xfId="14052" xr:uid="{63966ED5-8F86-4147-9B67-4709AF5A7F20}"/>
    <cellStyle name="Normal 4 7 4 4" xfId="9834" xr:uid="{7D66760B-3B83-40E5-A3DF-D4A8D514C235}"/>
    <cellStyle name="Normal 4 7 5" xfId="1708" xr:uid="{00000000-0005-0000-0000-0000BE160000}"/>
    <cellStyle name="Normal 4 7 5 2" xfId="3938" xr:uid="{00000000-0005-0000-0000-0000BF160000}"/>
    <cellStyle name="Normal 4 7 5 2 2" xfId="8160" xr:uid="{00000000-0005-0000-0000-0000C0160000}"/>
    <cellStyle name="Normal 4 7 5 2 2 2" xfId="16610" xr:uid="{18E126C1-F9B6-47D5-8D2E-9B5C5F02BB78}"/>
    <cellStyle name="Normal 4 7 5 2 3" xfId="12392" xr:uid="{B7C2EDAF-A79D-41D2-8257-D708F493B2F3}"/>
    <cellStyle name="Normal 4 7 5 3" xfId="6015" xr:uid="{00000000-0005-0000-0000-0000C1160000}"/>
    <cellStyle name="Normal 4 7 5 3 2" xfId="14465" xr:uid="{FEA9906B-5E5B-4DD3-9AC6-1639A8832261}"/>
    <cellStyle name="Normal 4 7 5 4" xfId="10247" xr:uid="{E3FA5428-3973-4FFA-839F-DB4ADE247594}"/>
    <cellStyle name="Normal 4 7 6" xfId="2122" xr:uid="{00000000-0005-0000-0000-0000C2160000}"/>
    <cellStyle name="Normal 4 7 6 2" xfId="4351" xr:uid="{00000000-0005-0000-0000-0000C3160000}"/>
    <cellStyle name="Normal 4 7 6 2 2" xfId="8573" xr:uid="{00000000-0005-0000-0000-0000C4160000}"/>
    <cellStyle name="Normal 4 7 6 2 2 2" xfId="17023" xr:uid="{B12CCBA3-6659-4E46-B55D-CF3219EF78E8}"/>
    <cellStyle name="Normal 4 7 6 2 3" xfId="12805" xr:uid="{07EE26E7-49E1-4B39-AD78-593444F93CD4}"/>
    <cellStyle name="Normal 4 7 6 3" xfId="6428" xr:uid="{00000000-0005-0000-0000-0000C5160000}"/>
    <cellStyle name="Normal 4 7 6 3 2" xfId="14878" xr:uid="{D9FB8CDC-443C-47C6-8319-56E074D4704D}"/>
    <cellStyle name="Normal 4 7 6 4" xfId="10660" xr:uid="{68DEDBB0-645D-47F0-B083-2A183223C98C}"/>
    <cellStyle name="Normal 4 7 7" xfId="2558" xr:uid="{00000000-0005-0000-0000-0000C6160000}"/>
    <cellStyle name="Normal 4 7 7 2" xfId="6841" xr:uid="{00000000-0005-0000-0000-0000C7160000}"/>
    <cellStyle name="Normal 4 7 7 2 2" xfId="15291" xr:uid="{27EBDCB8-427A-4680-9D2D-365BC9FEB621}"/>
    <cellStyle name="Normal 4 7 7 3" xfId="11073" xr:uid="{FA0D745B-DB91-4094-AA8E-40B0D41FA6C2}"/>
    <cellStyle name="Normal 4 7 8" xfId="4776" xr:uid="{00000000-0005-0000-0000-0000C8160000}"/>
    <cellStyle name="Normal 4 7 8 2" xfId="13226" xr:uid="{3ECE1F20-FE8C-4BAC-8BF9-8126B1D0BBD0}"/>
    <cellStyle name="Normal 4 7 9" xfId="9008" xr:uid="{F35E552C-700B-44D6-828F-F6334BE6E14E}"/>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4F494A3F-1DC2-4EF4-A6DA-C44EBF03724F}"/>
    <cellStyle name="Normal 4 8 2 2 3" xfId="11568" xr:uid="{ABA67939-2076-42A2-8FC9-7035C5A6F5A4}"/>
    <cellStyle name="Normal 4 8 2 3" xfId="5191" xr:uid="{00000000-0005-0000-0000-0000CD160000}"/>
    <cellStyle name="Normal 4 8 2 3 2" xfId="13641" xr:uid="{B559075F-A6B6-41A7-99BE-F501AFFB245F}"/>
    <cellStyle name="Normal 4 8 2 4" xfId="9423" xr:uid="{CD258182-F5A8-4AD9-94FA-841C388051C4}"/>
    <cellStyle name="Normal 4 8 3" xfId="1297" xr:uid="{00000000-0005-0000-0000-0000CE160000}"/>
    <cellStyle name="Normal 4 8 3 2" xfId="3527" xr:uid="{00000000-0005-0000-0000-0000CF160000}"/>
    <cellStyle name="Normal 4 8 3 2 2" xfId="7749" xr:uid="{00000000-0005-0000-0000-0000D0160000}"/>
    <cellStyle name="Normal 4 8 3 2 2 2" xfId="16199" xr:uid="{01941D53-44EA-49B7-B95C-4D52BEE7F438}"/>
    <cellStyle name="Normal 4 8 3 2 3" xfId="11981" xr:uid="{99DF9CFF-DA25-4F49-8DE5-48E4D8C91C07}"/>
    <cellStyle name="Normal 4 8 3 3" xfId="5604" xr:uid="{00000000-0005-0000-0000-0000D1160000}"/>
    <cellStyle name="Normal 4 8 3 3 2" xfId="14054" xr:uid="{2AD61EF5-C97E-4103-A9DA-2C53E326E327}"/>
    <cellStyle name="Normal 4 8 3 4" xfId="9836" xr:uid="{C48C2CA5-4D6B-411D-A341-2FAF0C1864C6}"/>
    <cellStyle name="Normal 4 8 4" xfId="1710" xr:uid="{00000000-0005-0000-0000-0000D2160000}"/>
    <cellStyle name="Normal 4 8 4 2" xfId="3940" xr:uid="{00000000-0005-0000-0000-0000D3160000}"/>
    <cellStyle name="Normal 4 8 4 2 2" xfId="8162" xr:uid="{00000000-0005-0000-0000-0000D4160000}"/>
    <cellStyle name="Normal 4 8 4 2 2 2" xfId="16612" xr:uid="{C21AE8C6-05CA-4134-A7FC-EA176E8482E2}"/>
    <cellStyle name="Normal 4 8 4 2 3" xfId="12394" xr:uid="{DB7BB0C2-8606-4B6B-A1F3-DFD180D73580}"/>
    <cellStyle name="Normal 4 8 4 3" xfId="6017" xr:uid="{00000000-0005-0000-0000-0000D5160000}"/>
    <cellStyle name="Normal 4 8 4 3 2" xfId="14467" xr:uid="{7A1BC433-FD9F-4156-983F-FAA36683B741}"/>
    <cellStyle name="Normal 4 8 4 4" xfId="10249" xr:uid="{3D8A23E8-5BD2-4F02-86AE-3B8EED404AE4}"/>
    <cellStyle name="Normal 4 8 5" xfId="2124" xr:uid="{00000000-0005-0000-0000-0000D6160000}"/>
    <cellStyle name="Normal 4 8 5 2" xfId="4353" xr:uid="{00000000-0005-0000-0000-0000D7160000}"/>
    <cellStyle name="Normal 4 8 5 2 2" xfId="8575" xr:uid="{00000000-0005-0000-0000-0000D8160000}"/>
    <cellStyle name="Normal 4 8 5 2 2 2" xfId="17025" xr:uid="{9C4E7323-7F45-4250-B8AB-DCBD8D6EDC14}"/>
    <cellStyle name="Normal 4 8 5 2 3" xfId="12807" xr:uid="{9E0A4F6A-783D-4CE7-A103-9146BD0D9856}"/>
    <cellStyle name="Normal 4 8 5 3" xfId="6430" xr:uid="{00000000-0005-0000-0000-0000D9160000}"/>
    <cellStyle name="Normal 4 8 5 3 2" xfId="14880" xr:uid="{2F28B012-30CB-4D24-AC04-169D516968F1}"/>
    <cellStyle name="Normal 4 8 5 4" xfId="10662" xr:uid="{57A1DBA2-60F0-4475-8FBB-F6252BB73DAA}"/>
    <cellStyle name="Normal 4 8 6" xfId="2560" xr:uid="{00000000-0005-0000-0000-0000DA160000}"/>
    <cellStyle name="Normal 4 8 6 2" xfId="6843" xr:uid="{00000000-0005-0000-0000-0000DB160000}"/>
    <cellStyle name="Normal 4 8 6 2 2" xfId="15293" xr:uid="{5C1862F8-FED4-46F9-99EC-91CF2932FAC6}"/>
    <cellStyle name="Normal 4 8 6 3" xfId="11075" xr:uid="{F4E96EB7-9D96-407A-8746-3572ACA668DE}"/>
    <cellStyle name="Normal 4 8 7" xfId="4778" xr:uid="{00000000-0005-0000-0000-0000DC160000}"/>
    <cellStyle name="Normal 4 8 7 2" xfId="13228" xr:uid="{B3DCEB76-B0B5-4285-8DE4-B2AF84DA966F}"/>
    <cellStyle name="Normal 4 8 8" xfId="9010" xr:uid="{5ECFA346-B83A-4898-BA53-C15C8AF349F2}"/>
    <cellStyle name="Normal 4 9" xfId="4715" xr:uid="{00000000-0005-0000-0000-0000DD160000}"/>
    <cellStyle name="Normal 4 9 2" xfId="13165" xr:uid="{0C4D640D-9B5E-4D52-82D2-B89EE9EDD553}"/>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D8A16A7B-6339-4F22-B903-139F524584B0}"/>
    <cellStyle name="Normal 5 10 2 3" xfId="12395" xr:uid="{8FA8C267-BA38-44F8-A722-43B64760AB32}"/>
    <cellStyle name="Normal 5 10 3" xfId="6018" xr:uid="{00000000-0005-0000-0000-0000E2160000}"/>
    <cellStyle name="Normal 5 10 3 2" xfId="14468" xr:uid="{83421347-1200-4699-A1A4-A5AAACB3A2F2}"/>
    <cellStyle name="Normal 5 10 4" xfId="10250" xr:uid="{BABC34DA-F634-407B-B4DD-4E68E7F16619}"/>
    <cellStyle name="Normal 5 11" xfId="2125" xr:uid="{00000000-0005-0000-0000-0000E3160000}"/>
    <cellStyle name="Normal 5 11 2" xfId="4354" xr:uid="{00000000-0005-0000-0000-0000E4160000}"/>
    <cellStyle name="Normal 5 11 2 2" xfId="8576" xr:uid="{00000000-0005-0000-0000-0000E5160000}"/>
    <cellStyle name="Normal 5 11 2 2 2" xfId="17026" xr:uid="{122C7BCC-5B91-4438-B419-03F5B96486DB}"/>
    <cellStyle name="Normal 5 11 2 3" xfId="12808" xr:uid="{CACEB079-FD74-47A9-B132-2E01FFFE9BF0}"/>
    <cellStyle name="Normal 5 11 3" xfId="6431" xr:uid="{00000000-0005-0000-0000-0000E6160000}"/>
    <cellStyle name="Normal 5 11 3 2" xfId="14881" xr:uid="{CB05B848-14C8-4621-A964-1C60229B4C06}"/>
    <cellStyle name="Normal 5 11 4" xfId="10663" xr:uid="{3F42ED94-B0ED-4CF8-8C37-AC6DFAF8EDDC}"/>
    <cellStyle name="Normal 5 12" xfId="2561" xr:uid="{00000000-0005-0000-0000-0000E7160000}"/>
    <cellStyle name="Normal 5 12 2" xfId="6844" xr:uid="{00000000-0005-0000-0000-0000E8160000}"/>
    <cellStyle name="Normal 5 12 2 2" xfId="15294" xr:uid="{D563A57D-8FEC-4AEB-B3D7-C802E829CA2F}"/>
    <cellStyle name="Normal 5 12 3" xfId="11076" xr:uid="{844D25CD-BBEF-482D-B0B1-0A1338241A6A}"/>
    <cellStyle name="Normal 5 13" xfId="4779" xr:uid="{00000000-0005-0000-0000-0000E9160000}"/>
    <cellStyle name="Normal 5 13 2" xfId="13229" xr:uid="{CCD56969-5F0C-4576-80CF-602F41DF2F4C}"/>
    <cellStyle name="Normal 5 14" xfId="9011" xr:uid="{E351485B-B17C-4D49-B6B6-FBC824C6126A}"/>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CBBF42B2-5096-4CBB-9253-3AD9E9544EAF}"/>
    <cellStyle name="Normal 5 2 10 2 3" xfId="12809" xr:uid="{413635DA-198F-4BE8-8153-C8512802D273}"/>
    <cellStyle name="Normal 5 2 10 3" xfId="6432" xr:uid="{00000000-0005-0000-0000-0000EE160000}"/>
    <cellStyle name="Normal 5 2 10 3 2" xfId="14882" xr:uid="{56D1A5FE-68FC-4655-96AE-8DE1AF908182}"/>
    <cellStyle name="Normal 5 2 10 4" xfId="10664" xr:uid="{5C5F836F-56B4-4218-A1CE-7A3F0FA9FFEF}"/>
    <cellStyle name="Normal 5 2 11" xfId="2562" xr:uid="{00000000-0005-0000-0000-0000EF160000}"/>
    <cellStyle name="Normal 5 2 11 2" xfId="6845" xr:uid="{00000000-0005-0000-0000-0000F0160000}"/>
    <cellStyle name="Normal 5 2 11 2 2" xfId="15295" xr:uid="{CF7DC3BD-1CC7-4958-8B1F-D69CA66E2D63}"/>
    <cellStyle name="Normal 5 2 11 3" xfId="11077" xr:uid="{4DD65BA5-8AC3-474D-AC72-B7AF0D1B2AFC}"/>
    <cellStyle name="Normal 5 2 12" xfId="4780" xr:uid="{00000000-0005-0000-0000-0000F1160000}"/>
    <cellStyle name="Normal 5 2 12 2" xfId="13230" xr:uid="{79B7D457-ED38-4D7B-AC56-1D1F3676D04A}"/>
    <cellStyle name="Normal 5 2 13" xfId="9012" xr:uid="{3FBD3449-3061-4439-A29A-73CBAD3187E5}"/>
    <cellStyle name="Normal 5 2 2" xfId="408" xr:uid="{00000000-0005-0000-0000-0000F2160000}"/>
    <cellStyle name="Normal 5 2 2 10" xfId="2563" xr:uid="{00000000-0005-0000-0000-0000F3160000}"/>
    <cellStyle name="Normal 5 2 2 10 2" xfId="6846" xr:uid="{00000000-0005-0000-0000-0000F4160000}"/>
    <cellStyle name="Normal 5 2 2 10 2 2" xfId="15296" xr:uid="{4A153236-D0B1-4C13-8B85-2B170DDF3C21}"/>
    <cellStyle name="Normal 5 2 2 10 3" xfId="11078" xr:uid="{1D710044-EEDD-44CF-86D6-25753163C552}"/>
    <cellStyle name="Normal 5 2 2 11" xfId="4781" xr:uid="{00000000-0005-0000-0000-0000F5160000}"/>
    <cellStyle name="Normal 5 2 2 11 2" xfId="13231" xr:uid="{7AAD086C-64CA-45E5-832D-05F3AC5481F5}"/>
    <cellStyle name="Normal 5 2 2 12" xfId="9013" xr:uid="{83EC0289-07B0-4246-9C42-2ABC53E2898A}"/>
    <cellStyle name="Normal 5 2 2 2" xfId="409" xr:uid="{00000000-0005-0000-0000-0000F6160000}"/>
    <cellStyle name="Normal 5 2 2 2 10" xfId="4782" xr:uid="{00000000-0005-0000-0000-0000F7160000}"/>
    <cellStyle name="Normal 5 2 2 2 10 2" xfId="13232" xr:uid="{C94487B2-7DF9-4089-9470-5DA18A361AA1}"/>
    <cellStyle name="Normal 5 2 2 2 11" xfId="9014" xr:uid="{39C21317-3C3A-4A2F-8370-5185670F6B24}"/>
    <cellStyle name="Normal 5 2 2 2 2" xfId="410" xr:uid="{00000000-0005-0000-0000-0000F8160000}"/>
    <cellStyle name="Normal 5 2 2 2 2 10" xfId="9015" xr:uid="{9E9ECAC1-8B0D-45F1-BE7F-A91334A95F6B}"/>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94AFCFCB-166A-4ED6-BBB0-A1AC6CEC0DD7}"/>
    <cellStyle name="Normal 5 2 2 2 2 2 2 2 2 3" xfId="11575" xr:uid="{C93D8AEB-2CF4-4FCB-A158-1A487CB859B4}"/>
    <cellStyle name="Normal 5 2 2 2 2 2 2 2 3" xfId="5198" xr:uid="{00000000-0005-0000-0000-0000FE160000}"/>
    <cellStyle name="Normal 5 2 2 2 2 2 2 2 3 2" xfId="13648" xr:uid="{99E25DA4-6017-4ACE-9E58-46FF2E587C93}"/>
    <cellStyle name="Normal 5 2 2 2 2 2 2 2 4" xfId="9430" xr:uid="{10473744-F55C-4870-AFFB-19BCDF0C97E6}"/>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4DDAF9E7-AD6A-4146-879F-14123535B5D0}"/>
    <cellStyle name="Normal 5 2 2 2 2 2 2 3 2 3" xfId="11988" xr:uid="{0D552F5B-5200-484E-BBDD-98C689613FEC}"/>
    <cellStyle name="Normal 5 2 2 2 2 2 2 3 3" xfId="5611" xr:uid="{00000000-0005-0000-0000-000002170000}"/>
    <cellStyle name="Normal 5 2 2 2 2 2 2 3 3 2" xfId="14061" xr:uid="{90760BB1-6A03-4C33-A06B-1FEEC9FCC619}"/>
    <cellStyle name="Normal 5 2 2 2 2 2 2 3 4" xfId="9843" xr:uid="{8F8BC3C8-8A82-4505-AF98-9E9C385F01FF}"/>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A5BAF6B4-3A67-43F5-A253-C69A9E3F4149}"/>
    <cellStyle name="Normal 5 2 2 2 2 2 2 4 2 3" xfId="12401" xr:uid="{6B02F504-32EC-49F0-AC78-E96634AC8AF0}"/>
    <cellStyle name="Normal 5 2 2 2 2 2 2 4 3" xfId="6024" xr:uid="{00000000-0005-0000-0000-000006170000}"/>
    <cellStyle name="Normal 5 2 2 2 2 2 2 4 3 2" xfId="14474" xr:uid="{400A6FFA-9274-4AC8-AEAF-3669A39B38CE}"/>
    <cellStyle name="Normal 5 2 2 2 2 2 2 4 4" xfId="10256" xr:uid="{E05C64B2-EEF1-4F56-ACA3-AA79EBFFAA86}"/>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FDD9E337-5179-4499-8BC8-CB9D79CEE1AE}"/>
    <cellStyle name="Normal 5 2 2 2 2 2 2 5 2 3" xfId="12814" xr:uid="{40F56A42-6E38-41B6-B5E1-8CE42E9D4EA5}"/>
    <cellStyle name="Normal 5 2 2 2 2 2 2 5 3" xfId="6437" xr:uid="{00000000-0005-0000-0000-00000A170000}"/>
    <cellStyle name="Normal 5 2 2 2 2 2 2 5 3 2" xfId="14887" xr:uid="{6AC692B0-19B4-45C0-A6F4-AB4CF0FDAE79}"/>
    <cellStyle name="Normal 5 2 2 2 2 2 2 5 4" xfId="10669" xr:uid="{7C96883B-8383-4B8F-A0C0-0A87B61A252D}"/>
    <cellStyle name="Normal 5 2 2 2 2 2 2 6" xfId="2567" xr:uid="{00000000-0005-0000-0000-00000B170000}"/>
    <cellStyle name="Normal 5 2 2 2 2 2 2 6 2" xfId="6850" xr:uid="{00000000-0005-0000-0000-00000C170000}"/>
    <cellStyle name="Normal 5 2 2 2 2 2 2 6 2 2" xfId="15300" xr:uid="{16966BFE-811F-4FC3-9CA9-5958D1A95C12}"/>
    <cellStyle name="Normal 5 2 2 2 2 2 2 6 3" xfId="11082" xr:uid="{B9931056-D8C0-4F89-9D2B-99DBDD20F5A1}"/>
    <cellStyle name="Normal 5 2 2 2 2 2 2 7" xfId="4785" xr:uid="{00000000-0005-0000-0000-00000D170000}"/>
    <cellStyle name="Normal 5 2 2 2 2 2 2 7 2" xfId="13235" xr:uid="{61EDB6DD-EB5E-44C4-958F-F462FE02A181}"/>
    <cellStyle name="Normal 5 2 2 2 2 2 2 8" xfId="9017" xr:uid="{5DB938C4-1632-4C1F-8294-0CA5E599A70D}"/>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3817BD94-112D-48AD-91D3-81282D979BCB}"/>
    <cellStyle name="Normal 5 2 2 2 2 2 3 2 3" xfId="11574" xr:uid="{C8BE17DE-4C7B-44D6-87DA-097B64990759}"/>
    <cellStyle name="Normal 5 2 2 2 2 2 3 3" xfId="5197" xr:uid="{00000000-0005-0000-0000-000011170000}"/>
    <cellStyle name="Normal 5 2 2 2 2 2 3 3 2" xfId="13647" xr:uid="{BCE5F163-0A67-40EC-A011-172DB9AF36AC}"/>
    <cellStyle name="Normal 5 2 2 2 2 2 3 4" xfId="9429" xr:uid="{63B08096-A90E-4A13-9884-EFE574E1B7C2}"/>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FB3E4812-1C8F-4D9C-A3C4-AF8D79230B0F}"/>
    <cellStyle name="Normal 5 2 2 2 2 2 4 2 3" xfId="11987" xr:uid="{64497EC3-42E9-4A12-946F-A32DDD11B314}"/>
    <cellStyle name="Normal 5 2 2 2 2 2 4 3" xfId="5610" xr:uid="{00000000-0005-0000-0000-000015170000}"/>
    <cellStyle name="Normal 5 2 2 2 2 2 4 3 2" xfId="14060" xr:uid="{79C4E049-D93A-45AA-8803-7A32AD56824C}"/>
    <cellStyle name="Normal 5 2 2 2 2 2 4 4" xfId="9842" xr:uid="{9752C9B0-A453-4246-98C0-B3797CAB500E}"/>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FEAFE54B-D3A6-413A-87D2-755972E97297}"/>
    <cellStyle name="Normal 5 2 2 2 2 2 5 2 3" xfId="12400" xr:uid="{5D623C8C-EB15-40FE-8124-058EB1207AC3}"/>
    <cellStyle name="Normal 5 2 2 2 2 2 5 3" xfId="6023" xr:uid="{00000000-0005-0000-0000-000019170000}"/>
    <cellStyle name="Normal 5 2 2 2 2 2 5 3 2" xfId="14473" xr:uid="{1011EACE-8287-4614-A48A-8B8A8C93DB70}"/>
    <cellStyle name="Normal 5 2 2 2 2 2 5 4" xfId="10255" xr:uid="{538BBB24-6023-4531-AF37-D39F5AB1DA8A}"/>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B1688711-9A77-4BD4-8C0B-5BB8C356622C}"/>
    <cellStyle name="Normal 5 2 2 2 2 2 6 2 3" xfId="12813" xr:uid="{4E01B273-68ED-442F-BFC2-2A9107566982}"/>
    <cellStyle name="Normal 5 2 2 2 2 2 6 3" xfId="6436" xr:uid="{00000000-0005-0000-0000-00001D170000}"/>
    <cellStyle name="Normal 5 2 2 2 2 2 6 3 2" xfId="14886" xr:uid="{40DAD960-402D-4B44-AD87-02A6C359966E}"/>
    <cellStyle name="Normal 5 2 2 2 2 2 6 4" xfId="10668" xr:uid="{12A8A559-1271-474D-9AD1-A81AB6D8D4C8}"/>
    <cellStyle name="Normal 5 2 2 2 2 2 7" xfId="2566" xr:uid="{00000000-0005-0000-0000-00001E170000}"/>
    <cellStyle name="Normal 5 2 2 2 2 2 7 2" xfId="6849" xr:uid="{00000000-0005-0000-0000-00001F170000}"/>
    <cellStyle name="Normal 5 2 2 2 2 2 7 2 2" xfId="15299" xr:uid="{C372D917-066E-42CA-8FA7-866F14114C04}"/>
    <cellStyle name="Normal 5 2 2 2 2 2 7 3" xfId="11081" xr:uid="{54D51805-F3CB-4E6E-B07D-1B7202123B9F}"/>
    <cellStyle name="Normal 5 2 2 2 2 2 8" xfId="4784" xr:uid="{00000000-0005-0000-0000-000020170000}"/>
    <cellStyle name="Normal 5 2 2 2 2 2 8 2" xfId="13234" xr:uid="{D1267EC1-761B-46E4-85AE-D7CD80F3B703}"/>
    <cellStyle name="Normal 5 2 2 2 2 2 9" xfId="9016" xr:uid="{EFB826E2-4043-4BAD-BCCD-4FCA77CAF6E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68C6B8E5-DC6C-4A2F-8873-0EEA927F5612}"/>
    <cellStyle name="Normal 5 2 2 2 2 3 2 2 3" xfId="11576" xr:uid="{6197CC0E-574A-49FF-8AE2-376E9787CEEE}"/>
    <cellStyle name="Normal 5 2 2 2 2 3 2 3" xfId="5199" xr:uid="{00000000-0005-0000-0000-000025170000}"/>
    <cellStyle name="Normal 5 2 2 2 2 3 2 3 2" xfId="13649" xr:uid="{04E8FEDE-9163-4C03-ACC5-A83DCF74AD78}"/>
    <cellStyle name="Normal 5 2 2 2 2 3 2 4" xfId="9431" xr:uid="{5DE5F38A-6695-4E5F-84FF-EE1030B35F3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BAB307F9-3BF4-45F7-956E-AC5AC9F54CAF}"/>
    <cellStyle name="Normal 5 2 2 2 2 3 3 2 3" xfId="11989" xr:uid="{A3857B6E-2704-463C-8032-C42BBC5A44B8}"/>
    <cellStyle name="Normal 5 2 2 2 2 3 3 3" xfId="5612" xr:uid="{00000000-0005-0000-0000-000029170000}"/>
    <cellStyle name="Normal 5 2 2 2 2 3 3 3 2" xfId="14062" xr:uid="{EA5E4F81-FD56-4BD3-BBCB-6B24535CA136}"/>
    <cellStyle name="Normal 5 2 2 2 2 3 3 4" xfId="9844" xr:uid="{4E26B616-888A-4886-AA2A-E14DD7C6CC16}"/>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CE5D27FD-0843-4564-9379-E1DA572C18E8}"/>
    <cellStyle name="Normal 5 2 2 2 2 3 4 2 3" xfId="12402" xr:uid="{67AF32D5-486B-4639-AC79-AB73B2082AB5}"/>
    <cellStyle name="Normal 5 2 2 2 2 3 4 3" xfId="6025" xr:uid="{00000000-0005-0000-0000-00002D170000}"/>
    <cellStyle name="Normal 5 2 2 2 2 3 4 3 2" xfId="14475" xr:uid="{57752E89-8626-4642-9201-C8C155B5C808}"/>
    <cellStyle name="Normal 5 2 2 2 2 3 4 4" xfId="10257" xr:uid="{A049179F-3248-4A73-92A4-1C2AD01A9C0B}"/>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6E0FDDAD-6315-475D-BE5F-8FEF38B98A9B}"/>
    <cellStyle name="Normal 5 2 2 2 2 3 5 2 3" xfId="12815" xr:uid="{E1460B6B-5FEB-4CE0-9FCC-5C7734A534A4}"/>
    <cellStyle name="Normal 5 2 2 2 2 3 5 3" xfId="6438" xr:uid="{00000000-0005-0000-0000-000031170000}"/>
    <cellStyle name="Normal 5 2 2 2 2 3 5 3 2" xfId="14888" xr:uid="{0613535F-07DE-4CF2-9C36-D609BE6AB06E}"/>
    <cellStyle name="Normal 5 2 2 2 2 3 5 4" xfId="10670" xr:uid="{1E853FF1-5652-40E5-A847-F59527DE526F}"/>
    <cellStyle name="Normal 5 2 2 2 2 3 6" xfId="2568" xr:uid="{00000000-0005-0000-0000-000032170000}"/>
    <cellStyle name="Normal 5 2 2 2 2 3 6 2" xfId="6851" xr:uid="{00000000-0005-0000-0000-000033170000}"/>
    <cellStyle name="Normal 5 2 2 2 2 3 6 2 2" xfId="15301" xr:uid="{2198AED9-5821-45BB-9CFA-20BF331546BB}"/>
    <cellStyle name="Normal 5 2 2 2 2 3 6 3" xfId="11083" xr:uid="{3DAAA693-3F45-4CEC-88FF-984A90BCF8C9}"/>
    <cellStyle name="Normal 5 2 2 2 2 3 7" xfId="4786" xr:uid="{00000000-0005-0000-0000-000034170000}"/>
    <cellStyle name="Normal 5 2 2 2 2 3 7 2" xfId="13236" xr:uid="{08DB9A74-BF37-4B04-A04C-A85390F3E08B}"/>
    <cellStyle name="Normal 5 2 2 2 2 3 8" xfId="9018" xr:uid="{F0EB238E-6765-4047-A255-62DD0E3E05C4}"/>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146A21D1-649F-4042-A3C6-AA7F7E0B31F2}"/>
    <cellStyle name="Normal 5 2 2 2 2 4 2 3" xfId="11573" xr:uid="{64FB0ADB-EB56-41DC-B310-4A826C65352C}"/>
    <cellStyle name="Normal 5 2 2 2 2 4 3" xfId="5196" xr:uid="{00000000-0005-0000-0000-000038170000}"/>
    <cellStyle name="Normal 5 2 2 2 2 4 3 2" xfId="13646" xr:uid="{73968A6A-29BC-4014-887F-E981E3B92FA0}"/>
    <cellStyle name="Normal 5 2 2 2 2 4 4" xfId="9428" xr:uid="{492C26F4-2E77-46C3-A8AD-62792CD6438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09D65E0F-D6F6-4782-BE8F-F1DC92980991}"/>
    <cellStyle name="Normal 5 2 2 2 2 5 2 3" xfId="11986" xr:uid="{FC9FF09F-F61C-4824-B48B-FF8A2BE1120E}"/>
    <cellStyle name="Normal 5 2 2 2 2 5 3" xfId="5609" xr:uid="{00000000-0005-0000-0000-00003C170000}"/>
    <cellStyle name="Normal 5 2 2 2 2 5 3 2" xfId="14059" xr:uid="{A32347C1-DDCD-4DCA-9D75-A3C0B45F56CA}"/>
    <cellStyle name="Normal 5 2 2 2 2 5 4" xfId="9841" xr:uid="{4897A292-FAEF-474B-BFF0-F7E2178FB0B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02DAB8D2-BBA2-4209-9F71-D82330C46DEE}"/>
    <cellStyle name="Normal 5 2 2 2 2 6 2 3" xfId="12399" xr:uid="{33A3AE50-C083-47F6-A52B-85C00A24994A}"/>
    <cellStyle name="Normal 5 2 2 2 2 6 3" xfId="6022" xr:uid="{00000000-0005-0000-0000-000040170000}"/>
    <cellStyle name="Normal 5 2 2 2 2 6 3 2" xfId="14472" xr:uid="{3903BB94-3972-4FB1-9AA5-1047D835579D}"/>
    <cellStyle name="Normal 5 2 2 2 2 6 4" xfId="10254" xr:uid="{B69C5AE9-75DE-4990-9C17-CC1AF3958E7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F6B1E7D0-B0BE-48F9-B0FD-CF06EFC3AEF9}"/>
    <cellStyle name="Normal 5 2 2 2 2 7 2 3" xfId="12812" xr:uid="{0FB3472F-C5AD-46AD-8A8D-801F20AEB09A}"/>
    <cellStyle name="Normal 5 2 2 2 2 7 3" xfId="6435" xr:uid="{00000000-0005-0000-0000-000044170000}"/>
    <cellStyle name="Normal 5 2 2 2 2 7 3 2" xfId="14885" xr:uid="{4143CE5D-0C65-4B4B-92E3-D1200FB85C42}"/>
    <cellStyle name="Normal 5 2 2 2 2 7 4" xfId="10667" xr:uid="{815F6376-D005-4939-A2FF-8CF2033F12F8}"/>
    <cellStyle name="Normal 5 2 2 2 2 8" xfId="2565" xr:uid="{00000000-0005-0000-0000-000045170000}"/>
    <cellStyle name="Normal 5 2 2 2 2 8 2" xfId="6848" xr:uid="{00000000-0005-0000-0000-000046170000}"/>
    <cellStyle name="Normal 5 2 2 2 2 8 2 2" xfId="15298" xr:uid="{A995E1FC-A37A-49B8-9CA8-4D34A250477D}"/>
    <cellStyle name="Normal 5 2 2 2 2 8 3" xfId="11080" xr:uid="{4404810E-0BC6-4A5A-B13F-4518876B1674}"/>
    <cellStyle name="Normal 5 2 2 2 2 9" xfId="4783" xr:uid="{00000000-0005-0000-0000-000047170000}"/>
    <cellStyle name="Normal 5 2 2 2 2 9 2" xfId="13233" xr:uid="{6C275143-E298-4CA7-B425-19D73A8ADE2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86B88992-E9E5-4BE1-8363-58E31A20855C}"/>
    <cellStyle name="Normal 5 2 2 2 3 2 2 2 3" xfId="11578" xr:uid="{76BA1B1A-7D5B-4AC5-8FEC-2B041C8696C4}"/>
    <cellStyle name="Normal 5 2 2 2 3 2 2 3" xfId="5201" xr:uid="{00000000-0005-0000-0000-00004D170000}"/>
    <cellStyle name="Normal 5 2 2 2 3 2 2 3 2" xfId="13651" xr:uid="{C6090E80-AF64-44D5-9B38-4B29DA038823}"/>
    <cellStyle name="Normal 5 2 2 2 3 2 2 4" xfId="9433" xr:uid="{9CB42B16-AECC-428D-B4D9-AE57FD70708E}"/>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D62781B0-BEB1-4E62-9A81-CBF71BCB9C84}"/>
    <cellStyle name="Normal 5 2 2 2 3 2 3 2 3" xfId="11991" xr:uid="{3E26C1C2-080F-4C91-AC87-751BB12CDBAD}"/>
    <cellStyle name="Normal 5 2 2 2 3 2 3 3" xfId="5614" xr:uid="{00000000-0005-0000-0000-000051170000}"/>
    <cellStyle name="Normal 5 2 2 2 3 2 3 3 2" xfId="14064" xr:uid="{93B6B48D-DC00-4C88-A937-9BABB6C193BD}"/>
    <cellStyle name="Normal 5 2 2 2 3 2 3 4" xfId="9846" xr:uid="{1D22EFE1-D5BF-4CCE-BE3D-2C53A9A1C58B}"/>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BB49DE1C-0C41-4BDC-A586-72A68190A89B}"/>
    <cellStyle name="Normal 5 2 2 2 3 2 4 2 3" xfId="12404" xr:uid="{6C536343-DE92-4A51-AF72-407EBA2F2972}"/>
    <cellStyle name="Normal 5 2 2 2 3 2 4 3" xfId="6027" xr:uid="{00000000-0005-0000-0000-000055170000}"/>
    <cellStyle name="Normal 5 2 2 2 3 2 4 3 2" xfId="14477" xr:uid="{3F743F7B-31F7-49C0-A7D9-CE25C7D3EA08}"/>
    <cellStyle name="Normal 5 2 2 2 3 2 4 4" xfId="10259" xr:uid="{D6FB7333-2D56-4512-A13C-8019B0C0D51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8838B8DC-05DE-494F-BCDE-3F499F73A8B1}"/>
    <cellStyle name="Normal 5 2 2 2 3 2 5 2 3" xfId="12817" xr:uid="{A8003FDB-4723-4FAF-9CEB-A03D01AB0424}"/>
    <cellStyle name="Normal 5 2 2 2 3 2 5 3" xfId="6440" xr:uid="{00000000-0005-0000-0000-000059170000}"/>
    <cellStyle name="Normal 5 2 2 2 3 2 5 3 2" xfId="14890" xr:uid="{60AB0676-6564-4A6A-804A-B9AAFCA28377}"/>
    <cellStyle name="Normal 5 2 2 2 3 2 5 4" xfId="10672" xr:uid="{F5ADAD5C-6A02-4BC5-86F1-E7F4C06EDDEF}"/>
    <cellStyle name="Normal 5 2 2 2 3 2 6" xfId="2570" xr:uid="{00000000-0005-0000-0000-00005A170000}"/>
    <cellStyle name="Normal 5 2 2 2 3 2 6 2" xfId="6853" xr:uid="{00000000-0005-0000-0000-00005B170000}"/>
    <cellStyle name="Normal 5 2 2 2 3 2 6 2 2" xfId="15303" xr:uid="{AE012587-BC94-4BEF-92C9-DDA9C6EC18F3}"/>
    <cellStyle name="Normal 5 2 2 2 3 2 6 3" xfId="11085" xr:uid="{645B4108-A245-4271-BD24-42E712ACF185}"/>
    <cellStyle name="Normal 5 2 2 2 3 2 7" xfId="4788" xr:uid="{00000000-0005-0000-0000-00005C170000}"/>
    <cellStyle name="Normal 5 2 2 2 3 2 7 2" xfId="13238" xr:uid="{21BB4562-4D35-4E83-A879-23A7AA3F04B5}"/>
    <cellStyle name="Normal 5 2 2 2 3 2 8" xfId="9020" xr:uid="{93B33D4D-4334-45E9-A49A-F43B8CE8204A}"/>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A0B33B69-2C51-4B14-B149-A6848E7D78E1}"/>
    <cellStyle name="Normal 5 2 2 2 3 3 2 3" xfId="11577" xr:uid="{85F12558-FD85-4043-AF8C-43E033ECD582}"/>
    <cellStyle name="Normal 5 2 2 2 3 3 3" xfId="5200" xr:uid="{00000000-0005-0000-0000-000060170000}"/>
    <cellStyle name="Normal 5 2 2 2 3 3 3 2" xfId="13650" xr:uid="{60D83833-D606-4222-891B-E5897F5D7D71}"/>
    <cellStyle name="Normal 5 2 2 2 3 3 4" xfId="9432" xr:uid="{5F6E71E3-0391-464F-87FA-08D5A70EEDEA}"/>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9F7819DE-96E8-4905-A2BF-351532C1EB37}"/>
    <cellStyle name="Normal 5 2 2 2 3 4 2 3" xfId="11990" xr:uid="{B8997514-E7FF-4572-9605-006EC7CB2BF6}"/>
    <cellStyle name="Normal 5 2 2 2 3 4 3" xfId="5613" xr:uid="{00000000-0005-0000-0000-000064170000}"/>
    <cellStyle name="Normal 5 2 2 2 3 4 3 2" xfId="14063" xr:uid="{0EF6690C-D5A5-4984-8603-A278BE7FB20F}"/>
    <cellStyle name="Normal 5 2 2 2 3 4 4" xfId="9845" xr:uid="{E21AF4FE-4E30-4326-B911-383AA1969F9B}"/>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E7B18E73-330A-4E40-A0BE-D806622FDE0D}"/>
    <cellStyle name="Normal 5 2 2 2 3 5 2 3" xfId="12403" xr:uid="{7E749AFA-9FC8-4461-A72E-EE291AB59E2E}"/>
    <cellStyle name="Normal 5 2 2 2 3 5 3" xfId="6026" xr:uid="{00000000-0005-0000-0000-000068170000}"/>
    <cellStyle name="Normal 5 2 2 2 3 5 3 2" xfId="14476" xr:uid="{787026CD-BF72-4DDF-9B39-7D4282F4D0F0}"/>
    <cellStyle name="Normal 5 2 2 2 3 5 4" xfId="10258" xr:uid="{9CBCAF3C-7EFE-4C8A-8CD9-084451C9643D}"/>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F43264B1-41DC-4EE5-A101-4EA2602E975E}"/>
    <cellStyle name="Normal 5 2 2 2 3 6 2 3" xfId="12816" xr:uid="{E0503078-A742-4FE1-9356-BD9FD34A8F2D}"/>
    <cellStyle name="Normal 5 2 2 2 3 6 3" xfId="6439" xr:uid="{00000000-0005-0000-0000-00006C170000}"/>
    <cellStyle name="Normal 5 2 2 2 3 6 3 2" xfId="14889" xr:uid="{B15B7CBE-2CA0-4BAA-9A54-97ADECA83EA1}"/>
    <cellStyle name="Normal 5 2 2 2 3 6 4" xfId="10671" xr:uid="{89C152D5-ED96-4A21-8983-96CF47FB9C44}"/>
    <cellStyle name="Normal 5 2 2 2 3 7" xfId="2569" xr:uid="{00000000-0005-0000-0000-00006D170000}"/>
    <cellStyle name="Normal 5 2 2 2 3 7 2" xfId="6852" xr:uid="{00000000-0005-0000-0000-00006E170000}"/>
    <cellStyle name="Normal 5 2 2 2 3 7 2 2" xfId="15302" xr:uid="{77FFF6D7-7C64-4414-A0AF-2420403B9429}"/>
    <cellStyle name="Normal 5 2 2 2 3 7 3" xfId="11084" xr:uid="{E43AA70E-3C11-4B0E-9612-8508607C1121}"/>
    <cellStyle name="Normal 5 2 2 2 3 8" xfId="4787" xr:uid="{00000000-0005-0000-0000-00006F170000}"/>
    <cellStyle name="Normal 5 2 2 2 3 8 2" xfId="13237" xr:uid="{6FD0C6FA-056F-4EE0-8BB5-B1F87261C495}"/>
    <cellStyle name="Normal 5 2 2 2 3 9" xfId="9019" xr:uid="{B3DB4032-F3A0-4984-AC0B-CD7A5415FC7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B9597D6C-6D02-4AB9-A97F-D4BB18317707}"/>
    <cellStyle name="Normal 5 2 2 2 4 2 2 3" xfId="11579" xr:uid="{11274D7D-464F-4FAF-802A-553C7C4A0FD3}"/>
    <cellStyle name="Normal 5 2 2 2 4 2 3" xfId="5202" xr:uid="{00000000-0005-0000-0000-000074170000}"/>
    <cellStyle name="Normal 5 2 2 2 4 2 3 2" xfId="13652" xr:uid="{D31BE3FB-A8D7-457C-8C48-7B82E8B5430E}"/>
    <cellStyle name="Normal 5 2 2 2 4 2 4" xfId="9434" xr:uid="{29D950FD-F3E8-4E26-A98C-564E12CC096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405603DA-3740-4A37-8038-711204819626}"/>
    <cellStyle name="Normal 5 2 2 2 4 3 2 3" xfId="11992" xr:uid="{90097E13-2E9D-4F7A-8274-E3CB73196EE5}"/>
    <cellStyle name="Normal 5 2 2 2 4 3 3" xfId="5615" xr:uid="{00000000-0005-0000-0000-000078170000}"/>
    <cellStyle name="Normal 5 2 2 2 4 3 3 2" xfId="14065" xr:uid="{E923FC4F-4E67-4860-8284-8336C0BE6253}"/>
    <cellStyle name="Normal 5 2 2 2 4 3 4" xfId="9847" xr:uid="{712FEF18-6FEE-496B-AB9D-3E8A6AF3EF06}"/>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B4B34000-4F62-40B0-B3D5-FA387EFA4D2F}"/>
    <cellStyle name="Normal 5 2 2 2 4 4 2 3" xfId="12405" xr:uid="{3EE68F98-9CFD-483F-9496-426287CE893D}"/>
    <cellStyle name="Normal 5 2 2 2 4 4 3" xfId="6028" xr:uid="{00000000-0005-0000-0000-00007C170000}"/>
    <cellStyle name="Normal 5 2 2 2 4 4 3 2" xfId="14478" xr:uid="{F3890AE4-F7A1-45A1-9798-37E87B9A3112}"/>
    <cellStyle name="Normal 5 2 2 2 4 4 4" xfId="10260" xr:uid="{3448FC23-9B2B-4C97-B85B-C75D16505F76}"/>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F6AC6EF3-8ACE-4EBE-94C2-3A0D54DB6829}"/>
    <cellStyle name="Normal 5 2 2 2 4 5 2 3" xfId="12818" xr:uid="{280A4000-0E67-4A48-8BA2-474C1F293327}"/>
    <cellStyle name="Normal 5 2 2 2 4 5 3" xfId="6441" xr:uid="{00000000-0005-0000-0000-000080170000}"/>
    <cellStyle name="Normal 5 2 2 2 4 5 3 2" xfId="14891" xr:uid="{E1E577D7-5705-4202-BF16-E5C9D217D9F2}"/>
    <cellStyle name="Normal 5 2 2 2 4 5 4" xfId="10673" xr:uid="{99A26052-59F8-499B-B05B-08E36C9D01EF}"/>
    <cellStyle name="Normal 5 2 2 2 4 6" xfId="2571" xr:uid="{00000000-0005-0000-0000-000081170000}"/>
    <cellStyle name="Normal 5 2 2 2 4 6 2" xfId="6854" xr:uid="{00000000-0005-0000-0000-000082170000}"/>
    <cellStyle name="Normal 5 2 2 2 4 6 2 2" xfId="15304" xr:uid="{C8E816A0-A8EC-41B0-8149-DF8D7719D372}"/>
    <cellStyle name="Normal 5 2 2 2 4 6 3" xfId="11086" xr:uid="{DECC3825-6113-41B1-BBE0-A09EE24CAD10}"/>
    <cellStyle name="Normal 5 2 2 2 4 7" xfId="4789" xr:uid="{00000000-0005-0000-0000-000083170000}"/>
    <cellStyle name="Normal 5 2 2 2 4 7 2" xfId="13239" xr:uid="{17317112-75F2-4010-9F99-A5AF9625F546}"/>
    <cellStyle name="Normal 5 2 2 2 4 8" xfId="9021" xr:uid="{81F0E252-64B1-48C2-B464-E5E87B9D7C97}"/>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72A4EFEE-2566-467C-81D0-88CBB96AC275}"/>
    <cellStyle name="Normal 5 2 2 2 5 2 3" xfId="11572" xr:uid="{F5BA3447-E2BA-45E7-9C4A-5392A1713122}"/>
    <cellStyle name="Normal 5 2 2 2 5 3" xfId="5195" xr:uid="{00000000-0005-0000-0000-000087170000}"/>
    <cellStyle name="Normal 5 2 2 2 5 3 2" xfId="13645" xr:uid="{1E8F2E13-084B-4DF2-8B6D-FC07A5709113}"/>
    <cellStyle name="Normal 5 2 2 2 5 4" xfId="9427" xr:uid="{C0BEDD41-589E-4912-A00F-F4E4EB2AA586}"/>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652A42F3-DB18-4D70-B09C-02DBDBAE5DC0}"/>
    <cellStyle name="Normal 5 2 2 2 6 2 3" xfId="11985" xr:uid="{A4FBF86A-35A5-4EC7-A0D3-8CB9CC909298}"/>
    <cellStyle name="Normal 5 2 2 2 6 3" xfId="5608" xr:uid="{00000000-0005-0000-0000-00008B170000}"/>
    <cellStyle name="Normal 5 2 2 2 6 3 2" xfId="14058" xr:uid="{4A55BACA-9D3B-4D8E-9313-9DAC96672ADA}"/>
    <cellStyle name="Normal 5 2 2 2 6 4" xfId="9840" xr:uid="{641BC18E-9F65-4477-94AD-7813ED047D65}"/>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036373F8-8EB2-4253-AF3C-CB9831B49CD6}"/>
    <cellStyle name="Normal 5 2 2 2 7 2 3" xfId="12398" xr:uid="{A73CD73B-8CB8-46F8-B32A-4EB6DDFDF83F}"/>
    <cellStyle name="Normal 5 2 2 2 7 3" xfId="6021" xr:uid="{00000000-0005-0000-0000-00008F170000}"/>
    <cellStyle name="Normal 5 2 2 2 7 3 2" xfId="14471" xr:uid="{45538A59-3B54-4324-9C0C-5C81F5290837}"/>
    <cellStyle name="Normal 5 2 2 2 7 4" xfId="10253" xr:uid="{B9FD2790-5080-4712-ADFF-774C2E315A6E}"/>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028C45D7-BBE3-480A-8B9C-4FA42009ADCB}"/>
    <cellStyle name="Normal 5 2 2 2 8 2 3" xfId="12811" xr:uid="{FFF31413-CBAD-4DBC-98AC-DA778ECCFC23}"/>
    <cellStyle name="Normal 5 2 2 2 8 3" xfId="6434" xr:uid="{00000000-0005-0000-0000-000093170000}"/>
    <cellStyle name="Normal 5 2 2 2 8 3 2" xfId="14884" xr:uid="{29F77808-C454-4D42-99BE-EF8667CC51C0}"/>
    <cellStyle name="Normal 5 2 2 2 8 4" xfId="10666" xr:uid="{4CE0D07F-0B3C-4273-A13D-9A7389BE5F36}"/>
    <cellStyle name="Normal 5 2 2 2 9" xfId="2564" xr:uid="{00000000-0005-0000-0000-000094170000}"/>
    <cellStyle name="Normal 5 2 2 2 9 2" xfId="6847" xr:uid="{00000000-0005-0000-0000-000095170000}"/>
    <cellStyle name="Normal 5 2 2 2 9 2 2" xfId="15297" xr:uid="{20A7651D-708A-40EC-A23C-D4C2B393D988}"/>
    <cellStyle name="Normal 5 2 2 2 9 3" xfId="11079" xr:uid="{88CB65B6-29CD-4B58-825B-4AB00AF091EE}"/>
    <cellStyle name="Normal 5 2 2 3" xfId="417" xr:uid="{00000000-0005-0000-0000-000096170000}"/>
    <cellStyle name="Normal 5 2 2 3 10" xfId="9022" xr:uid="{CEEB0F23-E7ED-4E4B-A739-9307A6FB491A}"/>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8A755FED-1658-42FB-B7CA-721CAF5AD0C1}"/>
    <cellStyle name="Normal 5 2 2 3 2 2 2 2 3" xfId="11582" xr:uid="{86EE1B66-C556-4347-95FE-F3FE142C842E}"/>
    <cellStyle name="Normal 5 2 2 3 2 2 2 3" xfId="5205" xr:uid="{00000000-0005-0000-0000-00009C170000}"/>
    <cellStyle name="Normal 5 2 2 3 2 2 2 3 2" xfId="13655" xr:uid="{B66E5865-AA25-407A-AC02-573176FCDAB0}"/>
    <cellStyle name="Normal 5 2 2 3 2 2 2 4" xfId="9437" xr:uid="{17EF223E-0BB3-4F17-BEF2-5962DFAE92E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AD0A57F9-5521-40DE-8E81-E86AF389ABBE}"/>
    <cellStyle name="Normal 5 2 2 3 2 2 3 2 3" xfId="11995" xr:uid="{15D0AA19-BD02-4752-87A3-F0F8B4DA7C8F}"/>
    <cellStyle name="Normal 5 2 2 3 2 2 3 3" xfId="5618" xr:uid="{00000000-0005-0000-0000-0000A0170000}"/>
    <cellStyle name="Normal 5 2 2 3 2 2 3 3 2" xfId="14068" xr:uid="{45C3C7D8-489B-4523-9EAA-3FCD9BF903F4}"/>
    <cellStyle name="Normal 5 2 2 3 2 2 3 4" xfId="9850" xr:uid="{49B12727-FD7E-4490-817A-343454EA484A}"/>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23BC9199-7527-4DDD-962C-2908DEBF1D7B}"/>
    <cellStyle name="Normal 5 2 2 3 2 2 4 2 3" xfId="12408" xr:uid="{33C51415-0F85-46A4-B61E-00F47F2268F7}"/>
    <cellStyle name="Normal 5 2 2 3 2 2 4 3" xfId="6031" xr:uid="{00000000-0005-0000-0000-0000A4170000}"/>
    <cellStyle name="Normal 5 2 2 3 2 2 4 3 2" xfId="14481" xr:uid="{E9E558C1-7E75-4191-8EA0-58FCE046DBB1}"/>
    <cellStyle name="Normal 5 2 2 3 2 2 4 4" xfId="10263" xr:uid="{92C67F85-32DA-4A40-8365-ED98B51D1E6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46DC3475-45EE-47A2-A913-C4C387699C77}"/>
    <cellStyle name="Normal 5 2 2 3 2 2 5 2 3" xfId="12821" xr:uid="{96126CE8-11CD-485D-9D36-14546BC69B89}"/>
    <cellStyle name="Normal 5 2 2 3 2 2 5 3" xfId="6444" xr:uid="{00000000-0005-0000-0000-0000A8170000}"/>
    <cellStyle name="Normal 5 2 2 3 2 2 5 3 2" xfId="14894" xr:uid="{B4AF1D5B-51AD-49E9-8CD7-86D2A12276A0}"/>
    <cellStyle name="Normal 5 2 2 3 2 2 5 4" xfId="10676" xr:uid="{CF24BB71-6CEC-4D0D-B6D5-F715ACED7B0F}"/>
    <cellStyle name="Normal 5 2 2 3 2 2 6" xfId="2574" xr:uid="{00000000-0005-0000-0000-0000A9170000}"/>
    <cellStyle name="Normal 5 2 2 3 2 2 6 2" xfId="6857" xr:uid="{00000000-0005-0000-0000-0000AA170000}"/>
    <cellStyle name="Normal 5 2 2 3 2 2 6 2 2" xfId="15307" xr:uid="{57544899-D4FE-479D-A2B7-ABA3F470A4F6}"/>
    <cellStyle name="Normal 5 2 2 3 2 2 6 3" xfId="11089" xr:uid="{F9785A0E-EA53-48A3-A97E-DFD0FA11A1F7}"/>
    <cellStyle name="Normal 5 2 2 3 2 2 7" xfId="4792" xr:uid="{00000000-0005-0000-0000-0000AB170000}"/>
    <cellStyle name="Normal 5 2 2 3 2 2 7 2" xfId="13242" xr:uid="{E65FD507-02FB-4420-A1B0-2F11F9EE4258}"/>
    <cellStyle name="Normal 5 2 2 3 2 2 8" xfId="9024" xr:uid="{AB8B4358-AEB4-4612-97C9-0A44B2085C5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7694567C-F1A3-40E6-9301-A38919DA11AE}"/>
    <cellStyle name="Normal 5 2 2 3 2 3 2 3" xfId="11581" xr:uid="{DECF7925-C1E2-457A-A488-CE1834D14AD5}"/>
    <cellStyle name="Normal 5 2 2 3 2 3 3" xfId="5204" xr:uid="{00000000-0005-0000-0000-0000AF170000}"/>
    <cellStyle name="Normal 5 2 2 3 2 3 3 2" xfId="13654" xr:uid="{A54BEE6C-C4B2-4EA0-BE16-550C799F360B}"/>
    <cellStyle name="Normal 5 2 2 3 2 3 4" xfId="9436" xr:uid="{88B4835E-72DC-45D2-AE9D-12DAA7C396E2}"/>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6AB96590-1EC9-4299-9B95-FE1C106B134C}"/>
    <cellStyle name="Normal 5 2 2 3 2 4 2 3" xfId="11994" xr:uid="{810DE542-D86C-4793-BD80-811AC836578D}"/>
    <cellStyle name="Normal 5 2 2 3 2 4 3" xfId="5617" xr:uid="{00000000-0005-0000-0000-0000B3170000}"/>
    <cellStyle name="Normal 5 2 2 3 2 4 3 2" xfId="14067" xr:uid="{8304B8EA-F2A8-46A6-A902-9F35092DFDB4}"/>
    <cellStyle name="Normal 5 2 2 3 2 4 4" xfId="9849" xr:uid="{B0B242CA-D0B8-4566-A769-998110C29C73}"/>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1D76C04E-D01E-4948-A89E-C5B0688339BA}"/>
    <cellStyle name="Normal 5 2 2 3 2 5 2 3" xfId="12407" xr:uid="{5F2800B4-7C13-4072-8465-09188182D27D}"/>
    <cellStyle name="Normal 5 2 2 3 2 5 3" xfId="6030" xr:uid="{00000000-0005-0000-0000-0000B7170000}"/>
    <cellStyle name="Normal 5 2 2 3 2 5 3 2" xfId="14480" xr:uid="{D304AE3C-1FE3-48D5-A8F2-8EBBC17D1026}"/>
    <cellStyle name="Normal 5 2 2 3 2 5 4" xfId="10262" xr:uid="{D2BA7DD8-0626-49E2-AD4F-051D96BAAA6E}"/>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8D64E80D-5AFB-40B9-866F-A1E1A687466C}"/>
    <cellStyle name="Normal 5 2 2 3 2 6 2 3" xfId="12820" xr:uid="{DDEF5921-8C10-4074-880D-9E176223F416}"/>
    <cellStyle name="Normal 5 2 2 3 2 6 3" xfId="6443" xr:uid="{00000000-0005-0000-0000-0000BB170000}"/>
    <cellStyle name="Normal 5 2 2 3 2 6 3 2" xfId="14893" xr:uid="{3D3F6986-5E8C-4645-B341-96C937B5B9C7}"/>
    <cellStyle name="Normal 5 2 2 3 2 6 4" xfId="10675" xr:uid="{DD89A6B4-60A8-4656-8B6E-38885DC170D8}"/>
    <cellStyle name="Normal 5 2 2 3 2 7" xfId="2573" xr:uid="{00000000-0005-0000-0000-0000BC170000}"/>
    <cellStyle name="Normal 5 2 2 3 2 7 2" xfId="6856" xr:uid="{00000000-0005-0000-0000-0000BD170000}"/>
    <cellStyle name="Normal 5 2 2 3 2 7 2 2" xfId="15306" xr:uid="{AD8E1FA0-37B5-440B-BB27-6757606FA5B8}"/>
    <cellStyle name="Normal 5 2 2 3 2 7 3" xfId="11088" xr:uid="{E75912D0-313E-452A-B42A-594DA116D35B}"/>
    <cellStyle name="Normal 5 2 2 3 2 8" xfId="4791" xr:uid="{00000000-0005-0000-0000-0000BE170000}"/>
    <cellStyle name="Normal 5 2 2 3 2 8 2" xfId="13241" xr:uid="{D6DC1CF0-85B3-426C-A2BD-785C4F6AEE53}"/>
    <cellStyle name="Normal 5 2 2 3 2 9" xfId="9023" xr:uid="{A9571148-AE26-441C-8BED-8B80C8775735}"/>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9BC60480-4872-41D4-9B4A-E823347E094F}"/>
    <cellStyle name="Normal 5 2 2 3 3 2 2 3" xfId="11583" xr:uid="{F1B0E8AE-CFB1-46F4-AE6D-F981F66E832D}"/>
    <cellStyle name="Normal 5 2 2 3 3 2 3" xfId="5206" xr:uid="{00000000-0005-0000-0000-0000C3170000}"/>
    <cellStyle name="Normal 5 2 2 3 3 2 3 2" xfId="13656" xr:uid="{8DCAD9DE-3C03-4BFD-AE36-3B1F8F5F3CD0}"/>
    <cellStyle name="Normal 5 2 2 3 3 2 4" xfId="9438" xr:uid="{FC130CD3-BF1E-4CF5-9430-BA16B58673F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1A1F0980-329A-4E10-B97E-DB31A8F04831}"/>
    <cellStyle name="Normal 5 2 2 3 3 3 2 3" xfId="11996" xr:uid="{301A5FF7-5A43-4870-BC26-D6C2C900A0A8}"/>
    <cellStyle name="Normal 5 2 2 3 3 3 3" xfId="5619" xr:uid="{00000000-0005-0000-0000-0000C7170000}"/>
    <cellStyle name="Normal 5 2 2 3 3 3 3 2" xfId="14069" xr:uid="{FF2EF408-4F9E-4E23-84C5-99CFA54891F6}"/>
    <cellStyle name="Normal 5 2 2 3 3 3 4" xfId="9851" xr:uid="{89603D79-6223-4FDF-AC39-ACC64184D04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CE2A6B2B-71AC-44F2-A267-9450CE24B079}"/>
    <cellStyle name="Normal 5 2 2 3 3 4 2 3" xfId="12409" xr:uid="{00093CB6-81C0-4D6C-87A6-0703D8773291}"/>
    <cellStyle name="Normal 5 2 2 3 3 4 3" xfId="6032" xr:uid="{00000000-0005-0000-0000-0000CB170000}"/>
    <cellStyle name="Normal 5 2 2 3 3 4 3 2" xfId="14482" xr:uid="{499C0C22-E97A-4E14-BDA8-F8487CB306B4}"/>
    <cellStyle name="Normal 5 2 2 3 3 4 4" xfId="10264" xr:uid="{EBEF28E0-24DC-4B9C-A591-A056D3441568}"/>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8B639441-794A-4123-A9D4-44CD385DED63}"/>
    <cellStyle name="Normal 5 2 2 3 3 5 2 3" xfId="12822" xr:uid="{26F39ED2-E426-452B-BB33-357B02A74C88}"/>
    <cellStyle name="Normal 5 2 2 3 3 5 3" xfId="6445" xr:uid="{00000000-0005-0000-0000-0000CF170000}"/>
    <cellStyle name="Normal 5 2 2 3 3 5 3 2" xfId="14895" xr:uid="{5F786C99-2A4F-4265-A1E5-FD5A894AD6C2}"/>
    <cellStyle name="Normal 5 2 2 3 3 5 4" xfId="10677" xr:uid="{869FE837-57D2-4EAA-9CA6-C0C4E2CF31AC}"/>
    <cellStyle name="Normal 5 2 2 3 3 6" xfId="2575" xr:uid="{00000000-0005-0000-0000-0000D0170000}"/>
    <cellStyle name="Normal 5 2 2 3 3 6 2" xfId="6858" xr:uid="{00000000-0005-0000-0000-0000D1170000}"/>
    <cellStyle name="Normal 5 2 2 3 3 6 2 2" xfId="15308" xr:uid="{2EAF4F6D-AD81-4D40-9C3C-321CC09AF84D}"/>
    <cellStyle name="Normal 5 2 2 3 3 6 3" xfId="11090" xr:uid="{68A72283-3AAB-44D7-828B-EB28FB5160E3}"/>
    <cellStyle name="Normal 5 2 2 3 3 7" xfId="4793" xr:uid="{00000000-0005-0000-0000-0000D2170000}"/>
    <cellStyle name="Normal 5 2 2 3 3 7 2" xfId="13243" xr:uid="{B8BDD000-9F67-45B2-9B33-EC06DC674402}"/>
    <cellStyle name="Normal 5 2 2 3 3 8" xfId="9025" xr:uid="{B553913A-9F08-484B-ACDB-078971BD5DA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22496601-6F8C-401E-9BF4-A0F9ACEA07BF}"/>
    <cellStyle name="Normal 5 2 2 3 4 2 3" xfId="11580" xr:uid="{084469A5-A20B-43E7-A08B-21BC940CADAB}"/>
    <cellStyle name="Normal 5 2 2 3 4 3" xfId="5203" xr:uid="{00000000-0005-0000-0000-0000D6170000}"/>
    <cellStyle name="Normal 5 2 2 3 4 3 2" xfId="13653" xr:uid="{F3C93418-0766-4E79-A1B1-73EAFEF4016C}"/>
    <cellStyle name="Normal 5 2 2 3 4 4" xfId="9435" xr:uid="{0DB2AE0D-7CB3-470F-9616-BB10110D1359}"/>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479E0C7-77CC-4FC8-A01D-AA3DF3776BC1}"/>
    <cellStyle name="Normal 5 2 2 3 5 2 3" xfId="11993" xr:uid="{2D757A85-3A77-4BA5-8DD1-C3BE7712F0A1}"/>
    <cellStyle name="Normal 5 2 2 3 5 3" xfId="5616" xr:uid="{00000000-0005-0000-0000-0000DA170000}"/>
    <cellStyle name="Normal 5 2 2 3 5 3 2" xfId="14066" xr:uid="{E3C9AF43-C964-48FE-8426-6543292CC2D8}"/>
    <cellStyle name="Normal 5 2 2 3 5 4" xfId="9848" xr:uid="{C81B65B3-8C34-4D34-B5DE-65F72254CA1B}"/>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67A9418D-A044-42F6-8CAB-FD8097B9B8D9}"/>
    <cellStyle name="Normal 5 2 2 3 6 2 3" xfId="12406" xr:uid="{E773778F-9303-45DA-904D-B38D6DCBDEFC}"/>
    <cellStyle name="Normal 5 2 2 3 6 3" xfId="6029" xr:uid="{00000000-0005-0000-0000-0000DE170000}"/>
    <cellStyle name="Normal 5 2 2 3 6 3 2" xfId="14479" xr:uid="{1A647E20-02CD-4854-A121-B49059F4DAC1}"/>
    <cellStyle name="Normal 5 2 2 3 6 4" xfId="10261" xr:uid="{D81171BB-91E5-4728-A9A3-8E456A2BFB19}"/>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3355AF6D-1BF9-4BA9-AEC3-92E380175FB2}"/>
    <cellStyle name="Normal 5 2 2 3 7 2 3" xfId="12819" xr:uid="{43954D9C-BC4F-4067-A010-DFE04B48374B}"/>
    <cellStyle name="Normal 5 2 2 3 7 3" xfId="6442" xr:uid="{00000000-0005-0000-0000-0000E2170000}"/>
    <cellStyle name="Normal 5 2 2 3 7 3 2" xfId="14892" xr:uid="{C5678516-4B45-4B33-95B4-4FCCCED737D8}"/>
    <cellStyle name="Normal 5 2 2 3 7 4" xfId="10674" xr:uid="{20976811-5D62-4CD8-84EB-4CF6DC55A8E6}"/>
    <cellStyle name="Normal 5 2 2 3 8" xfId="2572" xr:uid="{00000000-0005-0000-0000-0000E3170000}"/>
    <cellStyle name="Normal 5 2 2 3 8 2" xfId="6855" xr:uid="{00000000-0005-0000-0000-0000E4170000}"/>
    <cellStyle name="Normal 5 2 2 3 8 2 2" xfId="15305" xr:uid="{9907D0B9-F13A-4329-9823-2047C66884AF}"/>
    <cellStyle name="Normal 5 2 2 3 8 3" xfId="11087" xr:uid="{8DF96000-2F66-4B6B-A35D-17C317E4F29E}"/>
    <cellStyle name="Normal 5 2 2 3 9" xfId="4790" xr:uid="{00000000-0005-0000-0000-0000E5170000}"/>
    <cellStyle name="Normal 5 2 2 3 9 2" xfId="13240" xr:uid="{FA5BA27B-8348-4C1B-941E-6025732C5B05}"/>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A258BE44-293C-4EDE-B845-50EE2780307E}"/>
    <cellStyle name="Normal 5 2 2 4 2 2 2 3" xfId="11585" xr:uid="{842F9F33-0576-4826-A078-04E6D51BFCB3}"/>
    <cellStyle name="Normal 5 2 2 4 2 2 3" xfId="5208" xr:uid="{00000000-0005-0000-0000-0000EB170000}"/>
    <cellStyle name="Normal 5 2 2 4 2 2 3 2" xfId="13658" xr:uid="{C012443A-F467-4BD3-939A-0869F4B3646E}"/>
    <cellStyle name="Normal 5 2 2 4 2 2 4" xfId="9440" xr:uid="{E1BD8E3E-E607-42DD-999B-159D84750B3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7135F9F8-84D4-46C9-AE97-371D24E99754}"/>
    <cellStyle name="Normal 5 2 2 4 2 3 2 3" xfId="11998" xr:uid="{0DFB542A-5FD3-4014-8E2C-BA9F44D652FD}"/>
    <cellStyle name="Normal 5 2 2 4 2 3 3" xfId="5621" xr:uid="{00000000-0005-0000-0000-0000EF170000}"/>
    <cellStyle name="Normal 5 2 2 4 2 3 3 2" xfId="14071" xr:uid="{E0EA9F8E-7205-48F6-AF66-A3A392F9DE5F}"/>
    <cellStyle name="Normal 5 2 2 4 2 3 4" xfId="9853" xr:uid="{C00DEBBD-1EF8-4CD3-AC04-0610AC93B341}"/>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4809F21C-4EBB-43F5-BE49-A61762C55692}"/>
    <cellStyle name="Normal 5 2 2 4 2 4 2 3" xfId="12411" xr:uid="{6A7FF85B-400F-424D-A8D6-D6404B9D8916}"/>
    <cellStyle name="Normal 5 2 2 4 2 4 3" xfId="6034" xr:uid="{00000000-0005-0000-0000-0000F3170000}"/>
    <cellStyle name="Normal 5 2 2 4 2 4 3 2" xfId="14484" xr:uid="{11F39373-206A-4B4E-BEE1-CCF85B396CFC}"/>
    <cellStyle name="Normal 5 2 2 4 2 4 4" xfId="10266" xr:uid="{BCB9C213-1D07-4CFE-B719-2E4E6F6E894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FE3BA36F-D18B-495F-AD6E-1CBC43296C26}"/>
    <cellStyle name="Normal 5 2 2 4 2 5 2 3" xfId="12824" xr:uid="{28A617FE-4211-46E1-A311-BB02D41772ED}"/>
    <cellStyle name="Normal 5 2 2 4 2 5 3" xfId="6447" xr:uid="{00000000-0005-0000-0000-0000F7170000}"/>
    <cellStyle name="Normal 5 2 2 4 2 5 3 2" xfId="14897" xr:uid="{49A7B649-096F-474D-965B-35F1ECDE4AB2}"/>
    <cellStyle name="Normal 5 2 2 4 2 5 4" xfId="10679" xr:uid="{4A4D3F83-AA03-413B-9AD3-737D6DBC94DB}"/>
    <cellStyle name="Normal 5 2 2 4 2 6" xfId="2577" xr:uid="{00000000-0005-0000-0000-0000F8170000}"/>
    <cellStyle name="Normal 5 2 2 4 2 6 2" xfId="6860" xr:uid="{00000000-0005-0000-0000-0000F9170000}"/>
    <cellStyle name="Normal 5 2 2 4 2 6 2 2" xfId="15310" xr:uid="{7877825B-238A-40FB-9B5E-C7EBF6BFEAB3}"/>
    <cellStyle name="Normal 5 2 2 4 2 6 3" xfId="11092" xr:uid="{5038D16A-7E63-447B-AE71-614BCB0A322B}"/>
    <cellStyle name="Normal 5 2 2 4 2 7" xfId="4795" xr:uid="{00000000-0005-0000-0000-0000FA170000}"/>
    <cellStyle name="Normal 5 2 2 4 2 7 2" xfId="13245" xr:uid="{ABF1B99B-AAD9-4DE4-8F8C-04E1E240EDAD}"/>
    <cellStyle name="Normal 5 2 2 4 2 8" xfId="9027" xr:uid="{EE28D4FC-1C03-4131-888D-39BDE22097A0}"/>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811D0887-7228-4B87-8BA5-D5AB1B7304CC}"/>
    <cellStyle name="Normal 5 2 2 4 3 2 3" xfId="11584" xr:uid="{896490BF-6500-436B-A7B5-9FEB364880BD}"/>
    <cellStyle name="Normal 5 2 2 4 3 3" xfId="5207" xr:uid="{00000000-0005-0000-0000-0000FE170000}"/>
    <cellStyle name="Normal 5 2 2 4 3 3 2" xfId="13657" xr:uid="{EB404263-6661-4D46-80E9-F3334DD2A0E1}"/>
    <cellStyle name="Normal 5 2 2 4 3 4" xfId="9439" xr:uid="{5B2BFE81-2C58-4D3C-958D-FC2A94069F3A}"/>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67CC7226-3CC0-42FF-B1C6-B5D04F257367}"/>
    <cellStyle name="Normal 5 2 2 4 4 2 3" xfId="11997" xr:uid="{0ECA970E-584C-4666-B2F0-5A8F6C616031}"/>
    <cellStyle name="Normal 5 2 2 4 4 3" xfId="5620" xr:uid="{00000000-0005-0000-0000-000002180000}"/>
    <cellStyle name="Normal 5 2 2 4 4 3 2" xfId="14070" xr:uid="{18358384-93CF-4909-8E0A-B8779B2F13CB}"/>
    <cellStyle name="Normal 5 2 2 4 4 4" xfId="9852" xr:uid="{CF1BDD0A-30D2-4068-BA1C-130745CDB18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F0E845AE-8A36-418D-B7D0-7D9B4AF4FE9D}"/>
    <cellStyle name="Normal 5 2 2 4 5 2 3" xfId="12410" xr:uid="{0BE2BCB5-315D-4C62-BA5C-FD9182C3807F}"/>
    <cellStyle name="Normal 5 2 2 4 5 3" xfId="6033" xr:uid="{00000000-0005-0000-0000-000006180000}"/>
    <cellStyle name="Normal 5 2 2 4 5 3 2" xfId="14483" xr:uid="{8BCA0C9F-6D4D-41FC-97A3-4FA4438BE85B}"/>
    <cellStyle name="Normal 5 2 2 4 5 4" xfId="10265" xr:uid="{C53FE1A4-705B-4671-99CA-EAD4CA0F83CF}"/>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04DF6CD0-D62B-45EC-91A9-6740AB3F0A88}"/>
    <cellStyle name="Normal 5 2 2 4 6 2 3" xfId="12823" xr:uid="{6C737DA8-746C-4BE1-8F89-C7A88ED8437C}"/>
    <cellStyle name="Normal 5 2 2 4 6 3" xfId="6446" xr:uid="{00000000-0005-0000-0000-00000A180000}"/>
    <cellStyle name="Normal 5 2 2 4 6 3 2" xfId="14896" xr:uid="{797049D9-0202-48E9-B0AE-C9C5FF8F0DBE}"/>
    <cellStyle name="Normal 5 2 2 4 6 4" xfId="10678" xr:uid="{BCE263C7-0055-4559-A44A-8C1A8FFBEC8C}"/>
    <cellStyle name="Normal 5 2 2 4 7" xfId="2576" xr:uid="{00000000-0005-0000-0000-00000B180000}"/>
    <cellStyle name="Normal 5 2 2 4 7 2" xfId="6859" xr:uid="{00000000-0005-0000-0000-00000C180000}"/>
    <cellStyle name="Normal 5 2 2 4 7 2 2" xfId="15309" xr:uid="{76DCCF58-7631-4AD8-B6A5-BA77FCEF4D04}"/>
    <cellStyle name="Normal 5 2 2 4 7 3" xfId="11091" xr:uid="{A21F67E1-1943-42C6-8D9B-52301B9C5B9F}"/>
    <cellStyle name="Normal 5 2 2 4 8" xfId="4794" xr:uid="{00000000-0005-0000-0000-00000D180000}"/>
    <cellStyle name="Normal 5 2 2 4 8 2" xfId="13244" xr:uid="{69599DDF-AE6E-490D-868A-971CB6188C52}"/>
    <cellStyle name="Normal 5 2 2 4 9" xfId="9026" xr:uid="{BCEF9E44-9418-4CAB-8FB8-7E7D20149BF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46F2285F-6DDE-4B45-B340-379BDD6759DD}"/>
    <cellStyle name="Normal 5 2 2 5 2 2 3" xfId="11586" xr:uid="{B6B9FA31-A9FD-4CCF-8929-67A199DA6EC2}"/>
    <cellStyle name="Normal 5 2 2 5 2 3" xfId="5209" xr:uid="{00000000-0005-0000-0000-000012180000}"/>
    <cellStyle name="Normal 5 2 2 5 2 3 2" xfId="13659" xr:uid="{32FB1159-E4C0-4105-8A45-C7813A53A458}"/>
    <cellStyle name="Normal 5 2 2 5 2 4" xfId="9441" xr:uid="{48096B7E-6847-45D4-BF6F-CCC1FE48D07B}"/>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359D6998-369D-49FB-8E71-8016C267241D}"/>
    <cellStyle name="Normal 5 2 2 5 3 2 3" xfId="11999" xr:uid="{C219ED84-271F-4A9E-A809-3A186D14FE58}"/>
    <cellStyle name="Normal 5 2 2 5 3 3" xfId="5622" xr:uid="{00000000-0005-0000-0000-000016180000}"/>
    <cellStyle name="Normal 5 2 2 5 3 3 2" xfId="14072" xr:uid="{B4ABC8F8-D2FE-4E61-A138-3DDB1E9F57DE}"/>
    <cellStyle name="Normal 5 2 2 5 3 4" xfId="9854" xr:uid="{5B88A852-B59F-4955-8E14-64AD9F90C40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5EBF68A8-34C6-4B0D-80E9-15ED39488E43}"/>
    <cellStyle name="Normal 5 2 2 5 4 2 3" xfId="12412" xr:uid="{50926803-C4FF-4102-9835-4ABF1F49598F}"/>
    <cellStyle name="Normal 5 2 2 5 4 3" xfId="6035" xr:uid="{00000000-0005-0000-0000-00001A180000}"/>
    <cellStyle name="Normal 5 2 2 5 4 3 2" xfId="14485" xr:uid="{F3C5BBB2-5784-4D6D-A090-EE3AE215A6DC}"/>
    <cellStyle name="Normal 5 2 2 5 4 4" xfId="10267" xr:uid="{FCDF22C2-7447-42A7-A7ED-C384AB0EF773}"/>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C3E295D1-0416-4B81-99EB-645BB529AD89}"/>
    <cellStyle name="Normal 5 2 2 5 5 2 3" xfId="12825" xr:uid="{BB0895B6-1122-4CF3-9A21-C0E6C22C5B28}"/>
    <cellStyle name="Normal 5 2 2 5 5 3" xfId="6448" xr:uid="{00000000-0005-0000-0000-00001E180000}"/>
    <cellStyle name="Normal 5 2 2 5 5 3 2" xfId="14898" xr:uid="{1501B39A-E74F-4CEB-A23D-0A626E0AE604}"/>
    <cellStyle name="Normal 5 2 2 5 5 4" xfId="10680" xr:uid="{30048A7B-F3B7-4928-A4D2-A370CB671D61}"/>
    <cellStyle name="Normal 5 2 2 5 6" xfId="2578" xr:uid="{00000000-0005-0000-0000-00001F180000}"/>
    <cellStyle name="Normal 5 2 2 5 6 2" xfId="6861" xr:uid="{00000000-0005-0000-0000-000020180000}"/>
    <cellStyle name="Normal 5 2 2 5 6 2 2" xfId="15311" xr:uid="{B829CDC5-C64E-481D-B6FB-9ADD7658A921}"/>
    <cellStyle name="Normal 5 2 2 5 6 3" xfId="11093" xr:uid="{B6B6D62F-C8C1-4F47-B3DF-09C74FB4F9B2}"/>
    <cellStyle name="Normal 5 2 2 5 7" xfId="4796" xr:uid="{00000000-0005-0000-0000-000021180000}"/>
    <cellStyle name="Normal 5 2 2 5 7 2" xfId="13246" xr:uid="{2DD2567F-E44E-486F-AD88-7943C41EA019}"/>
    <cellStyle name="Normal 5 2 2 5 8" xfId="9028" xr:uid="{8D9A388A-E24D-487A-BEB9-14EF92D2E2BA}"/>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BE388ACD-22CF-4D8F-AA1B-636A18B5A6DE}"/>
    <cellStyle name="Normal 5 2 2 6 2 3" xfId="11571" xr:uid="{8EDCF478-9B7E-4CF6-870D-F102A1C44DCE}"/>
    <cellStyle name="Normal 5 2 2 6 3" xfId="5194" xr:uid="{00000000-0005-0000-0000-000025180000}"/>
    <cellStyle name="Normal 5 2 2 6 3 2" xfId="13644" xr:uid="{B5C348D9-7441-4A59-A589-1FFB1D2A4990}"/>
    <cellStyle name="Normal 5 2 2 6 4" xfId="9426" xr:uid="{FCBCA8AA-AA6E-4236-82FE-CFC6BA747751}"/>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9C884BEA-21CF-4755-8E67-2BB6BEA4E4B7}"/>
    <cellStyle name="Normal 5 2 2 7 2 3" xfId="11984" xr:uid="{E3DFB931-EDC8-4AFF-9EB0-9A7E3448FFDD}"/>
    <cellStyle name="Normal 5 2 2 7 3" xfId="5607" xr:uid="{00000000-0005-0000-0000-000029180000}"/>
    <cellStyle name="Normal 5 2 2 7 3 2" xfId="14057" xr:uid="{AA8C8081-82EF-4D4D-936D-065E72C5176E}"/>
    <cellStyle name="Normal 5 2 2 7 4" xfId="9839" xr:uid="{9014C05F-1D15-4498-812E-DBD5D080EEC5}"/>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D37F77CD-F31D-4637-9F00-1569CDC0DFF1}"/>
    <cellStyle name="Normal 5 2 2 8 2 3" xfId="12397" xr:uid="{B10F336A-736A-43FB-BE46-B0D98C0F2112}"/>
    <cellStyle name="Normal 5 2 2 8 3" xfId="6020" xr:uid="{00000000-0005-0000-0000-00002D180000}"/>
    <cellStyle name="Normal 5 2 2 8 3 2" xfId="14470" xr:uid="{FB67690C-5C73-440F-AA60-316ABC2B57AD}"/>
    <cellStyle name="Normal 5 2 2 8 4" xfId="10252" xr:uid="{E8A9F968-7424-45CA-A7C0-13D4B2DE7B90}"/>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97C627DA-93BC-4191-A81B-2CCC15E786F3}"/>
    <cellStyle name="Normal 5 2 2 9 2 3" xfId="12810" xr:uid="{D78C26C2-9B15-44D3-87D4-243743F8E3BE}"/>
    <cellStyle name="Normal 5 2 2 9 3" xfId="6433" xr:uid="{00000000-0005-0000-0000-000031180000}"/>
    <cellStyle name="Normal 5 2 2 9 3 2" xfId="14883" xr:uid="{7371FBC6-6D01-4004-81D8-1B2C42B650A6}"/>
    <cellStyle name="Normal 5 2 2 9 4" xfId="10665" xr:uid="{DB9EB171-4824-49CD-B2DD-E8104D4004E1}"/>
    <cellStyle name="Normal 5 2 3" xfId="424" xr:uid="{00000000-0005-0000-0000-000032180000}"/>
    <cellStyle name="Normal 5 2 3 10" xfId="4797" xr:uid="{00000000-0005-0000-0000-000033180000}"/>
    <cellStyle name="Normal 5 2 3 10 2" xfId="13247" xr:uid="{D124B395-A05D-4DFC-BE42-AE3DEC99B6A0}"/>
    <cellStyle name="Normal 5 2 3 11" xfId="9029" xr:uid="{4BA1C601-EDBB-45F0-928F-72743C42B6CC}"/>
    <cellStyle name="Normal 5 2 3 2" xfId="425" xr:uid="{00000000-0005-0000-0000-000034180000}"/>
    <cellStyle name="Normal 5 2 3 2 10" xfId="9030" xr:uid="{78E95C92-C7FC-430B-AD1D-AA4461FF180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F81E47EB-4BED-470C-968C-947CD85A9A71}"/>
    <cellStyle name="Normal 5 2 3 2 2 2 2 2 3" xfId="11590" xr:uid="{2192EE74-6D4A-4721-A142-3E9E7AC94058}"/>
    <cellStyle name="Normal 5 2 3 2 2 2 2 3" xfId="5213" xr:uid="{00000000-0005-0000-0000-00003A180000}"/>
    <cellStyle name="Normal 5 2 3 2 2 2 2 3 2" xfId="13663" xr:uid="{DBEFA5DB-8B54-4196-815F-DF5A52B34E9A}"/>
    <cellStyle name="Normal 5 2 3 2 2 2 2 4" xfId="9445" xr:uid="{B59BC56B-9E52-43D8-9767-EEEDEA99EA3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A768C647-C15D-44FF-AFBD-2D33C90CE95A}"/>
    <cellStyle name="Normal 5 2 3 2 2 2 3 2 3" xfId="12003" xr:uid="{CEF199CE-BE06-4141-8F83-A4B7F29FDC70}"/>
    <cellStyle name="Normal 5 2 3 2 2 2 3 3" xfId="5626" xr:uid="{00000000-0005-0000-0000-00003E180000}"/>
    <cellStyle name="Normal 5 2 3 2 2 2 3 3 2" xfId="14076" xr:uid="{ADA91040-B22C-466F-88A5-80112A04B09E}"/>
    <cellStyle name="Normal 5 2 3 2 2 2 3 4" xfId="9858" xr:uid="{7420E9FE-12CA-4CEC-BFB6-8685DA7AF867}"/>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7023FB47-43E0-42A5-9231-D0B109C987EF}"/>
    <cellStyle name="Normal 5 2 3 2 2 2 4 2 3" xfId="12416" xr:uid="{AA6D85C4-BA21-43AB-8D18-9F34FA77549D}"/>
    <cellStyle name="Normal 5 2 3 2 2 2 4 3" xfId="6039" xr:uid="{00000000-0005-0000-0000-000042180000}"/>
    <cellStyle name="Normal 5 2 3 2 2 2 4 3 2" xfId="14489" xr:uid="{6A0EA3F4-1C46-40FD-842A-95F4CDBEC6BF}"/>
    <cellStyle name="Normal 5 2 3 2 2 2 4 4" xfId="10271" xr:uid="{3E365B0C-0FB6-4738-93B3-E97626092173}"/>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08A13F6B-F626-4A8E-B71B-6B7067ED7F57}"/>
    <cellStyle name="Normal 5 2 3 2 2 2 5 2 3" xfId="12829" xr:uid="{0F2C1308-B2EE-4FCF-A31F-1816D8323091}"/>
    <cellStyle name="Normal 5 2 3 2 2 2 5 3" xfId="6452" xr:uid="{00000000-0005-0000-0000-000046180000}"/>
    <cellStyle name="Normal 5 2 3 2 2 2 5 3 2" xfId="14902" xr:uid="{7A1A794F-EE66-4279-BE7B-B483E280C7A0}"/>
    <cellStyle name="Normal 5 2 3 2 2 2 5 4" xfId="10684" xr:uid="{E3F2C525-DD54-49AA-BCBA-A610B9BBA43F}"/>
    <cellStyle name="Normal 5 2 3 2 2 2 6" xfId="2582" xr:uid="{00000000-0005-0000-0000-000047180000}"/>
    <cellStyle name="Normal 5 2 3 2 2 2 6 2" xfId="6865" xr:uid="{00000000-0005-0000-0000-000048180000}"/>
    <cellStyle name="Normal 5 2 3 2 2 2 6 2 2" xfId="15315" xr:uid="{C7EEE0AE-B910-4136-9266-2B6B0BCFC504}"/>
    <cellStyle name="Normal 5 2 3 2 2 2 6 3" xfId="11097" xr:uid="{D04519EB-69A4-4198-8581-922DE16A841E}"/>
    <cellStyle name="Normal 5 2 3 2 2 2 7" xfId="4800" xr:uid="{00000000-0005-0000-0000-000049180000}"/>
    <cellStyle name="Normal 5 2 3 2 2 2 7 2" xfId="13250" xr:uid="{7B34F1A8-0CF8-4196-947D-3002BC7428BD}"/>
    <cellStyle name="Normal 5 2 3 2 2 2 8" xfId="9032" xr:uid="{69A26472-DBBE-45FA-BA4C-845DE35632B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73EB4520-1503-4D4A-8F50-E633CE08A146}"/>
    <cellStyle name="Normal 5 2 3 2 2 3 2 3" xfId="11589" xr:uid="{4EFF056F-C90B-45D8-BC00-D9A4C63BD256}"/>
    <cellStyle name="Normal 5 2 3 2 2 3 3" xfId="5212" xr:uid="{00000000-0005-0000-0000-00004D180000}"/>
    <cellStyle name="Normal 5 2 3 2 2 3 3 2" xfId="13662" xr:uid="{31FBEF17-7DDB-4F19-BEF6-9EA7AEE90C99}"/>
    <cellStyle name="Normal 5 2 3 2 2 3 4" xfId="9444" xr:uid="{831306A8-8E48-491D-BA0E-208A4A90BCA7}"/>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25DDB43A-9093-41D6-9F8C-A681EE2AAF97}"/>
    <cellStyle name="Normal 5 2 3 2 2 4 2 3" xfId="12002" xr:uid="{02C094C1-0BC5-49A1-BD10-02F5E2B2139A}"/>
    <cellStyle name="Normal 5 2 3 2 2 4 3" xfId="5625" xr:uid="{00000000-0005-0000-0000-000051180000}"/>
    <cellStyle name="Normal 5 2 3 2 2 4 3 2" xfId="14075" xr:uid="{B507722D-4D66-4020-9C62-E0BA3892BEB2}"/>
    <cellStyle name="Normal 5 2 3 2 2 4 4" xfId="9857" xr:uid="{934CF21E-5C96-45EF-BC64-7F48B8A5BB5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A74364AD-0031-438C-A221-FCD6274B9633}"/>
    <cellStyle name="Normal 5 2 3 2 2 5 2 3" xfId="12415" xr:uid="{61AD9242-56E7-441B-BC51-193955BD8ED6}"/>
    <cellStyle name="Normal 5 2 3 2 2 5 3" xfId="6038" xr:uid="{00000000-0005-0000-0000-000055180000}"/>
    <cellStyle name="Normal 5 2 3 2 2 5 3 2" xfId="14488" xr:uid="{C22E023B-AF5F-42DE-9C97-B7B24AE284B4}"/>
    <cellStyle name="Normal 5 2 3 2 2 5 4" xfId="10270" xr:uid="{AE5FBDE5-A0F9-4EDC-8DDD-465F62CCB16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6804777B-8ACB-4262-A217-7493EBD7CB7A}"/>
    <cellStyle name="Normal 5 2 3 2 2 6 2 3" xfId="12828" xr:uid="{604CDEFB-A3F4-4F4F-B67E-A4ACA285EE77}"/>
    <cellStyle name="Normal 5 2 3 2 2 6 3" xfId="6451" xr:uid="{00000000-0005-0000-0000-000059180000}"/>
    <cellStyle name="Normal 5 2 3 2 2 6 3 2" xfId="14901" xr:uid="{AB7448ED-CA3A-4310-9F18-D1CBEC462895}"/>
    <cellStyle name="Normal 5 2 3 2 2 6 4" xfId="10683" xr:uid="{99498749-AAF1-48A9-8DE8-4FBF9B7E7F60}"/>
    <cellStyle name="Normal 5 2 3 2 2 7" xfId="2581" xr:uid="{00000000-0005-0000-0000-00005A180000}"/>
    <cellStyle name="Normal 5 2 3 2 2 7 2" xfId="6864" xr:uid="{00000000-0005-0000-0000-00005B180000}"/>
    <cellStyle name="Normal 5 2 3 2 2 7 2 2" xfId="15314" xr:uid="{358F16D9-5DA7-4DF9-90FE-310EA3710355}"/>
    <cellStyle name="Normal 5 2 3 2 2 7 3" xfId="11096" xr:uid="{B783F26F-D96B-4497-A076-1CB2C427905B}"/>
    <cellStyle name="Normal 5 2 3 2 2 8" xfId="4799" xr:uid="{00000000-0005-0000-0000-00005C180000}"/>
    <cellStyle name="Normal 5 2 3 2 2 8 2" xfId="13249" xr:uid="{84CACD8B-FE83-496F-92D8-77FF1EB9DA93}"/>
    <cellStyle name="Normal 5 2 3 2 2 9" xfId="9031" xr:uid="{974B099E-7E3D-4466-96DA-5A5ED8EE8123}"/>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B98F2FCA-0B23-4E5C-8340-6D318453EB24}"/>
    <cellStyle name="Normal 5 2 3 2 3 2 2 3" xfId="11591" xr:uid="{41982E78-3B38-4458-BEAA-11119E4F156C}"/>
    <cellStyle name="Normal 5 2 3 2 3 2 3" xfId="5214" xr:uid="{00000000-0005-0000-0000-000061180000}"/>
    <cellStyle name="Normal 5 2 3 2 3 2 3 2" xfId="13664" xr:uid="{4A0AE580-CD61-4140-B170-2375570E0717}"/>
    <cellStyle name="Normal 5 2 3 2 3 2 4" xfId="9446" xr:uid="{D9FE2159-1AFE-4DDC-9968-982B5C16616C}"/>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80FDA18D-1EA2-4598-BE28-A292E4A3D67B}"/>
    <cellStyle name="Normal 5 2 3 2 3 3 2 3" xfId="12004" xr:uid="{FF33FA32-ABE5-4D87-94C9-BE8D40AF4586}"/>
    <cellStyle name="Normal 5 2 3 2 3 3 3" xfId="5627" xr:uid="{00000000-0005-0000-0000-000065180000}"/>
    <cellStyle name="Normal 5 2 3 2 3 3 3 2" xfId="14077" xr:uid="{5543C7FE-43D9-40D7-9025-F9F867E4EB80}"/>
    <cellStyle name="Normal 5 2 3 2 3 3 4" xfId="9859" xr:uid="{CB256926-2964-40BF-9829-A6E724D31C41}"/>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BD1DCE94-90AF-4497-9406-0D4A32F59505}"/>
    <cellStyle name="Normal 5 2 3 2 3 4 2 3" xfId="12417" xr:uid="{792B7A25-63BF-4228-A78F-33BF1F9B7365}"/>
    <cellStyle name="Normal 5 2 3 2 3 4 3" xfId="6040" xr:uid="{00000000-0005-0000-0000-000069180000}"/>
    <cellStyle name="Normal 5 2 3 2 3 4 3 2" xfId="14490" xr:uid="{A2363756-BF37-4551-AD21-80C01D90E1F4}"/>
    <cellStyle name="Normal 5 2 3 2 3 4 4" xfId="10272" xr:uid="{887C729D-3F1A-4AA7-BB83-1679957FD04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3AF4E884-2274-4DB4-8C62-9B4413AC2150}"/>
    <cellStyle name="Normal 5 2 3 2 3 5 2 3" xfId="12830" xr:uid="{27781347-3035-45AC-80EB-1220D11124B5}"/>
    <cellStyle name="Normal 5 2 3 2 3 5 3" xfId="6453" xr:uid="{00000000-0005-0000-0000-00006D180000}"/>
    <cellStyle name="Normal 5 2 3 2 3 5 3 2" xfId="14903" xr:uid="{E3303B41-1005-45B9-8E5F-52F3C87B0882}"/>
    <cellStyle name="Normal 5 2 3 2 3 5 4" xfId="10685" xr:uid="{D8892B1E-0049-464D-BF2F-0D86EA4154DC}"/>
    <cellStyle name="Normal 5 2 3 2 3 6" xfId="2583" xr:uid="{00000000-0005-0000-0000-00006E180000}"/>
    <cellStyle name="Normal 5 2 3 2 3 6 2" xfId="6866" xr:uid="{00000000-0005-0000-0000-00006F180000}"/>
    <cellStyle name="Normal 5 2 3 2 3 6 2 2" xfId="15316" xr:uid="{FD4699A8-9F5C-409C-B588-973863B15F74}"/>
    <cellStyle name="Normal 5 2 3 2 3 6 3" xfId="11098" xr:uid="{8937934F-BBB3-48AA-ADE9-8B0CD7F0E705}"/>
    <cellStyle name="Normal 5 2 3 2 3 7" xfId="4801" xr:uid="{00000000-0005-0000-0000-000070180000}"/>
    <cellStyle name="Normal 5 2 3 2 3 7 2" xfId="13251" xr:uid="{6BD46F89-0F0A-4063-AFD9-64B07749C559}"/>
    <cellStyle name="Normal 5 2 3 2 3 8" xfId="9033" xr:uid="{4A4C7C35-FA23-4ED6-AE88-ECBE791914A1}"/>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B6A5151A-0A6B-4DFF-887B-54DB939C9B2E}"/>
    <cellStyle name="Normal 5 2 3 2 4 2 3" xfId="11588" xr:uid="{85BA69D7-82B8-47A3-B403-22EC5EE1DE76}"/>
    <cellStyle name="Normal 5 2 3 2 4 3" xfId="5211" xr:uid="{00000000-0005-0000-0000-000074180000}"/>
    <cellStyle name="Normal 5 2 3 2 4 3 2" xfId="13661" xr:uid="{9FBB58CF-D188-4CD3-A5F8-1A1082F4268E}"/>
    <cellStyle name="Normal 5 2 3 2 4 4" xfId="9443" xr:uid="{302DC018-D325-44D9-945A-54A3C54D2025}"/>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46705D58-2E43-4393-A9DA-C85D05FEFE10}"/>
    <cellStyle name="Normal 5 2 3 2 5 2 3" xfId="12001" xr:uid="{B16A804E-DA4E-4C6F-B14E-738FFC8A98AB}"/>
    <cellStyle name="Normal 5 2 3 2 5 3" xfId="5624" xr:uid="{00000000-0005-0000-0000-000078180000}"/>
    <cellStyle name="Normal 5 2 3 2 5 3 2" xfId="14074" xr:uid="{F950C9D2-C969-48B6-BA68-30B269F6643E}"/>
    <cellStyle name="Normal 5 2 3 2 5 4" xfId="9856" xr:uid="{69D890F2-A1D5-4B61-B0B7-C75B6877680F}"/>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83212908-EF6E-4DE1-9FF8-6BCAD147A574}"/>
    <cellStyle name="Normal 5 2 3 2 6 2 3" xfId="12414" xr:uid="{34A80CF7-1B9B-4057-8467-0667F8CB59EC}"/>
    <cellStyle name="Normal 5 2 3 2 6 3" xfId="6037" xr:uid="{00000000-0005-0000-0000-00007C180000}"/>
    <cellStyle name="Normal 5 2 3 2 6 3 2" xfId="14487" xr:uid="{A6B67225-6099-4B08-AC10-B5DBB6F2AAD7}"/>
    <cellStyle name="Normal 5 2 3 2 6 4" xfId="10269" xr:uid="{640A820D-5557-41B4-B06D-C681463A4BEF}"/>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C333B652-3BC4-4F6C-8AD5-05F4BDCFBFE8}"/>
    <cellStyle name="Normal 5 2 3 2 7 2 3" xfId="12827" xr:uid="{5CCC0313-8ABF-45D8-8AEF-EF1AD077D418}"/>
    <cellStyle name="Normal 5 2 3 2 7 3" xfId="6450" xr:uid="{00000000-0005-0000-0000-000080180000}"/>
    <cellStyle name="Normal 5 2 3 2 7 3 2" xfId="14900" xr:uid="{A75315C3-E596-445E-A38B-662C81008458}"/>
    <cellStyle name="Normal 5 2 3 2 7 4" xfId="10682" xr:uid="{EA9D87C2-9CCA-4B18-B67B-F7357F1BDADA}"/>
    <cellStyle name="Normal 5 2 3 2 8" xfId="2580" xr:uid="{00000000-0005-0000-0000-000081180000}"/>
    <cellStyle name="Normal 5 2 3 2 8 2" xfId="6863" xr:uid="{00000000-0005-0000-0000-000082180000}"/>
    <cellStyle name="Normal 5 2 3 2 8 2 2" xfId="15313" xr:uid="{DCFF9E9D-D79C-4B6E-BF83-32197EA2EFC8}"/>
    <cellStyle name="Normal 5 2 3 2 8 3" xfId="11095" xr:uid="{E7796297-5112-498D-A70B-43173134E626}"/>
    <cellStyle name="Normal 5 2 3 2 9" xfId="4798" xr:uid="{00000000-0005-0000-0000-000083180000}"/>
    <cellStyle name="Normal 5 2 3 2 9 2" xfId="13248" xr:uid="{71231D27-AE21-4F36-987C-4A4809F3BB91}"/>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46C02CA2-F6F6-4131-B179-032963E22288}"/>
    <cellStyle name="Normal 5 2 3 3 2 2 2 3" xfId="11593" xr:uid="{1503A748-B73F-474B-A8D4-83D88E52FF8E}"/>
    <cellStyle name="Normal 5 2 3 3 2 2 3" xfId="5216" xr:uid="{00000000-0005-0000-0000-000089180000}"/>
    <cellStyle name="Normal 5 2 3 3 2 2 3 2" xfId="13666" xr:uid="{E462D6B3-1931-4973-AECA-8D0809FA6BB9}"/>
    <cellStyle name="Normal 5 2 3 3 2 2 4" xfId="9448" xr:uid="{10FB00D7-3226-45BE-AB81-165BE2E870FE}"/>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76BB5D54-2681-4AA9-8977-050EF27651BE}"/>
    <cellStyle name="Normal 5 2 3 3 2 3 2 3" xfId="12006" xr:uid="{9BCCCF91-51C3-4804-86F4-5783DAE95157}"/>
    <cellStyle name="Normal 5 2 3 3 2 3 3" xfId="5629" xr:uid="{00000000-0005-0000-0000-00008D180000}"/>
    <cellStyle name="Normal 5 2 3 3 2 3 3 2" xfId="14079" xr:uid="{9825BEC1-0DCA-4B7C-9046-7E67AB2E3D6F}"/>
    <cellStyle name="Normal 5 2 3 3 2 3 4" xfId="9861" xr:uid="{EAEEF44C-FC4B-4A3C-857B-BEA613AEF15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5A528BD1-D274-4BF4-A266-2A4C61A07A9B}"/>
    <cellStyle name="Normal 5 2 3 3 2 4 2 3" xfId="12419" xr:uid="{BEF8C577-6D98-4139-B605-2F928B5ABC73}"/>
    <cellStyle name="Normal 5 2 3 3 2 4 3" xfId="6042" xr:uid="{00000000-0005-0000-0000-000091180000}"/>
    <cellStyle name="Normal 5 2 3 3 2 4 3 2" xfId="14492" xr:uid="{9916AE2F-8EF2-4D78-8351-0D174A0B5D56}"/>
    <cellStyle name="Normal 5 2 3 3 2 4 4" xfId="10274" xr:uid="{A8B74BEC-B724-4F57-B18A-37A8FE13396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F9DE7410-F686-4A4A-A53E-2FBB4707243C}"/>
    <cellStyle name="Normal 5 2 3 3 2 5 2 3" xfId="12832" xr:uid="{4CAB79EF-9916-4063-B2AA-456BC48C6B3A}"/>
    <cellStyle name="Normal 5 2 3 3 2 5 3" xfId="6455" xr:uid="{00000000-0005-0000-0000-000095180000}"/>
    <cellStyle name="Normal 5 2 3 3 2 5 3 2" xfId="14905" xr:uid="{13C74B70-9145-4ECA-BCBC-7B30B96E43E9}"/>
    <cellStyle name="Normal 5 2 3 3 2 5 4" xfId="10687" xr:uid="{5D36FC91-3F8E-4881-9583-A1649D5814E1}"/>
    <cellStyle name="Normal 5 2 3 3 2 6" xfId="2585" xr:uid="{00000000-0005-0000-0000-000096180000}"/>
    <cellStyle name="Normal 5 2 3 3 2 6 2" xfId="6868" xr:uid="{00000000-0005-0000-0000-000097180000}"/>
    <cellStyle name="Normal 5 2 3 3 2 6 2 2" xfId="15318" xr:uid="{6F87B6E8-33F6-4472-A655-D5050EC1D1EF}"/>
    <cellStyle name="Normal 5 2 3 3 2 6 3" xfId="11100" xr:uid="{ED11F396-CD0B-4B58-B630-318FBC620876}"/>
    <cellStyle name="Normal 5 2 3 3 2 7" xfId="4803" xr:uid="{00000000-0005-0000-0000-000098180000}"/>
    <cellStyle name="Normal 5 2 3 3 2 7 2" xfId="13253" xr:uid="{E4B00C0A-5F4E-432F-9BE8-C5F38DE5B376}"/>
    <cellStyle name="Normal 5 2 3 3 2 8" xfId="9035" xr:uid="{CC5F79D0-EECA-446C-A47C-BA9BFCBDDBAF}"/>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062AC753-EF31-4169-8971-0BAAEB959D1D}"/>
    <cellStyle name="Normal 5 2 3 3 3 2 3" xfId="11592" xr:uid="{4992A497-5627-43B0-89F5-EC507D767CAD}"/>
    <cellStyle name="Normal 5 2 3 3 3 3" xfId="5215" xr:uid="{00000000-0005-0000-0000-00009C180000}"/>
    <cellStyle name="Normal 5 2 3 3 3 3 2" xfId="13665" xr:uid="{C8F12859-C0EB-4313-8929-24D8F8FC13DA}"/>
    <cellStyle name="Normal 5 2 3 3 3 4" xfId="9447" xr:uid="{550E759F-21D5-4B9A-A2F3-89FEC99C7DF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A22055EC-7A8D-4468-8E9F-E6A074A45DD3}"/>
    <cellStyle name="Normal 5 2 3 3 4 2 3" xfId="12005" xr:uid="{89DBFFBD-67BB-4E54-9631-7837D2A2251D}"/>
    <cellStyle name="Normal 5 2 3 3 4 3" xfId="5628" xr:uid="{00000000-0005-0000-0000-0000A0180000}"/>
    <cellStyle name="Normal 5 2 3 3 4 3 2" xfId="14078" xr:uid="{1E06A23C-0A77-46B7-BC5B-97D69F5936F7}"/>
    <cellStyle name="Normal 5 2 3 3 4 4" xfId="9860" xr:uid="{E03ADAEE-28A8-41D9-AA1F-2DB54A564229}"/>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34EEBEAA-F9FF-4F78-8838-EA8FA5A1070B}"/>
    <cellStyle name="Normal 5 2 3 3 5 2 3" xfId="12418" xr:uid="{129B9EE5-F9FA-4284-AA58-3162EF0064F1}"/>
    <cellStyle name="Normal 5 2 3 3 5 3" xfId="6041" xr:uid="{00000000-0005-0000-0000-0000A4180000}"/>
    <cellStyle name="Normal 5 2 3 3 5 3 2" xfId="14491" xr:uid="{8353AB91-A74F-493E-9D5A-6ECC89683263}"/>
    <cellStyle name="Normal 5 2 3 3 5 4" xfId="10273" xr:uid="{C21C2D26-24D5-485B-8410-5603B9606CE6}"/>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9546C960-A870-466A-B067-BD8DC4A93FC4}"/>
    <cellStyle name="Normal 5 2 3 3 6 2 3" xfId="12831" xr:uid="{8FE0794E-D8FE-445C-910B-6DEE7864062C}"/>
    <cellStyle name="Normal 5 2 3 3 6 3" xfId="6454" xr:uid="{00000000-0005-0000-0000-0000A8180000}"/>
    <cellStyle name="Normal 5 2 3 3 6 3 2" xfId="14904" xr:uid="{190E073F-07A7-4690-9531-1F803CA5ACCE}"/>
    <cellStyle name="Normal 5 2 3 3 6 4" xfId="10686" xr:uid="{CBC75BEE-8D62-46F5-9E32-9802AD35C9FD}"/>
    <cellStyle name="Normal 5 2 3 3 7" xfId="2584" xr:uid="{00000000-0005-0000-0000-0000A9180000}"/>
    <cellStyle name="Normal 5 2 3 3 7 2" xfId="6867" xr:uid="{00000000-0005-0000-0000-0000AA180000}"/>
    <cellStyle name="Normal 5 2 3 3 7 2 2" xfId="15317" xr:uid="{E686D589-955E-4B56-B081-1D3CD4C6CC0E}"/>
    <cellStyle name="Normal 5 2 3 3 7 3" xfId="11099" xr:uid="{5C1FA76B-8F12-450B-84F5-BF685C6BC19E}"/>
    <cellStyle name="Normal 5 2 3 3 8" xfId="4802" xr:uid="{00000000-0005-0000-0000-0000AB180000}"/>
    <cellStyle name="Normal 5 2 3 3 8 2" xfId="13252" xr:uid="{54F8A0A0-C457-49E4-9A08-62BB02900D8B}"/>
    <cellStyle name="Normal 5 2 3 3 9" xfId="9034" xr:uid="{67434A8F-CA82-4C77-B777-261FBB514DD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1A4E14F5-6FC1-44E8-88D4-D3489C5189A7}"/>
    <cellStyle name="Normal 5 2 3 4 2 2 3" xfId="11594" xr:uid="{48A622A9-113C-4042-872E-155776EF7127}"/>
    <cellStyle name="Normal 5 2 3 4 2 3" xfId="5217" xr:uid="{00000000-0005-0000-0000-0000B0180000}"/>
    <cellStyle name="Normal 5 2 3 4 2 3 2" xfId="13667" xr:uid="{58DF49EA-323B-4B78-8B5D-9FAF493E5B05}"/>
    <cellStyle name="Normal 5 2 3 4 2 4" xfId="9449" xr:uid="{E96468EE-7A6C-401C-88EA-6FC54D5A7B63}"/>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1A439D5F-7F95-4C25-B69C-4671A6DC6944}"/>
    <cellStyle name="Normal 5 2 3 4 3 2 3" xfId="12007" xr:uid="{36717331-6C89-46C8-A145-1318CA22A43A}"/>
    <cellStyle name="Normal 5 2 3 4 3 3" xfId="5630" xr:uid="{00000000-0005-0000-0000-0000B4180000}"/>
    <cellStyle name="Normal 5 2 3 4 3 3 2" xfId="14080" xr:uid="{1774C788-D41A-4CF3-8138-8A5091515CBD}"/>
    <cellStyle name="Normal 5 2 3 4 3 4" xfId="9862" xr:uid="{18CD4A45-A4D5-446E-9B5F-9F911FC8A9D9}"/>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B0780177-54CF-4BAA-B7BE-D4848AF46633}"/>
    <cellStyle name="Normal 5 2 3 4 4 2 3" xfId="12420" xr:uid="{4B6A4A62-BC80-4712-AE75-9D4A6D59B9B9}"/>
    <cellStyle name="Normal 5 2 3 4 4 3" xfId="6043" xr:uid="{00000000-0005-0000-0000-0000B8180000}"/>
    <cellStyle name="Normal 5 2 3 4 4 3 2" xfId="14493" xr:uid="{5BD07336-DA69-4894-AE24-0539156E445F}"/>
    <cellStyle name="Normal 5 2 3 4 4 4" xfId="10275" xr:uid="{B8A97040-B757-4AC6-A700-62E6BB96A9A7}"/>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F3BCE6A4-3CAB-4DB7-883C-2AD42BDAB82D}"/>
    <cellStyle name="Normal 5 2 3 4 5 2 3" xfId="12833" xr:uid="{C42AF48A-C098-4EE6-BDCF-407399CDF906}"/>
    <cellStyle name="Normal 5 2 3 4 5 3" xfId="6456" xr:uid="{00000000-0005-0000-0000-0000BC180000}"/>
    <cellStyle name="Normal 5 2 3 4 5 3 2" xfId="14906" xr:uid="{BB8F2FD8-26FE-49BD-AF81-03D2D5A730F2}"/>
    <cellStyle name="Normal 5 2 3 4 5 4" xfId="10688" xr:uid="{0BD0E2B8-5B77-480A-BB14-50913342FF03}"/>
    <cellStyle name="Normal 5 2 3 4 6" xfId="2586" xr:uid="{00000000-0005-0000-0000-0000BD180000}"/>
    <cellStyle name="Normal 5 2 3 4 6 2" xfId="6869" xr:uid="{00000000-0005-0000-0000-0000BE180000}"/>
    <cellStyle name="Normal 5 2 3 4 6 2 2" xfId="15319" xr:uid="{815B2264-16F9-45B5-A000-5250CE0C62FE}"/>
    <cellStyle name="Normal 5 2 3 4 6 3" xfId="11101" xr:uid="{CA85735E-D14D-46F6-81B1-690D8EBB77C5}"/>
    <cellStyle name="Normal 5 2 3 4 7" xfId="4804" xr:uid="{00000000-0005-0000-0000-0000BF180000}"/>
    <cellStyle name="Normal 5 2 3 4 7 2" xfId="13254" xr:uid="{2029D984-11D5-424C-A98A-9E0B4F453CCD}"/>
    <cellStyle name="Normal 5 2 3 4 8" xfId="9036" xr:uid="{92543815-DF92-4642-9867-AB135B1BE703}"/>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3F8CB29F-C19B-46EC-A9A3-491BBC4A07E6}"/>
    <cellStyle name="Normal 5 2 3 5 2 3" xfId="11587" xr:uid="{98E985CF-1FCB-4FC4-A9AB-9416255C2457}"/>
    <cellStyle name="Normal 5 2 3 5 3" xfId="5210" xr:uid="{00000000-0005-0000-0000-0000C3180000}"/>
    <cellStyle name="Normal 5 2 3 5 3 2" xfId="13660" xr:uid="{713993B8-DCE1-4BF6-93D7-0782182BD154}"/>
    <cellStyle name="Normal 5 2 3 5 4" xfId="9442" xr:uid="{9C6EDE2D-60FB-4E9F-8F37-18A2BB79DAA4}"/>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699C70D9-FE27-4F40-81C1-4454332CCFD6}"/>
    <cellStyle name="Normal 5 2 3 6 2 3" xfId="12000" xr:uid="{559CF973-A4EC-4CF7-8D58-822D73D36F0F}"/>
    <cellStyle name="Normal 5 2 3 6 3" xfId="5623" xr:uid="{00000000-0005-0000-0000-0000C7180000}"/>
    <cellStyle name="Normal 5 2 3 6 3 2" xfId="14073" xr:uid="{25D93E82-31BA-43CE-9E56-2A8C1F63F101}"/>
    <cellStyle name="Normal 5 2 3 6 4" xfId="9855" xr:uid="{64D2EAA1-CB51-475C-8028-9B5E576B54E0}"/>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B025D41A-126B-4072-83F2-7881228FD279}"/>
    <cellStyle name="Normal 5 2 3 7 2 3" xfId="12413" xr:uid="{B0EF1B18-2340-460A-831E-F8CBFE2CEB7C}"/>
    <cellStyle name="Normal 5 2 3 7 3" xfId="6036" xr:uid="{00000000-0005-0000-0000-0000CB180000}"/>
    <cellStyle name="Normal 5 2 3 7 3 2" xfId="14486" xr:uid="{3424BC39-413B-4E48-A6CC-FBDBDEBA8B77}"/>
    <cellStyle name="Normal 5 2 3 7 4" xfId="10268" xr:uid="{D7D2E910-4508-422C-B93B-36D870DE5273}"/>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D47F090E-5024-417F-9139-D609FDBC99AE}"/>
    <cellStyle name="Normal 5 2 3 8 2 3" xfId="12826" xr:uid="{B726F613-8DBB-4CD3-ADD3-736E51FF7F68}"/>
    <cellStyle name="Normal 5 2 3 8 3" xfId="6449" xr:uid="{00000000-0005-0000-0000-0000CF180000}"/>
    <cellStyle name="Normal 5 2 3 8 3 2" xfId="14899" xr:uid="{3262C952-0AAB-4793-8A23-DF1CA8053853}"/>
    <cellStyle name="Normal 5 2 3 8 4" xfId="10681" xr:uid="{CF613E56-B250-49DE-8694-807F422C7747}"/>
    <cellStyle name="Normal 5 2 3 9" xfId="2579" xr:uid="{00000000-0005-0000-0000-0000D0180000}"/>
    <cellStyle name="Normal 5 2 3 9 2" xfId="6862" xr:uid="{00000000-0005-0000-0000-0000D1180000}"/>
    <cellStyle name="Normal 5 2 3 9 2 2" xfId="15312" xr:uid="{D4F0148E-55A7-46A4-A916-EF9A8F39231E}"/>
    <cellStyle name="Normal 5 2 3 9 3" xfId="11094" xr:uid="{79515D3E-7F2D-40DC-84F9-C5957864C5BF}"/>
    <cellStyle name="Normal 5 2 4" xfId="432" xr:uid="{00000000-0005-0000-0000-0000D2180000}"/>
    <cellStyle name="Normal 5 2 4 10" xfId="9037" xr:uid="{97587224-97C0-4C06-B4DB-56C01571154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761305DE-179F-436F-88A1-AEF9E11F7B70}"/>
    <cellStyle name="Normal 5 2 4 2 2 2 2 3" xfId="11597" xr:uid="{8D2ACC25-2658-4458-BE6E-5785702EB1AB}"/>
    <cellStyle name="Normal 5 2 4 2 2 2 3" xfId="5220" xr:uid="{00000000-0005-0000-0000-0000D8180000}"/>
    <cellStyle name="Normal 5 2 4 2 2 2 3 2" xfId="13670" xr:uid="{481255D0-EA2C-4628-B88A-C8AEB672BB75}"/>
    <cellStyle name="Normal 5 2 4 2 2 2 4" xfId="9452" xr:uid="{D4B65C2A-6B92-4734-A287-E59D85B72B39}"/>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01D2D69C-64C5-46AB-93B5-6C6A393273E3}"/>
    <cellStyle name="Normal 5 2 4 2 2 3 2 3" xfId="12010" xr:uid="{8E167AEC-43B9-48E8-9B40-57DD57D0DA49}"/>
    <cellStyle name="Normal 5 2 4 2 2 3 3" xfId="5633" xr:uid="{00000000-0005-0000-0000-0000DC180000}"/>
    <cellStyle name="Normal 5 2 4 2 2 3 3 2" xfId="14083" xr:uid="{4B5E3188-684B-4DB4-856E-45F6E398D559}"/>
    <cellStyle name="Normal 5 2 4 2 2 3 4" xfId="9865" xr:uid="{446A0D34-156B-455E-8D78-A89F9A73F8F5}"/>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BEAE64D5-8E65-41F3-879F-56703C65613E}"/>
    <cellStyle name="Normal 5 2 4 2 2 4 2 3" xfId="12423" xr:uid="{1271EA95-0D4D-4BE8-923F-F543B76BF23B}"/>
    <cellStyle name="Normal 5 2 4 2 2 4 3" xfId="6046" xr:uid="{00000000-0005-0000-0000-0000E0180000}"/>
    <cellStyle name="Normal 5 2 4 2 2 4 3 2" xfId="14496" xr:uid="{96AFE91B-FE65-410D-BFA0-FE769AE62F29}"/>
    <cellStyle name="Normal 5 2 4 2 2 4 4" xfId="10278" xr:uid="{F9DE67CC-DFC0-4C54-B1CE-270772574094}"/>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EA30A57F-952C-492D-8E6F-433E2FC81145}"/>
    <cellStyle name="Normal 5 2 4 2 2 5 2 3" xfId="12836" xr:uid="{953DD8AE-7BA0-4716-9A06-823DD2C01287}"/>
    <cellStyle name="Normal 5 2 4 2 2 5 3" xfId="6459" xr:uid="{00000000-0005-0000-0000-0000E4180000}"/>
    <cellStyle name="Normal 5 2 4 2 2 5 3 2" xfId="14909" xr:uid="{E8883852-C512-4231-AC29-5A0026693B6E}"/>
    <cellStyle name="Normal 5 2 4 2 2 5 4" xfId="10691" xr:uid="{D22980CC-7782-4863-86B5-F39D2F5872E1}"/>
    <cellStyle name="Normal 5 2 4 2 2 6" xfId="2589" xr:uid="{00000000-0005-0000-0000-0000E5180000}"/>
    <cellStyle name="Normal 5 2 4 2 2 6 2" xfId="6872" xr:uid="{00000000-0005-0000-0000-0000E6180000}"/>
    <cellStyle name="Normal 5 2 4 2 2 6 2 2" xfId="15322" xr:uid="{AB01B1D6-9900-4C0B-AAC9-6DB72D7ECE55}"/>
    <cellStyle name="Normal 5 2 4 2 2 6 3" xfId="11104" xr:uid="{4395E800-1D7C-49C6-AF0B-5876FEA6BFF2}"/>
    <cellStyle name="Normal 5 2 4 2 2 7" xfId="4807" xr:uid="{00000000-0005-0000-0000-0000E7180000}"/>
    <cellStyle name="Normal 5 2 4 2 2 7 2" xfId="13257" xr:uid="{3A293EAC-0B4E-4F1B-89CA-C72D4B2BEC80}"/>
    <cellStyle name="Normal 5 2 4 2 2 8" xfId="9039" xr:uid="{5782901D-E9AD-4D19-9161-A09AFDA28A2D}"/>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12200C43-6F77-495D-8950-3EC960AB5C26}"/>
    <cellStyle name="Normal 5 2 4 2 3 2 3" xfId="11596" xr:uid="{04E7EEF5-B5F0-4218-80B0-9F74EA00F4EA}"/>
    <cellStyle name="Normal 5 2 4 2 3 3" xfId="5219" xr:uid="{00000000-0005-0000-0000-0000EB180000}"/>
    <cellStyle name="Normal 5 2 4 2 3 3 2" xfId="13669" xr:uid="{77EA46AE-F174-4193-A4F9-A0D984F46DF3}"/>
    <cellStyle name="Normal 5 2 4 2 3 4" xfId="9451" xr:uid="{F81C3CBD-E1BF-414E-BBA9-812E4DC08006}"/>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E8C881D7-F57C-44FC-928E-7C6BAE4CF7F6}"/>
    <cellStyle name="Normal 5 2 4 2 4 2 3" xfId="12009" xr:uid="{22787456-795C-478A-B216-BF9435CF5FAC}"/>
    <cellStyle name="Normal 5 2 4 2 4 3" xfId="5632" xr:uid="{00000000-0005-0000-0000-0000EF180000}"/>
    <cellStyle name="Normal 5 2 4 2 4 3 2" xfId="14082" xr:uid="{F4212041-3212-4493-A279-786D51B4C87D}"/>
    <cellStyle name="Normal 5 2 4 2 4 4" xfId="9864" xr:uid="{F86A7627-23E1-4B70-9809-E10BCA1CFD16}"/>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6656E63C-3DEE-4526-947C-E3EE05EA172F}"/>
    <cellStyle name="Normal 5 2 4 2 5 2 3" xfId="12422" xr:uid="{3FAF0FB3-98C7-49DB-A315-BBEB49E14D7D}"/>
    <cellStyle name="Normal 5 2 4 2 5 3" xfId="6045" xr:uid="{00000000-0005-0000-0000-0000F3180000}"/>
    <cellStyle name="Normal 5 2 4 2 5 3 2" xfId="14495" xr:uid="{F2B2528C-0B3A-4520-B9BF-267482E44044}"/>
    <cellStyle name="Normal 5 2 4 2 5 4" xfId="10277" xr:uid="{30C078DF-869E-4A1B-A89F-0AD56D811189}"/>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255B02B6-E0F8-48A0-927D-8AA34C96DC14}"/>
    <cellStyle name="Normal 5 2 4 2 6 2 3" xfId="12835" xr:uid="{1FB37DAD-20C2-4F01-9572-D055E9A4FBAF}"/>
    <cellStyle name="Normal 5 2 4 2 6 3" xfId="6458" xr:uid="{00000000-0005-0000-0000-0000F7180000}"/>
    <cellStyle name="Normal 5 2 4 2 6 3 2" xfId="14908" xr:uid="{761787C7-2682-49EA-A374-E025D3305119}"/>
    <cellStyle name="Normal 5 2 4 2 6 4" xfId="10690" xr:uid="{B14B4720-BDCF-4BB4-9AE5-369252D9F194}"/>
    <cellStyle name="Normal 5 2 4 2 7" xfId="2588" xr:uid="{00000000-0005-0000-0000-0000F8180000}"/>
    <cellStyle name="Normal 5 2 4 2 7 2" xfId="6871" xr:uid="{00000000-0005-0000-0000-0000F9180000}"/>
    <cellStyle name="Normal 5 2 4 2 7 2 2" xfId="15321" xr:uid="{907C6658-1C67-4C4F-B67F-7D89F06BDF23}"/>
    <cellStyle name="Normal 5 2 4 2 7 3" xfId="11103" xr:uid="{9AECB6A6-AC62-4181-9297-886B9DF24B0C}"/>
    <cellStyle name="Normal 5 2 4 2 8" xfId="4806" xr:uid="{00000000-0005-0000-0000-0000FA180000}"/>
    <cellStyle name="Normal 5 2 4 2 8 2" xfId="13256" xr:uid="{7598D471-0237-47DB-B2F8-D4072C1C250A}"/>
    <cellStyle name="Normal 5 2 4 2 9" xfId="9038" xr:uid="{B0EDD0BF-CDE1-4155-A216-2943B7428DAA}"/>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D5BBC95C-9050-43B1-8AC0-DF8ADDF47137}"/>
    <cellStyle name="Normal 5 2 4 3 2 2 3" xfId="11598" xr:uid="{8D906132-120C-4219-AC53-90DB0FC01CAD}"/>
    <cellStyle name="Normal 5 2 4 3 2 3" xfId="5221" xr:uid="{00000000-0005-0000-0000-0000FF180000}"/>
    <cellStyle name="Normal 5 2 4 3 2 3 2" xfId="13671" xr:uid="{7B1FC6A0-3049-4A3D-82E8-7C5CC5E8C0F2}"/>
    <cellStyle name="Normal 5 2 4 3 2 4" xfId="9453" xr:uid="{873F95AE-4241-4D48-891C-F1242B562BE4}"/>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927FCEC1-BA2D-4F62-A8E0-4D8DF849A429}"/>
    <cellStyle name="Normal 5 2 4 3 3 2 3" xfId="12011" xr:uid="{85163F16-44EF-4B48-804B-83E9D64C25AC}"/>
    <cellStyle name="Normal 5 2 4 3 3 3" xfId="5634" xr:uid="{00000000-0005-0000-0000-000003190000}"/>
    <cellStyle name="Normal 5 2 4 3 3 3 2" xfId="14084" xr:uid="{2F4ACC65-2D00-4757-8570-108AA1D8DE93}"/>
    <cellStyle name="Normal 5 2 4 3 3 4" xfId="9866" xr:uid="{0E81ADF9-3EB2-4F22-A2CD-C4C83C85BCC4}"/>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6ACF75D4-2A9E-4958-9D8A-FB08D886716B}"/>
    <cellStyle name="Normal 5 2 4 3 4 2 3" xfId="12424" xr:uid="{2D1BA469-C87D-42CC-9645-C1BC28DB15EC}"/>
    <cellStyle name="Normal 5 2 4 3 4 3" xfId="6047" xr:uid="{00000000-0005-0000-0000-000007190000}"/>
    <cellStyle name="Normal 5 2 4 3 4 3 2" xfId="14497" xr:uid="{6D8323EF-648B-4520-8BD2-0315B97C5778}"/>
    <cellStyle name="Normal 5 2 4 3 4 4" xfId="10279" xr:uid="{81D5C787-2347-4970-BCBC-00A04CB0FF8C}"/>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5D9F1060-C205-4401-8223-FA4FCE5A74E1}"/>
    <cellStyle name="Normal 5 2 4 3 5 2 3" xfId="12837" xr:uid="{20431688-4C26-481C-900C-FFF13CDA46EF}"/>
    <cellStyle name="Normal 5 2 4 3 5 3" xfId="6460" xr:uid="{00000000-0005-0000-0000-00000B190000}"/>
    <cellStyle name="Normal 5 2 4 3 5 3 2" xfId="14910" xr:uid="{4DABD4B2-BEE6-41CA-B97B-F3C3D936D5CE}"/>
    <cellStyle name="Normal 5 2 4 3 5 4" xfId="10692" xr:uid="{E2E872C1-4C0F-4C9D-8AC3-D9639752E119}"/>
    <cellStyle name="Normal 5 2 4 3 6" xfId="2590" xr:uid="{00000000-0005-0000-0000-00000C190000}"/>
    <cellStyle name="Normal 5 2 4 3 6 2" xfId="6873" xr:uid="{00000000-0005-0000-0000-00000D190000}"/>
    <cellStyle name="Normal 5 2 4 3 6 2 2" xfId="15323" xr:uid="{7E4C1830-7590-4431-AFD6-9AD5AABCEBA9}"/>
    <cellStyle name="Normal 5 2 4 3 6 3" xfId="11105" xr:uid="{9B60F5EE-6800-48F3-86E4-C71672033521}"/>
    <cellStyle name="Normal 5 2 4 3 7" xfId="4808" xr:uid="{00000000-0005-0000-0000-00000E190000}"/>
    <cellStyle name="Normal 5 2 4 3 7 2" xfId="13258" xr:uid="{40786593-63EB-4D99-A029-DFBF57CB0025}"/>
    <cellStyle name="Normal 5 2 4 3 8" xfId="9040" xr:uid="{8D4DC678-BE94-499B-8B5E-0292713B2119}"/>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D9F26E11-BC3B-4DE2-A926-853EC1D7688E}"/>
    <cellStyle name="Normal 5 2 4 4 2 3" xfId="11595" xr:uid="{B0B37E51-806B-45CC-909E-FFE3CAAAFB5C}"/>
    <cellStyle name="Normal 5 2 4 4 3" xfId="5218" xr:uid="{00000000-0005-0000-0000-000012190000}"/>
    <cellStyle name="Normal 5 2 4 4 3 2" xfId="13668" xr:uid="{A3ECAE1F-981D-4CA7-99CD-6F9DF748568B}"/>
    <cellStyle name="Normal 5 2 4 4 4" xfId="9450" xr:uid="{C417A768-A7A9-49A8-AF2F-B01AC90C6FAE}"/>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DABCB1F2-74BA-4380-9BBF-550A74762380}"/>
    <cellStyle name="Normal 5 2 4 5 2 3" xfId="12008" xr:uid="{898201D9-0E4F-4CDA-891E-D75DFC0B0A96}"/>
    <cellStyle name="Normal 5 2 4 5 3" xfId="5631" xr:uid="{00000000-0005-0000-0000-000016190000}"/>
    <cellStyle name="Normal 5 2 4 5 3 2" xfId="14081" xr:uid="{BCFB8608-E2E6-4BB8-824C-06459453DB09}"/>
    <cellStyle name="Normal 5 2 4 5 4" xfId="9863" xr:uid="{146057EC-899F-405F-BB6B-097E741B9966}"/>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E5C5AE52-0640-4A25-B155-E37AAA79ABC6}"/>
    <cellStyle name="Normal 5 2 4 6 2 3" xfId="12421" xr:uid="{FDE3CF24-DE92-46A9-AC47-B82DEAD96DE8}"/>
    <cellStyle name="Normal 5 2 4 6 3" xfId="6044" xr:uid="{00000000-0005-0000-0000-00001A190000}"/>
    <cellStyle name="Normal 5 2 4 6 3 2" xfId="14494" xr:uid="{3EDE4609-8947-48A1-B31D-B3A27D1777E5}"/>
    <cellStyle name="Normal 5 2 4 6 4" xfId="10276" xr:uid="{C80833C8-1BA1-41E3-8632-CF3CEA94FB52}"/>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E86E663C-1C81-4481-A7D6-20F0184199F9}"/>
    <cellStyle name="Normal 5 2 4 7 2 3" xfId="12834" xr:uid="{94B43431-4243-4E95-B41A-8B1CB47EB6E8}"/>
    <cellStyle name="Normal 5 2 4 7 3" xfId="6457" xr:uid="{00000000-0005-0000-0000-00001E190000}"/>
    <cellStyle name="Normal 5 2 4 7 3 2" xfId="14907" xr:uid="{62BD5ABD-98C0-4662-82FA-221A4761EF9C}"/>
    <cellStyle name="Normal 5 2 4 7 4" xfId="10689" xr:uid="{B377B89E-D839-4556-9EF2-3DC95B4DD520}"/>
    <cellStyle name="Normal 5 2 4 8" xfId="2587" xr:uid="{00000000-0005-0000-0000-00001F190000}"/>
    <cellStyle name="Normal 5 2 4 8 2" xfId="6870" xr:uid="{00000000-0005-0000-0000-000020190000}"/>
    <cellStyle name="Normal 5 2 4 8 2 2" xfId="15320" xr:uid="{DE59EB1C-1722-47B2-A58B-89E8D0ABCEBA}"/>
    <cellStyle name="Normal 5 2 4 8 3" xfId="11102" xr:uid="{AABB79EC-95AA-4F95-B784-595B11EEDCCC}"/>
    <cellStyle name="Normal 5 2 4 9" xfId="4805" xr:uid="{00000000-0005-0000-0000-000021190000}"/>
    <cellStyle name="Normal 5 2 4 9 2" xfId="13255" xr:uid="{902AEA28-2B51-4C07-97EC-0A421278B59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95DC5C1D-2251-4559-8843-237B10E997ED}"/>
    <cellStyle name="Normal 5 2 5 2 2 2 3" xfId="11600" xr:uid="{EC6EF5A9-7BB0-4542-A3DF-88F27456154B}"/>
    <cellStyle name="Normal 5 2 5 2 2 3" xfId="5223" xr:uid="{00000000-0005-0000-0000-000027190000}"/>
    <cellStyle name="Normal 5 2 5 2 2 3 2" xfId="13673" xr:uid="{C2845C1C-C201-4588-8538-79424E8E9D34}"/>
    <cellStyle name="Normal 5 2 5 2 2 4" xfId="9455" xr:uid="{1E7BB1F2-9FAD-4F34-8034-E03488C64F44}"/>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D82C6D14-4C5B-4DA9-9DFA-7EA1F99DEA98}"/>
    <cellStyle name="Normal 5 2 5 2 3 2 3" xfId="12013" xr:uid="{76689D87-921F-454B-ADA9-F7F8AF1780DA}"/>
    <cellStyle name="Normal 5 2 5 2 3 3" xfId="5636" xr:uid="{00000000-0005-0000-0000-00002B190000}"/>
    <cellStyle name="Normal 5 2 5 2 3 3 2" xfId="14086" xr:uid="{687D7FE4-F3BE-45C0-B099-C48FC0786831}"/>
    <cellStyle name="Normal 5 2 5 2 3 4" xfId="9868" xr:uid="{FD1C32CE-2BCD-4AA4-8F30-CEAE28382690}"/>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20545908-F508-4A93-B223-55FB31DBBCEC}"/>
    <cellStyle name="Normal 5 2 5 2 4 2 3" xfId="12426" xr:uid="{A07CC6FF-1E8F-4C63-85E5-3A0F08F644AE}"/>
    <cellStyle name="Normal 5 2 5 2 4 3" xfId="6049" xr:uid="{00000000-0005-0000-0000-00002F190000}"/>
    <cellStyle name="Normal 5 2 5 2 4 3 2" xfId="14499" xr:uid="{1F01C712-E797-459B-8ECA-DD93C7B0CD7B}"/>
    <cellStyle name="Normal 5 2 5 2 4 4" xfId="10281" xr:uid="{3D22C9AF-5720-472E-BC2A-F5D1FF883A09}"/>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E0A0666B-0AD2-4EDB-A33F-9C23AD111C2B}"/>
    <cellStyle name="Normal 5 2 5 2 5 2 3" xfId="12839" xr:uid="{DF80F0C1-D822-4CA7-8AFD-EB4E275CC120}"/>
    <cellStyle name="Normal 5 2 5 2 5 3" xfId="6462" xr:uid="{00000000-0005-0000-0000-000033190000}"/>
    <cellStyle name="Normal 5 2 5 2 5 3 2" xfId="14912" xr:uid="{B2D7A8CB-AB77-4A15-ADDD-F34B8A3C3F73}"/>
    <cellStyle name="Normal 5 2 5 2 5 4" xfId="10694" xr:uid="{A39C5C1A-5771-49D3-810A-4129ABCD5A84}"/>
    <cellStyle name="Normal 5 2 5 2 6" xfId="2592" xr:uid="{00000000-0005-0000-0000-000034190000}"/>
    <cellStyle name="Normal 5 2 5 2 6 2" xfId="6875" xr:uid="{00000000-0005-0000-0000-000035190000}"/>
    <cellStyle name="Normal 5 2 5 2 6 2 2" xfId="15325" xr:uid="{B4C063BE-DAC1-4E5F-B4F4-5D41024FB866}"/>
    <cellStyle name="Normal 5 2 5 2 6 3" xfId="11107" xr:uid="{B89C2BC4-1057-4888-8B0F-3641484BAB1E}"/>
    <cellStyle name="Normal 5 2 5 2 7" xfId="4810" xr:uid="{00000000-0005-0000-0000-000036190000}"/>
    <cellStyle name="Normal 5 2 5 2 7 2" xfId="13260" xr:uid="{71820A34-5903-408D-B9CF-ED123AC08C1C}"/>
    <cellStyle name="Normal 5 2 5 2 8" xfId="9042" xr:uid="{BC52BC6A-4179-4FD1-9E04-7DEB75061468}"/>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52319443-0A34-4608-A0A9-4648EA1F0694}"/>
    <cellStyle name="Normal 5 2 5 3 2 3" xfId="11599" xr:uid="{7B45C990-5AD5-432C-B641-1CA5EF9FCE1B}"/>
    <cellStyle name="Normal 5 2 5 3 3" xfId="5222" xr:uid="{00000000-0005-0000-0000-00003A190000}"/>
    <cellStyle name="Normal 5 2 5 3 3 2" xfId="13672" xr:uid="{135B394E-2D48-4CBF-8AF6-603A763D6AA4}"/>
    <cellStyle name="Normal 5 2 5 3 4" xfId="9454" xr:uid="{4470827C-11AE-4AAB-9EFE-48F637676F10}"/>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CE59F2D6-6566-4FD2-B94C-36826E666170}"/>
    <cellStyle name="Normal 5 2 5 4 2 3" xfId="12012" xr:uid="{252B5C1F-F038-423C-8EFB-4580C89DC2E0}"/>
    <cellStyle name="Normal 5 2 5 4 3" xfId="5635" xr:uid="{00000000-0005-0000-0000-00003E190000}"/>
    <cellStyle name="Normal 5 2 5 4 3 2" xfId="14085" xr:uid="{939CC775-55C7-4D05-A530-A3FADA1CB90A}"/>
    <cellStyle name="Normal 5 2 5 4 4" xfId="9867" xr:uid="{38A92D2D-6424-4DDA-9A3D-31A9E89075DF}"/>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E4A852C6-3425-497A-9310-C939BE860BF7}"/>
    <cellStyle name="Normal 5 2 5 5 2 3" xfId="12425" xr:uid="{9052C71D-01C9-4DB2-90A8-7711C7F5BE42}"/>
    <cellStyle name="Normal 5 2 5 5 3" xfId="6048" xr:uid="{00000000-0005-0000-0000-000042190000}"/>
    <cellStyle name="Normal 5 2 5 5 3 2" xfId="14498" xr:uid="{D7ACC4DD-F587-4A5A-B259-FE5072A0D7F0}"/>
    <cellStyle name="Normal 5 2 5 5 4" xfId="10280" xr:uid="{4B2996D5-0F5B-494A-ACFA-44765740A7EA}"/>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8C0B287E-CA12-4ED6-8D18-868517E6E9FE}"/>
    <cellStyle name="Normal 5 2 5 6 2 3" xfId="12838" xr:uid="{6F4D30DB-1824-4D61-B8BB-EC024EF197BC}"/>
    <cellStyle name="Normal 5 2 5 6 3" xfId="6461" xr:uid="{00000000-0005-0000-0000-000046190000}"/>
    <cellStyle name="Normal 5 2 5 6 3 2" xfId="14911" xr:uid="{35C88BF6-2472-4BD9-AF31-490B3FEBB119}"/>
    <cellStyle name="Normal 5 2 5 6 4" xfId="10693" xr:uid="{300D7894-18B2-460C-AFCE-0C72F08B44D7}"/>
    <cellStyle name="Normal 5 2 5 7" xfId="2591" xr:uid="{00000000-0005-0000-0000-000047190000}"/>
    <cellStyle name="Normal 5 2 5 7 2" xfId="6874" xr:uid="{00000000-0005-0000-0000-000048190000}"/>
    <cellStyle name="Normal 5 2 5 7 2 2" xfId="15324" xr:uid="{5C83AC9D-7877-4D72-BB8F-1A1E9D0C1235}"/>
    <cellStyle name="Normal 5 2 5 7 3" xfId="11106" xr:uid="{C88FB0D9-621E-422D-973B-8D3C46F993A1}"/>
    <cellStyle name="Normal 5 2 5 8" xfId="4809" xr:uid="{00000000-0005-0000-0000-000049190000}"/>
    <cellStyle name="Normal 5 2 5 8 2" xfId="13259" xr:uid="{40FC06DD-1363-4024-AB7C-055BEFE36949}"/>
    <cellStyle name="Normal 5 2 5 9" xfId="9041" xr:uid="{752B9810-7D8B-4DC7-B1FF-195B1D557ED8}"/>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E4D9E82C-DD7E-44C8-8316-CED64D62E9F2}"/>
    <cellStyle name="Normal 5 2 6 2 2 3" xfId="11601" xr:uid="{B5159288-348A-4472-B82C-65488792A56F}"/>
    <cellStyle name="Normal 5 2 6 2 3" xfId="5224" xr:uid="{00000000-0005-0000-0000-00004E190000}"/>
    <cellStyle name="Normal 5 2 6 2 3 2" xfId="13674" xr:uid="{57DA0414-95F8-4BEA-B7A0-8FBD1E01AD73}"/>
    <cellStyle name="Normal 5 2 6 2 4" xfId="9456" xr:uid="{0BBA690C-49FA-476B-BFF7-EACF16F8FAB1}"/>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BAA6AAC0-1533-47C2-8EAF-C99CFE69B7A0}"/>
    <cellStyle name="Normal 5 2 6 3 2 3" xfId="12014" xr:uid="{3A91E7D3-7780-4372-9A36-C6F6F7F14840}"/>
    <cellStyle name="Normal 5 2 6 3 3" xfId="5637" xr:uid="{00000000-0005-0000-0000-000052190000}"/>
    <cellStyle name="Normal 5 2 6 3 3 2" xfId="14087" xr:uid="{FF23CF13-D890-477F-B2E8-EDF40B5AB2D0}"/>
    <cellStyle name="Normal 5 2 6 3 4" xfId="9869" xr:uid="{1173ABCC-05CE-4833-BD92-55156E464832}"/>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FE4EECC8-929F-482F-BA46-BB07DB792F72}"/>
    <cellStyle name="Normal 5 2 6 4 2 3" xfId="12427" xr:uid="{AB29D761-21AD-4F1D-BC93-0071319DB29E}"/>
    <cellStyle name="Normal 5 2 6 4 3" xfId="6050" xr:uid="{00000000-0005-0000-0000-000056190000}"/>
    <cellStyle name="Normal 5 2 6 4 3 2" xfId="14500" xr:uid="{7845A3E6-D3B0-4159-A91B-D3FE65812022}"/>
    <cellStyle name="Normal 5 2 6 4 4" xfId="10282" xr:uid="{BB52454A-5FC0-4F4E-9BAF-96941BC92377}"/>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A251C451-BCFF-4C4B-9E1D-C665EA66BA1D}"/>
    <cellStyle name="Normal 5 2 6 5 2 3" xfId="12840" xr:uid="{CD567855-3837-4929-ABBB-8BCD3486DD37}"/>
    <cellStyle name="Normal 5 2 6 5 3" xfId="6463" xr:uid="{00000000-0005-0000-0000-00005A190000}"/>
    <cellStyle name="Normal 5 2 6 5 3 2" xfId="14913" xr:uid="{5679A79D-8861-4C6A-B2C5-0E3A32824081}"/>
    <cellStyle name="Normal 5 2 6 5 4" xfId="10695" xr:uid="{74BFEB10-0CE7-457D-8F97-D3749ACAE303}"/>
    <cellStyle name="Normal 5 2 6 6" xfId="2593" xr:uid="{00000000-0005-0000-0000-00005B190000}"/>
    <cellStyle name="Normal 5 2 6 6 2" xfId="6876" xr:uid="{00000000-0005-0000-0000-00005C190000}"/>
    <cellStyle name="Normal 5 2 6 6 2 2" xfId="15326" xr:uid="{9CBCD4FA-4DBC-42A3-9415-257564FD0E2E}"/>
    <cellStyle name="Normal 5 2 6 6 3" xfId="11108" xr:uid="{E43C16DA-B579-4431-8EB1-0E3EEC13EA8E}"/>
    <cellStyle name="Normal 5 2 6 7" xfId="4811" xr:uid="{00000000-0005-0000-0000-00005D190000}"/>
    <cellStyle name="Normal 5 2 6 7 2" xfId="13261" xr:uid="{A92009D0-B246-4D6B-AD7F-2343DC15E006}"/>
    <cellStyle name="Normal 5 2 6 8" xfId="9043" xr:uid="{950FFE8D-E672-4F2D-B2E1-3C01DCECAC36}"/>
    <cellStyle name="Normal 5 2 7" xfId="881" xr:uid="{00000000-0005-0000-0000-00005E190000}"/>
    <cellStyle name="Normal 5 2 7 2" xfId="3116" xr:uid="{00000000-0005-0000-0000-00005F190000}"/>
    <cellStyle name="Normal 5 2 7 2 2" xfId="7338" xr:uid="{00000000-0005-0000-0000-000060190000}"/>
    <cellStyle name="Normal 5 2 7 2 2 2" xfId="15788" xr:uid="{6FB70E81-068D-4883-8362-AE9C28F8B8B5}"/>
    <cellStyle name="Normal 5 2 7 2 3" xfId="11570" xr:uid="{62EE9C33-916F-48C0-B8CC-BC32146A51D7}"/>
    <cellStyle name="Normal 5 2 7 3" xfId="5193" xr:uid="{00000000-0005-0000-0000-000061190000}"/>
    <cellStyle name="Normal 5 2 7 3 2" xfId="13643" xr:uid="{2D8D0AFE-4A30-4A1B-83BB-5935A0789B73}"/>
    <cellStyle name="Normal 5 2 7 4" xfId="9425" xr:uid="{CB836475-1455-40BA-8A1F-34C963688A7C}"/>
    <cellStyle name="Normal 5 2 8" xfId="1299" xr:uid="{00000000-0005-0000-0000-000062190000}"/>
    <cellStyle name="Normal 5 2 8 2" xfId="3529" xr:uid="{00000000-0005-0000-0000-000063190000}"/>
    <cellStyle name="Normal 5 2 8 2 2" xfId="7751" xr:uid="{00000000-0005-0000-0000-000064190000}"/>
    <cellStyle name="Normal 5 2 8 2 2 2" xfId="16201" xr:uid="{072D94F7-D49C-4B4A-B3EE-D40C57C1251E}"/>
    <cellStyle name="Normal 5 2 8 2 3" xfId="11983" xr:uid="{D6B15CC0-FA3C-4E50-B1EE-5A9199525C8B}"/>
    <cellStyle name="Normal 5 2 8 3" xfId="5606" xr:uid="{00000000-0005-0000-0000-000065190000}"/>
    <cellStyle name="Normal 5 2 8 3 2" xfId="14056" xr:uid="{804AA984-8077-44B8-9B75-64E2BCD856BA}"/>
    <cellStyle name="Normal 5 2 8 4" xfId="9838" xr:uid="{2F54E5B8-D07F-4B4E-B96B-5563F52F0FBF}"/>
    <cellStyle name="Normal 5 2 9" xfId="1712" xr:uid="{00000000-0005-0000-0000-000066190000}"/>
    <cellStyle name="Normal 5 2 9 2" xfId="3942" xr:uid="{00000000-0005-0000-0000-000067190000}"/>
    <cellStyle name="Normal 5 2 9 2 2" xfId="8164" xr:uid="{00000000-0005-0000-0000-000068190000}"/>
    <cellStyle name="Normal 5 2 9 2 2 2" xfId="16614" xr:uid="{ED19221F-9CFC-4AE5-9A56-B597BD26BEAB}"/>
    <cellStyle name="Normal 5 2 9 2 3" xfId="12396" xr:uid="{F44855B0-97D5-4A21-8186-CC0A84D17AB2}"/>
    <cellStyle name="Normal 5 2 9 3" xfId="6019" xr:uid="{00000000-0005-0000-0000-000069190000}"/>
    <cellStyle name="Normal 5 2 9 3 2" xfId="14469" xr:uid="{6C3545ED-9941-4A8B-AD72-6F081AB3EE65}"/>
    <cellStyle name="Normal 5 2 9 4" xfId="10251" xr:uid="{3F2A16F5-1874-4C02-8E80-35C4D97674B2}"/>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E41E6B68-71A1-4CE6-BD26-98ED856FA145}"/>
    <cellStyle name="Normal 5 3 10 2 3" xfId="12841" xr:uid="{03DC7874-957F-4FF0-8E71-4C3FD93E7F43}"/>
    <cellStyle name="Normal 5 3 10 3" xfId="6464" xr:uid="{00000000-0005-0000-0000-00006E190000}"/>
    <cellStyle name="Normal 5 3 10 3 2" xfId="14914" xr:uid="{6B0A045B-C9D2-4BFA-9DBB-EEF84775C61D}"/>
    <cellStyle name="Normal 5 3 10 4" xfId="10696" xr:uid="{2D62F22A-57C8-47E5-A7FB-52A1B4E56261}"/>
    <cellStyle name="Normal 5 3 11" xfId="2594" xr:uid="{00000000-0005-0000-0000-00006F190000}"/>
    <cellStyle name="Normal 5 3 11 2" xfId="6877" xr:uid="{00000000-0005-0000-0000-000070190000}"/>
    <cellStyle name="Normal 5 3 11 2 2" xfId="15327" xr:uid="{D56A845B-7C38-42A5-BC1D-DECCFC82E395}"/>
    <cellStyle name="Normal 5 3 11 3" xfId="11109" xr:uid="{9AE974B9-C337-496A-93EA-9BBB6D13456A}"/>
    <cellStyle name="Normal 5 3 12" xfId="4812" xr:uid="{00000000-0005-0000-0000-000071190000}"/>
    <cellStyle name="Normal 5 3 12 2" xfId="13262" xr:uid="{295B3A87-0DED-4B92-B3E1-24B60C603C08}"/>
    <cellStyle name="Normal 5 3 13" xfId="9044" xr:uid="{5C0F43C5-E703-48B8-9C2F-2F4D034AC92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9B9C13C2-1E4E-4551-9869-428FEBCE4A32}"/>
    <cellStyle name="Normal 5 3 3 11" xfId="9045" xr:uid="{DBD20991-9687-40A5-92F6-5C366B76D70F}"/>
    <cellStyle name="Normal 5 3 3 2" xfId="442" xr:uid="{00000000-0005-0000-0000-000076190000}"/>
    <cellStyle name="Normal 5 3 3 2 10" xfId="9046" xr:uid="{BFF8276A-3E13-4184-B992-4E3487DC7CC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82217ACA-A708-4D3A-B69C-E56487B875BF}"/>
    <cellStyle name="Normal 5 3 3 2 2 2 2 2 3" xfId="11606" xr:uid="{1E5CD112-B57C-4A89-8CA0-DB1416E46ABD}"/>
    <cellStyle name="Normal 5 3 3 2 2 2 2 3" xfId="5229" xr:uid="{00000000-0005-0000-0000-00007C190000}"/>
    <cellStyle name="Normal 5 3 3 2 2 2 2 3 2" xfId="13679" xr:uid="{CEF7D31F-AC71-4A74-A888-AB6074F6AE31}"/>
    <cellStyle name="Normal 5 3 3 2 2 2 2 4" xfId="9461" xr:uid="{713FA358-7179-4790-A506-653234C80337}"/>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81E7110E-39DE-4610-AB9C-2DDBDE931A22}"/>
    <cellStyle name="Normal 5 3 3 2 2 2 3 2 3" xfId="12019" xr:uid="{630E9165-A98B-4753-AE10-82E7C0BFC3F4}"/>
    <cellStyle name="Normal 5 3 3 2 2 2 3 3" xfId="5642" xr:uid="{00000000-0005-0000-0000-000080190000}"/>
    <cellStyle name="Normal 5 3 3 2 2 2 3 3 2" xfId="14092" xr:uid="{4668FAC0-34A0-4786-A3D0-AD8A9D8FF609}"/>
    <cellStyle name="Normal 5 3 3 2 2 2 3 4" xfId="9874" xr:uid="{47966133-180D-43C4-B82E-128DF992865D}"/>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B9FA6052-A491-4AEE-9B40-143CCB96486C}"/>
    <cellStyle name="Normal 5 3 3 2 2 2 4 2 3" xfId="12432" xr:uid="{031D2A52-B3B2-4C0B-A9DD-92E1B97986FE}"/>
    <cellStyle name="Normal 5 3 3 2 2 2 4 3" xfId="6055" xr:uid="{00000000-0005-0000-0000-000084190000}"/>
    <cellStyle name="Normal 5 3 3 2 2 2 4 3 2" xfId="14505" xr:uid="{20709C8B-6329-4B77-B7CC-C51DE8B7CD0F}"/>
    <cellStyle name="Normal 5 3 3 2 2 2 4 4" xfId="10287" xr:uid="{A3664848-BD04-48CB-BBCB-417444808CE2}"/>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FC58E49F-5E86-4788-9B86-3A73BF0377EC}"/>
    <cellStyle name="Normal 5 3 3 2 2 2 5 2 3" xfId="12845" xr:uid="{EED3C573-63CE-4E25-9EB7-3CA30DE629E0}"/>
    <cellStyle name="Normal 5 3 3 2 2 2 5 3" xfId="6468" xr:uid="{00000000-0005-0000-0000-000088190000}"/>
    <cellStyle name="Normal 5 3 3 2 2 2 5 3 2" xfId="14918" xr:uid="{787E2250-5E06-465A-A2C5-B6A34F879120}"/>
    <cellStyle name="Normal 5 3 3 2 2 2 5 4" xfId="10700" xr:uid="{AB955B94-581F-43D5-A547-0EFCBC52BA35}"/>
    <cellStyle name="Normal 5 3 3 2 2 2 6" xfId="2598" xr:uid="{00000000-0005-0000-0000-000089190000}"/>
    <cellStyle name="Normal 5 3 3 2 2 2 6 2" xfId="6881" xr:uid="{00000000-0005-0000-0000-00008A190000}"/>
    <cellStyle name="Normal 5 3 3 2 2 2 6 2 2" xfId="15331" xr:uid="{A6C2B28C-3285-46F0-A2DC-E99FA13B5CF4}"/>
    <cellStyle name="Normal 5 3 3 2 2 2 6 3" xfId="11113" xr:uid="{62731A99-37B4-40D8-98CD-E3F2FC7DA772}"/>
    <cellStyle name="Normal 5 3 3 2 2 2 7" xfId="4816" xr:uid="{00000000-0005-0000-0000-00008B190000}"/>
    <cellStyle name="Normal 5 3 3 2 2 2 7 2" xfId="13266" xr:uid="{2830FD4C-9451-4D8B-95B8-9996714B7812}"/>
    <cellStyle name="Normal 5 3 3 2 2 2 8" xfId="9048" xr:uid="{1DC0EBBF-5743-496E-B1A5-010CEDABF586}"/>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AB66C54A-F5CE-4128-9842-5D1B6BF6133D}"/>
    <cellStyle name="Normal 5 3 3 2 2 3 2 3" xfId="11605" xr:uid="{5A1B7C48-218A-4947-9CEB-3275D0819770}"/>
    <cellStyle name="Normal 5 3 3 2 2 3 3" xfId="5228" xr:uid="{00000000-0005-0000-0000-00008F190000}"/>
    <cellStyle name="Normal 5 3 3 2 2 3 3 2" xfId="13678" xr:uid="{E1A4A964-6AD7-41E5-8288-CFEF40C9E80D}"/>
    <cellStyle name="Normal 5 3 3 2 2 3 4" xfId="9460" xr:uid="{73600AE3-8B4D-4041-BBAE-A9BA0165DDC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418AF9C0-C429-4604-817B-AFEDC615F0F1}"/>
    <cellStyle name="Normal 5 3 3 2 2 4 2 3" xfId="12018" xr:uid="{3DFF8512-512E-42CA-988A-21B1E1D654A2}"/>
    <cellStyle name="Normal 5 3 3 2 2 4 3" xfId="5641" xr:uid="{00000000-0005-0000-0000-000093190000}"/>
    <cellStyle name="Normal 5 3 3 2 2 4 3 2" xfId="14091" xr:uid="{94964949-74FB-4578-A421-24E20B6A3AD5}"/>
    <cellStyle name="Normal 5 3 3 2 2 4 4" xfId="9873" xr:uid="{58D2D537-3F5A-4AC1-810C-EA3CDCCB17D5}"/>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18107960-C62B-4ED1-B70C-A5CAEC6F25C7}"/>
    <cellStyle name="Normal 5 3 3 2 2 5 2 3" xfId="12431" xr:uid="{923962D8-1C8C-4DEB-97E5-E5B27215DA3B}"/>
    <cellStyle name="Normal 5 3 3 2 2 5 3" xfId="6054" xr:uid="{00000000-0005-0000-0000-000097190000}"/>
    <cellStyle name="Normal 5 3 3 2 2 5 3 2" xfId="14504" xr:uid="{6C2ED8E8-D43E-4724-ACCF-287938C1B0FB}"/>
    <cellStyle name="Normal 5 3 3 2 2 5 4" xfId="10286" xr:uid="{4D20F4EB-8C38-4BCB-86EB-0A4559574B2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59ACDF1B-C5C6-462D-B5B1-99C6E521AF30}"/>
    <cellStyle name="Normal 5 3 3 2 2 6 2 3" xfId="12844" xr:uid="{123E8ED5-AF77-45CA-8355-E80D4D5E3EF3}"/>
    <cellStyle name="Normal 5 3 3 2 2 6 3" xfId="6467" xr:uid="{00000000-0005-0000-0000-00009B190000}"/>
    <cellStyle name="Normal 5 3 3 2 2 6 3 2" xfId="14917" xr:uid="{7115FAD6-10C4-40C4-A857-6ACFA848FBF1}"/>
    <cellStyle name="Normal 5 3 3 2 2 6 4" xfId="10699" xr:uid="{A12BC899-1892-4415-BCD2-47627296AF7C}"/>
    <cellStyle name="Normal 5 3 3 2 2 7" xfId="2597" xr:uid="{00000000-0005-0000-0000-00009C190000}"/>
    <cellStyle name="Normal 5 3 3 2 2 7 2" xfId="6880" xr:uid="{00000000-0005-0000-0000-00009D190000}"/>
    <cellStyle name="Normal 5 3 3 2 2 7 2 2" xfId="15330" xr:uid="{374E940C-D29E-4C67-8A19-FD412E48CE3A}"/>
    <cellStyle name="Normal 5 3 3 2 2 7 3" xfId="11112" xr:uid="{B1B3BC55-07EA-4CCA-B5D5-A1F1DAD36EF9}"/>
    <cellStyle name="Normal 5 3 3 2 2 8" xfId="4815" xr:uid="{00000000-0005-0000-0000-00009E190000}"/>
    <cellStyle name="Normal 5 3 3 2 2 8 2" xfId="13265" xr:uid="{2A3CE944-E7D7-4646-8D97-4D5FEA46B7A1}"/>
    <cellStyle name="Normal 5 3 3 2 2 9" xfId="9047" xr:uid="{DD6F9946-1307-4F66-A1C9-8C586571C932}"/>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67B026A3-1BD4-421E-8238-17BB73D2CBAA}"/>
    <cellStyle name="Normal 5 3 3 2 3 2 2 3" xfId="11607" xr:uid="{39583780-5273-4BF5-814A-37A6AD91D9B5}"/>
    <cellStyle name="Normal 5 3 3 2 3 2 3" xfId="5230" xr:uid="{00000000-0005-0000-0000-0000A3190000}"/>
    <cellStyle name="Normal 5 3 3 2 3 2 3 2" xfId="13680" xr:uid="{DCA04466-5386-4E77-A353-CAF217AEA36A}"/>
    <cellStyle name="Normal 5 3 3 2 3 2 4" xfId="9462" xr:uid="{FD56F4F9-2B00-4CF2-8E50-F6C8EA9B7C3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0CD339D3-C356-453C-B962-5707C88B0915}"/>
    <cellStyle name="Normal 5 3 3 2 3 3 2 3" xfId="12020" xr:uid="{5A7445AE-6714-4533-B09B-67665156A00D}"/>
    <cellStyle name="Normal 5 3 3 2 3 3 3" xfId="5643" xr:uid="{00000000-0005-0000-0000-0000A7190000}"/>
    <cellStyle name="Normal 5 3 3 2 3 3 3 2" xfId="14093" xr:uid="{49DF7E68-164C-44DA-842C-D50E02EC3235}"/>
    <cellStyle name="Normal 5 3 3 2 3 3 4" xfId="9875" xr:uid="{17C0C56B-E161-42CD-8E4D-5DDEACB7B047}"/>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822C72E7-CE38-4F00-9F10-EF1D1F461E0E}"/>
    <cellStyle name="Normal 5 3 3 2 3 4 2 3" xfId="12433" xr:uid="{9A37DA84-0BD9-4A3B-9C74-82641C1BBA02}"/>
    <cellStyle name="Normal 5 3 3 2 3 4 3" xfId="6056" xr:uid="{00000000-0005-0000-0000-0000AB190000}"/>
    <cellStyle name="Normal 5 3 3 2 3 4 3 2" xfId="14506" xr:uid="{EFE1EB01-F3EF-4644-807D-CEAD98F79E80}"/>
    <cellStyle name="Normal 5 3 3 2 3 4 4" xfId="10288" xr:uid="{9C2B0642-7E68-4416-BEA1-87D984FBCDC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5919D0DE-4542-410B-A818-A5066553C2AF}"/>
    <cellStyle name="Normal 5 3 3 2 3 5 2 3" xfId="12846" xr:uid="{A2794A38-1747-4B00-8D2D-B82F165CC90A}"/>
    <cellStyle name="Normal 5 3 3 2 3 5 3" xfId="6469" xr:uid="{00000000-0005-0000-0000-0000AF190000}"/>
    <cellStyle name="Normal 5 3 3 2 3 5 3 2" xfId="14919" xr:uid="{5516BD9B-9D28-41A3-81A5-DFF05CC2ADD5}"/>
    <cellStyle name="Normal 5 3 3 2 3 5 4" xfId="10701" xr:uid="{A3FF542B-21CA-4E56-8791-B8EB7D049478}"/>
    <cellStyle name="Normal 5 3 3 2 3 6" xfId="2599" xr:uid="{00000000-0005-0000-0000-0000B0190000}"/>
    <cellStyle name="Normal 5 3 3 2 3 6 2" xfId="6882" xr:uid="{00000000-0005-0000-0000-0000B1190000}"/>
    <cellStyle name="Normal 5 3 3 2 3 6 2 2" xfId="15332" xr:uid="{FC60729E-642F-40E2-8F4D-3BE886CDBAF1}"/>
    <cellStyle name="Normal 5 3 3 2 3 6 3" xfId="11114" xr:uid="{4125F266-95CF-40B3-B65E-B0C46B5FEEB6}"/>
    <cellStyle name="Normal 5 3 3 2 3 7" xfId="4817" xr:uid="{00000000-0005-0000-0000-0000B2190000}"/>
    <cellStyle name="Normal 5 3 3 2 3 7 2" xfId="13267" xr:uid="{C11F5AF4-2E21-4C08-92CC-8ACB8AB20BAC}"/>
    <cellStyle name="Normal 5 3 3 2 3 8" xfId="9049" xr:uid="{DB5E6F5F-B2F0-4663-95B5-5125F4A66BF2}"/>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F252886A-853C-4710-82FD-BF5A63D6EE99}"/>
    <cellStyle name="Normal 5 3 3 2 4 2 3" xfId="11604" xr:uid="{F9495BEF-5B78-4167-B0C3-8F7E1220E9F4}"/>
    <cellStyle name="Normal 5 3 3 2 4 3" xfId="5227" xr:uid="{00000000-0005-0000-0000-0000B6190000}"/>
    <cellStyle name="Normal 5 3 3 2 4 3 2" xfId="13677" xr:uid="{08CCADD7-AD57-4ED0-AD52-685335B0D675}"/>
    <cellStyle name="Normal 5 3 3 2 4 4" xfId="9459" xr:uid="{390AB68F-C435-47F1-9013-F60C8124D4C8}"/>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EB1A98E1-DB79-4234-BD98-738C853CDCD9}"/>
    <cellStyle name="Normal 5 3 3 2 5 2 3" xfId="12017" xr:uid="{2BF5CC2C-EE63-40DC-B7E7-DFFA134CC8CB}"/>
    <cellStyle name="Normal 5 3 3 2 5 3" xfId="5640" xr:uid="{00000000-0005-0000-0000-0000BA190000}"/>
    <cellStyle name="Normal 5 3 3 2 5 3 2" xfId="14090" xr:uid="{FFBBA31C-2C98-434E-99F1-7C90045E183E}"/>
    <cellStyle name="Normal 5 3 3 2 5 4" xfId="9872" xr:uid="{B4BA01A4-9457-446D-A01B-D6BE0CC91320}"/>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2CF5AFDE-34CC-498C-88BB-E495CE1AB17D}"/>
    <cellStyle name="Normal 5 3 3 2 6 2 3" xfId="12430" xr:uid="{B4C971C4-5E97-45FF-9851-ABCD86C4DC44}"/>
    <cellStyle name="Normal 5 3 3 2 6 3" xfId="6053" xr:uid="{00000000-0005-0000-0000-0000BE190000}"/>
    <cellStyle name="Normal 5 3 3 2 6 3 2" xfId="14503" xr:uid="{F3F333C7-AF91-4DC5-9888-6D6611FAE084}"/>
    <cellStyle name="Normal 5 3 3 2 6 4" xfId="10285" xr:uid="{53F873C8-4B36-4423-B5DE-4B98B8CF4EF0}"/>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B89BD942-2875-46A2-8093-CA9EBAD0A417}"/>
    <cellStyle name="Normal 5 3 3 2 7 2 3" xfId="12843" xr:uid="{13E50D9E-B4E9-4F6F-AFF3-3CD2BD3D35E4}"/>
    <cellStyle name="Normal 5 3 3 2 7 3" xfId="6466" xr:uid="{00000000-0005-0000-0000-0000C2190000}"/>
    <cellStyle name="Normal 5 3 3 2 7 3 2" xfId="14916" xr:uid="{D96C351A-3A0E-44ED-A696-D24A6739107C}"/>
    <cellStyle name="Normal 5 3 3 2 7 4" xfId="10698" xr:uid="{C529F17D-63D8-4D46-AD43-A5DD33755C67}"/>
    <cellStyle name="Normal 5 3 3 2 8" xfId="2596" xr:uid="{00000000-0005-0000-0000-0000C3190000}"/>
    <cellStyle name="Normal 5 3 3 2 8 2" xfId="6879" xr:uid="{00000000-0005-0000-0000-0000C4190000}"/>
    <cellStyle name="Normal 5 3 3 2 8 2 2" xfId="15329" xr:uid="{7366CBEE-9615-49A6-BD7B-E351A1314001}"/>
    <cellStyle name="Normal 5 3 3 2 8 3" xfId="11111" xr:uid="{9F0827CB-8EE7-4436-857E-E0D0DEFCFF82}"/>
    <cellStyle name="Normal 5 3 3 2 9" xfId="4814" xr:uid="{00000000-0005-0000-0000-0000C5190000}"/>
    <cellStyle name="Normal 5 3 3 2 9 2" xfId="13264" xr:uid="{3C8080B0-E439-41CF-93E4-63D89D51B8C9}"/>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FC8358EB-FA07-43B8-93A8-48ECE14CCF66}"/>
    <cellStyle name="Normal 5 3 3 3 2 2 2 3" xfId="11609" xr:uid="{86B37A0C-0931-4256-869D-5E688443C14E}"/>
    <cellStyle name="Normal 5 3 3 3 2 2 3" xfId="5232" xr:uid="{00000000-0005-0000-0000-0000CB190000}"/>
    <cellStyle name="Normal 5 3 3 3 2 2 3 2" xfId="13682" xr:uid="{4DD9158D-A5A2-4515-9777-5CA9F723CF58}"/>
    <cellStyle name="Normal 5 3 3 3 2 2 4" xfId="9464" xr:uid="{A70C7900-E571-4238-B0B5-51DFB6DF2F9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C3E105C0-EF3F-4AFF-A6CE-8B37BF8E5B8C}"/>
    <cellStyle name="Normal 5 3 3 3 2 3 2 3" xfId="12022" xr:uid="{F177F248-7677-4CFB-8E99-D58518D701ED}"/>
    <cellStyle name="Normal 5 3 3 3 2 3 3" xfId="5645" xr:uid="{00000000-0005-0000-0000-0000CF190000}"/>
    <cellStyle name="Normal 5 3 3 3 2 3 3 2" xfId="14095" xr:uid="{5F310003-0141-40CC-868B-547B83453A26}"/>
    <cellStyle name="Normal 5 3 3 3 2 3 4" xfId="9877" xr:uid="{F6C0CE9C-0D9B-41C6-8D37-A7D43807DB61}"/>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CD3B2777-59FB-4C31-B8C3-3873A9043889}"/>
    <cellStyle name="Normal 5 3 3 3 2 4 2 3" xfId="12435" xr:uid="{AA3EA63D-2A08-4D16-9D04-2934EAA63B90}"/>
    <cellStyle name="Normal 5 3 3 3 2 4 3" xfId="6058" xr:uid="{00000000-0005-0000-0000-0000D3190000}"/>
    <cellStyle name="Normal 5 3 3 3 2 4 3 2" xfId="14508" xr:uid="{F0720107-3266-45D1-96A4-0DD0F9F82825}"/>
    <cellStyle name="Normal 5 3 3 3 2 4 4" xfId="10290" xr:uid="{D8563013-566A-4855-8857-B54C89E45CE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6188F300-B951-452F-BDD6-0F3D8FBC04A2}"/>
    <cellStyle name="Normal 5 3 3 3 2 5 2 3" xfId="12848" xr:uid="{77D9B3E6-B31A-4C75-A12B-04733B679E1D}"/>
    <cellStyle name="Normal 5 3 3 3 2 5 3" xfId="6471" xr:uid="{00000000-0005-0000-0000-0000D7190000}"/>
    <cellStyle name="Normal 5 3 3 3 2 5 3 2" xfId="14921" xr:uid="{F7002449-153D-45D6-99F7-F3303E8AE654}"/>
    <cellStyle name="Normal 5 3 3 3 2 5 4" xfId="10703" xr:uid="{B2EE25C1-F572-4092-A520-D08A5A8A6EAF}"/>
    <cellStyle name="Normal 5 3 3 3 2 6" xfId="2601" xr:uid="{00000000-0005-0000-0000-0000D8190000}"/>
    <cellStyle name="Normal 5 3 3 3 2 6 2" xfId="6884" xr:uid="{00000000-0005-0000-0000-0000D9190000}"/>
    <cellStyle name="Normal 5 3 3 3 2 6 2 2" xfId="15334" xr:uid="{48AB7D5A-3F1B-4433-AFCA-B8F5991DE557}"/>
    <cellStyle name="Normal 5 3 3 3 2 6 3" xfId="11116" xr:uid="{EF1E77F7-69E1-44BE-8279-B5689EBFD14E}"/>
    <cellStyle name="Normal 5 3 3 3 2 7" xfId="4819" xr:uid="{00000000-0005-0000-0000-0000DA190000}"/>
    <cellStyle name="Normal 5 3 3 3 2 7 2" xfId="13269" xr:uid="{9D0FEFD3-3F7B-4F95-9031-FE6646E0EF4A}"/>
    <cellStyle name="Normal 5 3 3 3 2 8" xfId="9051" xr:uid="{F93EA37B-44D7-4FBE-847A-E5C05C688EE0}"/>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CD5C76AA-F350-49C4-BCF2-A78BDE218E1B}"/>
    <cellStyle name="Normal 5 3 3 3 3 2 3" xfId="11608" xr:uid="{B6EC304A-3927-4260-983A-62BBB0BCCC7C}"/>
    <cellStyle name="Normal 5 3 3 3 3 3" xfId="5231" xr:uid="{00000000-0005-0000-0000-0000DE190000}"/>
    <cellStyle name="Normal 5 3 3 3 3 3 2" xfId="13681" xr:uid="{1F03E030-9E55-45DF-8EF4-CB9FFA54A18C}"/>
    <cellStyle name="Normal 5 3 3 3 3 4" xfId="9463" xr:uid="{75499378-1A23-41A2-9052-4946BE230557}"/>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756D0F68-5797-46CB-ADF0-E7E705A01222}"/>
    <cellStyle name="Normal 5 3 3 3 4 2 3" xfId="12021" xr:uid="{6B2F9ADD-FBA2-4AD4-9B69-CCBD4F0A5CA3}"/>
    <cellStyle name="Normal 5 3 3 3 4 3" xfId="5644" xr:uid="{00000000-0005-0000-0000-0000E2190000}"/>
    <cellStyle name="Normal 5 3 3 3 4 3 2" xfId="14094" xr:uid="{381F6E88-E2C6-41CB-87A6-7EF24BA06487}"/>
    <cellStyle name="Normal 5 3 3 3 4 4" xfId="9876" xr:uid="{2DEDA07B-1873-4263-97FB-9B9D46156280}"/>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DE061006-88BE-4D94-895C-B464A4D087CE}"/>
    <cellStyle name="Normal 5 3 3 3 5 2 3" xfId="12434" xr:uid="{18712D52-2A00-4AD9-954C-881B28A87F9E}"/>
    <cellStyle name="Normal 5 3 3 3 5 3" xfId="6057" xr:uid="{00000000-0005-0000-0000-0000E6190000}"/>
    <cellStyle name="Normal 5 3 3 3 5 3 2" xfId="14507" xr:uid="{C196F094-9E05-4E59-8E74-AC994C37D7CA}"/>
    <cellStyle name="Normal 5 3 3 3 5 4" xfId="10289" xr:uid="{EA45F723-35B1-40BF-A1D6-B4CEFA02551D}"/>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7A7095E1-7261-4C65-AA25-31F534E2B950}"/>
    <cellStyle name="Normal 5 3 3 3 6 2 3" xfId="12847" xr:uid="{87A6DB4E-F21E-4DB3-B776-2C502CC922CD}"/>
    <cellStyle name="Normal 5 3 3 3 6 3" xfId="6470" xr:uid="{00000000-0005-0000-0000-0000EA190000}"/>
    <cellStyle name="Normal 5 3 3 3 6 3 2" xfId="14920" xr:uid="{95030B83-0BD7-4CAB-AA0B-ACB9507E931E}"/>
    <cellStyle name="Normal 5 3 3 3 6 4" xfId="10702" xr:uid="{6B6856CB-A785-4D33-A424-9B415AFA4677}"/>
    <cellStyle name="Normal 5 3 3 3 7" xfId="2600" xr:uid="{00000000-0005-0000-0000-0000EB190000}"/>
    <cellStyle name="Normal 5 3 3 3 7 2" xfId="6883" xr:uid="{00000000-0005-0000-0000-0000EC190000}"/>
    <cellStyle name="Normal 5 3 3 3 7 2 2" xfId="15333" xr:uid="{03C5820C-52A7-43A3-9D3E-1070ECE7E0A3}"/>
    <cellStyle name="Normal 5 3 3 3 7 3" xfId="11115" xr:uid="{21E517F4-D979-4D78-8BDF-B50D7FAF4C1C}"/>
    <cellStyle name="Normal 5 3 3 3 8" xfId="4818" xr:uid="{00000000-0005-0000-0000-0000ED190000}"/>
    <cellStyle name="Normal 5 3 3 3 8 2" xfId="13268" xr:uid="{8933B5FB-C018-49FB-BDFB-0188A434014A}"/>
    <cellStyle name="Normal 5 3 3 3 9" xfId="9050" xr:uid="{CE22335A-E388-45C3-8F7F-3E673539D579}"/>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7A550D3C-E034-4D67-B28E-D67C99103266}"/>
    <cellStyle name="Normal 5 3 3 4 2 2 3" xfId="11610" xr:uid="{DDC37DF2-CE0F-46CF-BB34-D41432E56578}"/>
    <cellStyle name="Normal 5 3 3 4 2 3" xfId="5233" xr:uid="{00000000-0005-0000-0000-0000F2190000}"/>
    <cellStyle name="Normal 5 3 3 4 2 3 2" xfId="13683" xr:uid="{C4D64CCC-911C-4269-B082-E36F50A9FA1E}"/>
    <cellStyle name="Normal 5 3 3 4 2 4" xfId="9465" xr:uid="{FC74BD19-6F55-4B5D-861C-577CC40C9F85}"/>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9C14A2E9-2B62-494B-B0F7-BAC849D0E878}"/>
    <cellStyle name="Normal 5 3 3 4 3 2 3" xfId="12023" xr:uid="{B648F95C-BE79-4DBF-AAE0-95F032B65DA0}"/>
    <cellStyle name="Normal 5 3 3 4 3 3" xfId="5646" xr:uid="{00000000-0005-0000-0000-0000F6190000}"/>
    <cellStyle name="Normal 5 3 3 4 3 3 2" xfId="14096" xr:uid="{1E79EE2E-5337-4331-9242-80433C295A20}"/>
    <cellStyle name="Normal 5 3 3 4 3 4" xfId="9878" xr:uid="{3CFE4CB4-9D2E-4346-9D9D-14257B65758F}"/>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E2429019-D9A3-4779-8DED-52D8568BA936}"/>
    <cellStyle name="Normal 5 3 3 4 4 2 3" xfId="12436" xr:uid="{E1A1C219-2E33-48F3-84E9-01B3D95F4FC7}"/>
    <cellStyle name="Normal 5 3 3 4 4 3" xfId="6059" xr:uid="{00000000-0005-0000-0000-0000FA190000}"/>
    <cellStyle name="Normal 5 3 3 4 4 3 2" xfId="14509" xr:uid="{401B9FA2-5F22-4872-854D-B3F43C63AB79}"/>
    <cellStyle name="Normal 5 3 3 4 4 4" xfId="10291" xr:uid="{9325B4A8-B02D-499C-A48B-8E8D8DC9F07A}"/>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CDD6B342-D7A6-49E6-BB0B-7C331441E04A}"/>
    <cellStyle name="Normal 5 3 3 4 5 2 3" xfId="12849" xr:uid="{DF38BBEE-F3DB-4104-9FEA-8A0C8AA9B91E}"/>
    <cellStyle name="Normal 5 3 3 4 5 3" xfId="6472" xr:uid="{00000000-0005-0000-0000-0000FE190000}"/>
    <cellStyle name="Normal 5 3 3 4 5 3 2" xfId="14922" xr:uid="{FFA0BDFF-24CA-4E74-A501-9891282115ED}"/>
    <cellStyle name="Normal 5 3 3 4 5 4" xfId="10704" xr:uid="{A46A7B4F-6A80-4191-A5B2-494B9037F61E}"/>
    <cellStyle name="Normal 5 3 3 4 6" xfId="2602" xr:uid="{00000000-0005-0000-0000-0000FF190000}"/>
    <cellStyle name="Normal 5 3 3 4 6 2" xfId="6885" xr:uid="{00000000-0005-0000-0000-0000001A0000}"/>
    <cellStyle name="Normal 5 3 3 4 6 2 2" xfId="15335" xr:uid="{19DE9441-491F-467B-9698-9A1DA485DC8D}"/>
    <cellStyle name="Normal 5 3 3 4 6 3" xfId="11117" xr:uid="{389FF61A-D704-473A-AC3D-565C18A753A5}"/>
    <cellStyle name="Normal 5 3 3 4 7" xfId="4820" xr:uid="{00000000-0005-0000-0000-0000011A0000}"/>
    <cellStyle name="Normal 5 3 3 4 7 2" xfId="13270" xr:uid="{05105846-CDC4-459F-8CA4-8C5E29D94C04}"/>
    <cellStyle name="Normal 5 3 3 4 8" xfId="9052" xr:uid="{4996573D-79C3-487D-9F2D-4DCF415F59F8}"/>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6A9F86EC-802B-4704-B00E-5C035CC61257}"/>
    <cellStyle name="Normal 5 3 3 5 2 3" xfId="11603" xr:uid="{69F26BEC-2E14-4BDD-8D60-C3A4E0A879F7}"/>
    <cellStyle name="Normal 5 3 3 5 3" xfId="5226" xr:uid="{00000000-0005-0000-0000-0000051A0000}"/>
    <cellStyle name="Normal 5 3 3 5 3 2" xfId="13676" xr:uid="{82C65327-7979-407A-82AA-6A62B1B65D53}"/>
    <cellStyle name="Normal 5 3 3 5 4" xfId="9458" xr:uid="{38DCF32C-88D1-4F5B-8B47-933241E2CEFF}"/>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275C1957-4351-4820-9612-32B9A850595E}"/>
    <cellStyle name="Normal 5 3 3 6 2 3" xfId="12016" xr:uid="{D51153DE-DE31-406A-89FD-2C6F13CB356A}"/>
    <cellStyle name="Normal 5 3 3 6 3" xfId="5639" xr:uid="{00000000-0005-0000-0000-0000091A0000}"/>
    <cellStyle name="Normal 5 3 3 6 3 2" xfId="14089" xr:uid="{D79A433D-B28A-4501-B32F-19076F3097A4}"/>
    <cellStyle name="Normal 5 3 3 6 4" xfId="9871" xr:uid="{EF7FDF4B-E01B-4625-9A67-9C795547F02E}"/>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89C886C5-EB68-433F-89C7-249FB6880E0D}"/>
    <cellStyle name="Normal 5 3 3 7 2 3" xfId="12429" xr:uid="{956B7D93-1FF2-4E81-AEE7-BAB58F750628}"/>
    <cellStyle name="Normal 5 3 3 7 3" xfId="6052" xr:uid="{00000000-0005-0000-0000-00000D1A0000}"/>
    <cellStyle name="Normal 5 3 3 7 3 2" xfId="14502" xr:uid="{1430C299-70F8-4C19-93DE-2530DA76CA6D}"/>
    <cellStyle name="Normal 5 3 3 7 4" xfId="10284" xr:uid="{4A7BEAFF-5E69-4ECA-BA7F-9139D3DC932A}"/>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1C1764E6-3180-48E8-8941-72177759B3FC}"/>
    <cellStyle name="Normal 5 3 3 8 2 3" xfId="12842" xr:uid="{94DC2C0A-BC00-446B-B87A-2E646DA36805}"/>
    <cellStyle name="Normal 5 3 3 8 3" xfId="6465" xr:uid="{00000000-0005-0000-0000-0000111A0000}"/>
    <cellStyle name="Normal 5 3 3 8 3 2" xfId="14915" xr:uid="{72A7744C-8985-4698-B463-7A1EDBCA0F5E}"/>
    <cellStyle name="Normal 5 3 3 8 4" xfId="10697" xr:uid="{5E7E9CC4-6D85-4AA5-87B4-AEDC92D0EB70}"/>
    <cellStyle name="Normal 5 3 3 9" xfId="2595" xr:uid="{00000000-0005-0000-0000-0000121A0000}"/>
    <cellStyle name="Normal 5 3 3 9 2" xfId="6878" xr:uid="{00000000-0005-0000-0000-0000131A0000}"/>
    <cellStyle name="Normal 5 3 3 9 2 2" xfId="15328" xr:uid="{2838CF49-6D6B-4D09-BA14-3B857876E265}"/>
    <cellStyle name="Normal 5 3 3 9 3" xfId="11110" xr:uid="{6AAF6148-7819-4540-B8F6-B682D3A3BB0A}"/>
    <cellStyle name="Normal 5 3 4" xfId="449" xr:uid="{00000000-0005-0000-0000-0000141A0000}"/>
    <cellStyle name="Normal 5 3 4 10" xfId="9053" xr:uid="{CBAEE83C-A787-4C2D-BE52-D4102F4D6CCB}"/>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97ED6B90-FE5A-455A-A7D5-6C3D8E8DACC5}"/>
    <cellStyle name="Normal 5 3 4 2 2 2 2 3" xfId="11613" xr:uid="{EAB04F45-19E1-4CBC-97DE-B0B7851882CF}"/>
    <cellStyle name="Normal 5 3 4 2 2 2 3" xfId="5236" xr:uid="{00000000-0005-0000-0000-00001A1A0000}"/>
    <cellStyle name="Normal 5 3 4 2 2 2 3 2" xfId="13686" xr:uid="{75A6C80E-0B14-43EC-B58C-27B442D1A113}"/>
    <cellStyle name="Normal 5 3 4 2 2 2 4" xfId="9468" xr:uid="{B1CD3A04-8CF0-4AE8-BA2F-90FFC9943084}"/>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2AEE16BD-B160-4115-A79D-D611FE0FAFEE}"/>
    <cellStyle name="Normal 5 3 4 2 2 3 2 3" xfId="12026" xr:uid="{9F46BC62-3BE6-4BAA-A110-9F7CB98BB4B0}"/>
    <cellStyle name="Normal 5 3 4 2 2 3 3" xfId="5649" xr:uid="{00000000-0005-0000-0000-00001E1A0000}"/>
    <cellStyle name="Normal 5 3 4 2 2 3 3 2" xfId="14099" xr:uid="{09170476-AC79-4DEF-8BE2-4F3FD2468FB9}"/>
    <cellStyle name="Normal 5 3 4 2 2 3 4" xfId="9881" xr:uid="{4FC56D4D-81EB-408F-A364-83BFB4FE8BA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00E4E5FA-8223-4820-BDA9-3B02B583C732}"/>
    <cellStyle name="Normal 5 3 4 2 2 4 2 3" xfId="12439" xr:uid="{56B9DD16-58B3-4983-BAE9-8B383EC8D2E1}"/>
    <cellStyle name="Normal 5 3 4 2 2 4 3" xfId="6062" xr:uid="{00000000-0005-0000-0000-0000221A0000}"/>
    <cellStyle name="Normal 5 3 4 2 2 4 3 2" xfId="14512" xr:uid="{5786E31D-AFB2-4621-8E0F-BD543FE0ABF6}"/>
    <cellStyle name="Normal 5 3 4 2 2 4 4" xfId="10294" xr:uid="{BBA632EA-D89F-447E-8DA3-F7AD340BD0BF}"/>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4616DACB-2B00-4881-94DB-30DAC647DDFC}"/>
    <cellStyle name="Normal 5 3 4 2 2 5 2 3" xfId="12852" xr:uid="{F55CC328-556C-4982-B46C-749AE5EAB5C7}"/>
    <cellStyle name="Normal 5 3 4 2 2 5 3" xfId="6475" xr:uid="{00000000-0005-0000-0000-0000261A0000}"/>
    <cellStyle name="Normal 5 3 4 2 2 5 3 2" xfId="14925" xr:uid="{7C5F408A-8C18-4C3F-9B43-1A2029B42895}"/>
    <cellStyle name="Normal 5 3 4 2 2 5 4" xfId="10707" xr:uid="{3BE86FF6-2ADA-48A4-93D7-60930652E8C3}"/>
    <cellStyle name="Normal 5 3 4 2 2 6" xfId="2605" xr:uid="{00000000-0005-0000-0000-0000271A0000}"/>
    <cellStyle name="Normal 5 3 4 2 2 6 2" xfId="6888" xr:uid="{00000000-0005-0000-0000-0000281A0000}"/>
    <cellStyle name="Normal 5 3 4 2 2 6 2 2" xfId="15338" xr:uid="{3C0FFE46-D5AC-4638-8A16-D947900DCFC0}"/>
    <cellStyle name="Normal 5 3 4 2 2 6 3" xfId="11120" xr:uid="{4CD52141-6C48-41A4-9016-0C138715A406}"/>
    <cellStyle name="Normal 5 3 4 2 2 7" xfId="4823" xr:uid="{00000000-0005-0000-0000-0000291A0000}"/>
    <cellStyle name="Normal 5 3 4 2 2 7 2" xfId="13273" xr:uid="{918468C2-AB18-49EF-A75B-48B092454726}"/>
    <cellStyle name="Normal 5 3 4 2 2 8" xfId="9055" xr:uid="{80BF646D-0927-4DCA-8ECF-771F6EBCD9FB}"/>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385D9CBC-A0D1-421D-875D-8491ADB87D62}"/>
    <cellStyle name="Normal 5 3 4 2 3 2 3" xfId="11612" xr:uid="{E46FA644-7395-4B1A-830D-0E4BE6B55A3F}"/>
    <cellStyle name="Normal 5 3 4 2 3 3" xfId="5235" xr:uid="{00000000-0005-0000-0000-00002D1A0000}"/>
    <cellStyle name="Normal 5 3 4 2 3 3 2" xfId="13685" xr:uid="{49400A04-4CDD-4E81-8530-9279699FCD75}"/>
    <cellStyle name="Normal 5 3 4 2 3 4" xfId="9467" xr:uid="{98E7296C-315B-4BF7-831C-507CD063CA7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DC9DC0A4-B23E-44FC-A04C-D13570ADE10F}"/>
    <cellStyle name="Normal 5 3 4 2 4 2 3" xfId="12025" xr:uid="{7BB829DD-D140-4D1F-8F06-8D4C753DEAF5}"/>
    <cellStyle name="Normal 5 3 4 2 4 3" xfId="5648" xr:uid="{00000000-0005-0000-0000-0000311A0000}"/>
    <cellStyle name="Normal 5 3 4 2 4 3 2" xfId="14098" xr:uid="{141F6929-08B5-4826-BD27-C6998F3F26AD}"/>
    <cellStyle name="Normal 5 3 4 2 4 4" xfId="9880" xr:uid="{42A87598-5F01-40B9-832B-D2883784A2C1}"/>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4D74D4DA-8CF4-4152-BD62-638ECDACA5C5}"/>
    <cellStyle name="Normal 5 3 4 2 5 2 3" xfId="12438" xr:uid="{07D01D88-8B4A-4FDF-B6F9-038C02048249}"/>
    <cellStyle name="Normal 5 3 4 2 5 3" xfId="6061" xr:uid="{00000000-0005-0000-0000-0000351A0000}"/>
    <cellStyle name="Normal 5 3 4 2 5 3 2" xfId="14511" xr:uid="{37E1183B-FE2A-4749-B5F5-84E8EA4279FC}"/>
    <cellStyle name="Normal 5 3 4 2 5 4" xfId="10293" xr:uid="{A0FE066B-A95C-4E02-A7A0-175008540266}"/>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851B569C-D777-4787-8397-2A43701A47A8}"/>
    <cellStyle name="Normal 5 3 4 2 6 2 3" xfId="12851" xr:uid="{EC8DC23F-9E8D-472E-B20B-6A74BDD6E73D}"/>
    <cellStyle name="Normal 5 3 4 2 6 3" xfId="6474" xr:uid="{00000000-0005-0000-0000-0000391A0000}"/>
    <cellStyle name="Normal 5 3 4 2 6 3 2" xfId="14924" xr:uid="{24DD9506-6AEB-428F-9674-A795E95BBCE0}"/>
    <cellStyle name="Normal 5 3 4 2 6 4" xfId="10706" xr:uid="{D7EE8406-E070-40EE-B0E1-AC2BD0A18BB2}"/>
    <cellStyle name="Normal 5 3 4 2 7" xfId="2604" xr:uid="{00000000-0005-0000-0000-00003A1A0000}"/>
    <cellStyle name="Normal 5 3 4 2 7 2" xfId="6887" xr:uid="{00000000-0005-0000-0000-00003B1A0000}"/>
    <cellStyle name="Normal 5 3 4 2 7 2 2" xfId="15337" xr:uid="{9AF283FB-AC41-4FDB-99A1-326E564C486B}"/>
    <cellStyle name="Normal 5 3 4 2 7 3" xfId="11119" xr:uid="{79BA0E52-53DD-48EA-AF3A-E969543C9EFA}"/>
    <cellStyle name="Normal 5 3 4 2 8" xfId="4822" xr:uid="{00000000-0005-0000-0000-00003C1A0000}"/>
    <cellStyle name="Normal 5 3 4 2 8 2" xfId="13272" xr:uid="{1B71F328-DD85-4506-8AF7-88B693C6FBB4}"/>
    <cellStyle name="Normal 5 3 4 2 9" xfId="9054" xr:uid="{AED2DA39-F449-494C-A5C4-0DD981144B76}"/>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370F9269-2A34-426A-8F44-D682A64CD08C}"/>
    <cellStyle name="Normal 5 3 4 3 2 2 3" xfId="11614" xr:uid="{E646D135-B735-413D-B73E-E05A985CEB12}"/>
    <cellStyle name="Normal 5 3 4 3 2 3" xfId="5237" xr:uid="{00000000-0005-0000-0000-0000411A0000}"/>
    <cellStyle name="Normal 5 3 4 3 2 3 2" xfId="13687" xr:uid="{BD1D0578-6E81-4220-A7D7-C1354206F765}"/>
    <cellStyle name="Normal 5 3 4 3 2 4" xfId="9469" xr:uid="{DBEDFA14-6822-48C2-AA89-7067EE10AFE9}"/>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BCA4BDA8-D0C0-401B-AF97-252B4BB2A570}"/>
    <cellStyle name="Normal 5 3 4 3 3 2 3" xfId="12027" xr:uid="{DBD63BA9-AD15-4662-B68F-74F8F3147EF8}"/>
    <cellStyle name="Normal 5 3 4 3 3 3" xfId="5650" xr:uid="{00000000-0005-0000-0000-0000451A0000}"/>
    <cellStyle name="Normal 5 3 4 3 3 3 2" xfId="14100" xr:uid="{19E0F8F1-6DD3-47D1-8466-DCB65FB86275}"/>
    <cellStyle name="Normal 5 3 4 3 3 4" xfId="9882" xr:uid="{C7C0484D-9AF2-45BF-937E-56D471177EB6}"/>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3FDD56FE-B2BD-4979-BB6F-233F8A7ECD34}"/>
    <cellStyle name="Normal 5 3 4 3 4 2 3" xfId="12440" xr:uid="{0E864546-CA1B-4F8D-9EE1-8C49EB232E5F}"/>
    <cellStyle name="Normal 5 3 4 3 4 3" xfId="6063" xr:uid="{00000000-0005-0000-0000-0000491A0000}"/>
    <cellStyle name="Normal 5 3 4 3 4 3 2" xfId="14513" xr:uid="{B790E964-5BE7-41EB-B2D6-C323BFA5958E}"/>
    <cellStyle name="Normal 5 3 4 3 4 4" xfId="10295" xr:uid="{6C4E2CF6-E9A1-4062-AD53-DD187324D046}"/>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26140E5F-8B36-4835-A9DC-D56D4446C109}"/>
    <cellStyle name="Normal 5 3 4 3 5 2 3" xfId="12853" xr:uid="{59E9C9E6-3501-4D82-980B-B358EE2061ED}"/>
    <cellStyle name="Normal 5 3 4 3 5 3" xfId="6476" xr:uid="{00000000-0005-0000-0000-00004D1A0000}"/>
    <cellStyle name="Normal 5 3 4 3 5 3 2" xfId="14926" xr:uid="{127A454D-56DE-4DD3-815F-688FA0F4AD2F}"/>
    <cellStyle name="Normal 5 3 4 3 5 4" xfId="10708" xr:uid="{B1636463-99BC-4BEA-977E-5CF45C9CBC62}"/>
    <cellStyle name="Normal 5 3 4 3 6" xfId="2606" xr:uid="{00000000-0005-0000-0000-00004E1A0000}"/>
    <cellStyle name="Normal 5 3 4 3 6 2" xfId="6889" xr:uid="{00000000-0005-0000-0000-00004F1A0000}"/>
    <cellStyle name="Normal 5 3 4 3 6 2 2" xfId="15339" xr:uid="{783A0B3B-831F-4FD3-99ED-1C1C40B0AC74}"/>
    <cellStyle name="Normal 5 3 4 3 6 3" xfId="11121" xr:uid="{27850647-97F2-47AD-8FC1-FCAADFD4DB90}"/>
    <cellStyle name="Normal 5 3 4 3 7" xfId="4824" xr:uid="{00000000-0005-0000-0000-0000501A0000}"/>
    <cellStyle name="Normal 5 3 4 3 7 2" xfId="13274" xr:uid="{55EFE42D-47B9-4E6E-86D3-6A38796B7955}"/>
    <cellStyle name="Normal 5 3 4 3 8" xfId="9056" xr:uid="{B62A7677-0700-4337-934C-8936B9C1F0D2}"/>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283C0C1C-84A9-4FF5-ACCC-4EB106D3582D}"/>
    <cellStyle name="Normal 5 3 4 4 2 3" xfId="11611" xr:uid="{6933285F-446C-42F5-B435-39457D11DCE5}"/>
    <cellStyle name="Normal 5 3 4 4 3" xfId="5234" xr:uid="{00000000-0005-0000-0000-0000541A0000}"/>
    <cellStyle name="Normal 5 3 4 4 3 2" xfId="13684" xr:uid="{B03DA2D2-A363-4889-BDE7-342FCFD45DCD}"/>
    <cellStyle name="Normal 5 3 4 4 4" xfId="9466" xr:uid="{F4A247A1-1F69-407D-AD97-CFFAE00B3195}"/>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74343459-60FB-4C4A-BA83-ADA6097EE179}"/>
    <cellStyle name="Normal 5 3 4 5 2 3" xfId="12024" xr:uid="{8E0B7E74-2386-48B9-8295-0C639D9C95BF}"/>
    <cellStyle name="Normal 5 3 4 5 3" xfId="5647" xr:uid="{00000000-0005-0000-0000-0000581A0000}"/>
    <cellStyle name="Normal 5 3 4 5 3 2" xfId="14097" xr:uid="{0181E973-D4FE-4CB0-80A7-7CD64103F3E3}"/>
    <cellStyle name="Normal 5 3 4 5 4" xfId="9879" xr:uid="{73A17EE2-7F4F-4684-9797-47A07701B724}"/>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E3B8998E-6EC7-47BF-B1AE-5D86466904AA}"/>
    <cellStyle name="Normal 5 3 4 6 2 3" xfId="12437" xr:uid="{5892D2D5-902E-42C8-A5B1-A289D5CD2EA9}"/>
    <cellStyle name="Normal 5 3 4 6 3" xfId="6060" xr:uid="{00000000-0005-0000-0000-00005C1A0000}"/>
    <cellStyle name="Normal 5 3 4 6 3 2" xfId="14510" xr:uid="{FB4744FF-BB65-43E5-82D4-3B5BD3E0A627}"/>
    <cellStyle name="Normal 5 3 4 6 4" xfId="10292" xr:uid="{359AFB79-0B2B-418E-AC63-5968447B089F}"/>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71C74CDF-5C6F-48A2-B745-0019A87C08B4}"/>
    <cellStyle name="Normal 5 3 4 7 2 3" xfId="12850" xr:uid="{D6FBC949-2A92-45AE-A51F-BE575E34BD78}"/>
    <cellStyle name="Normal 5 3 4 7 3" xfId="6473" xr:uid="{00000000-0005-0000-0000-0000601A0000}"/>
    <cellStyle name="Normal 5 3 4 7 3 2" xfId="14923" xr:uid="{0A9AC4C8-BB0A-4F75-B9F1-5EB44A1A73A7}"/>
    <cellStyle name="Normal 5 3 4 7 4" xfId="10705" xr:uid="{DCA33B7D-FD55-43F7-AABE-8E524380FF5A}"/>
    <cellStyle name="Normal 5 3 4 8" xfId="2603" xr:uid="{00000000-0005-0000-0000-0000611A0000}"/>
    <cellStyle name="Normal 5 3 4 8 2" xfId="6886" xr:uid="{00000000-0005-0000-0000-0000621A0000}"/>
    <cellStyle name="Normal 5 3 4 8 2 2" xfId="15336" xr:uid="{E3669A5D-37A8-444A-8464-EA6FE92738AF}"/>
    <cellStyle name="Normal 5 3 4 8 3" xfId="11118" xr:uid="{16A1C2E9-EB71-45D3-A285-361B9C8606E9}"/>
    <cellStyle name="Normal 5 3 4 9" xfId="4821" xr:uid="{00000000-0005-0000-0000-0000631A0000}"/>
    <cellStyle name="Normal 5 3 4 9 2" xfId="13271" xr:uid="{2BE4BA31-1A53-4378-9FA0-02B580ECDB7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F5E7535A-C2CB-4224-A0F6-4CDA101C0401}"/>
    <cellStyle name="Normal 5 3 5 2 2 2 3" xfId="11616" xr:uid="{F03BD60E-952B-4A34-B4FC-28B876932A4F}"/>
    <cellStyle name="Normal 5 3 5 2 2 3" xfId="5239" xr:uid="{00000000-0005-0000-0000-0000691A0000}"/>
    <cellStyle name="Normal 5 3 5 2 2 3 2" xfId="13689" xr:uid="{A444481A-1751-44BD-9E04-0602507A184F}"/>
    <cellStyle name="Normal 5 3 5 2 2 4" xfId="9471" xr:uid="{DD727382-80B0-4296-A8DD-5C273C9AB8D8}"/>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96B7C4A6-1761-4B50-819F-76627A63E09A}"/>
    <cellStyle name="Normal 5 3 5 2 3 2 3" xfId="12029" xr:uid="{D6B32615-128A-4774-A2E0-A562790C52CD}"/>
    <cellStyle name="Normal 5 3 5 2 3 3" xfId="5652" xr:uid="{00000000-0005-0000-0000-00006D1A0000}"/>
    <cellStyle name="Normal 5 3 5 2 3 3 2" xfId="14102" xr:uid="{59213291-E59F-44BD-9A26-0B1604B257E1}"/>
    <cellStyle name="Normal 5 3 5 2 3 4" xfId="9884" xr:uid="{8F4B1987-280B-45F8-AA43-A5BF94F44C1A}"/>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7BEA4708-9AF1-442D-8B45-BB7C6073EA82}"/>
    <cellStyle name="Normal 5 3 5 2 4 2 3" xfId="12442" xr:uid="{864F337A-554F-4AD0-A5AA-F4E82E4CEAE8}"/>
    <cellStyle name="Normal 5 3 5 2 4 3" xfId="6065" xr:uid="{00000000-0005-0000-0000-0000711A0000}"/>
    <cellStyle name="Normal 5 3 5 2 4 3 2" xfId="14515" xr:uid="{A34889BA-7744-4E5C-9F8A-A12CB94ACB56}"/>
    <cellStyle name="Normal 5 3 5 2 4 4" xfId="10297" xr:uid="{C5BEBD28-9FA4-47ED-AE91-D3AB45B48D9C}"/>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9D01AE7D-4DAA-4D7D-92A5-9EF19C25F262}"/>
    <cellStyle name="Normal 5 3 5 2 5 2 3" xfId="12855" xr:uid="{D04A053D-B442-49A2-A580-93CE337AAE37}"/>
    <cellStyle name="Normal 5 3 5 2 5 3" xfId="6478" xr:uid="{00000000-0005-0000-0000-0000751A0000}"/>
    <cellStyle name="Normal 5 3 5 2 5 3 2" xfId="14928" xr:uid="{7E02693C-0EAB-4810-90A2-82435A24E042}"/>
    <cellStyle name="Normal 5 3 5 2 5 4" xfId="10710" xr:uid="{B5FD9B29-8468-4390-B0E6-4DE43DF836B0}"/>
    <cellStyle name="Normal 5 3 5 2 6" xfId="2608" xr:uid="{00000000-0005-0000-0000-0000761A0000}"/>
    <cellStyle name="Normal 5 3 5 2 6 2" xfId="6891" xr:uid="{00000000-0005-0000-0000-0000771A0000}"/>
    <cellStyle name="Normal 5 3 5 2 6 2 2" xfId="15341" xr:uid="{41AE7635-92A1-477B-95CC-967719800580}"/>
    <cellStyle name="Normal 5 3 5 2 6 3" xfId="11123" xr:uid="{39AC62EC-E18D-43E9-908D-4C4FA202282F}"/>
    <cellStyle name="Normal 5 3 5 2 7" xfId="4826" xr:uid="{00000000-0005-0000-0000-0000781A0000}"/>
    <cellStyle name="Normal 5 3 5 2 7 2" xfId="13276" xr:uid="{8EC7AA8B-EFE7-4B9B-B984-470BA926058C}"/>
    <cellStyle name="Normal 5 3 5 2 8" xfId="9058" xr:uid="{F89F645E-2677-4B5B-A50C-E0D520343095}"/>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2601C91C-33FF-40D9-8B4B-903805767B51}"/>
    <cellStyle name="Normal 5 3 5 3 2 3" xfId="11615" xr:uid="{99A64E0E-C9EA-478F-BAD7-813376DE4E25}"/>
    <cellStyle name="Normal 5 3 5 3 3" xfId="5238" xr:uid="{00000000-0005-0000-0000-00007C1A0000}"/>
    <cellStyle name="Normal 5 3 5 3 3 2" xfId="13688" xr:uid="{220B77EE-533D-4DEB-8C9D-D1AC92F6FD39}"/>
    <cellStyle name="Normal 5 3 5 3 4" xfId="9470" xr:uid="{8FFDDA7C-51B2-4CE5-937F-342A29448DFF}"/>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C908BB39-2870-48E2-BEF7-9ED19B9E647A}"/>
    <cellStyle name="Normal 5 3 5 4 2 3" xfId="12028" xr:uid="{7FC61541-31D3-42EF-9F1C-673B9CB8ADC6}"/>
    <cellStyle name="Normal 5 3 5 4 3" xfId="5651" xr:uid="{00000000-0005-0000-0000-0000801A0000}"/>
    <cellStyle name="Normal 5 3 5 4 3 2" xfId="14101" xr:uid="{0D706EC6-599F-438E-922B-A3F0A1E867C6}"/>
    <cellStyle name="Normal 5 3 5 4 4" xfId="9883" xr:uid="{2278E7F8-A2FB-4F63-8C71-1C8CBF3D64AE}"/>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9CBBE798-E747-42F7-84C0-D8AE2C876E2A}"/>
    <cellStyle name="Normal 5 3 5 5 2 3" xfId="12441" xr:uid="{7F4951F2-BF31-4DA5-B284-4CE225136FB3}"/>
    <cellStyle name="Normal 5 3 5 5 3" xfId="6064" xr:uid="{00000000-0005-0000-0000-0000841A0000}"/>
    <cellStyle name="Normal 5 3 5 5 3 2" xfId="14514" xr:uid="{4AACE2C6-E070-401F-8005-01F155AAC8BE}"/>
    <cellStyle name="Normal 5 3 5 5 4" xfId="10296" xr:uid="{56C410E1-3596-449A-AE46-38A9FA66DAF2}"/>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65D921CE-FC62-495E-9D0F-6EE36CED0772}"/>
    <cellStyle name="Normal 5 3 5 6 2 3" xfId="12854" xr:uid="{CA2FA910-ADD7-4BE3-9D73-C0F57D9DAA28}"/>
    <cellStyle name="Normal 5 3 5 6 3" xfId="6477" xr:uid="{00000000-0005-0000-0000-0000881A0000}"/>
    <cellStyle name="Normal 5 3 5 6 3 2" xfId="14927" xr:uid="{44E98BA8-1AD5-4AC8-B8F9-A187DAD0C053}"/>
    <cellStyle name="Normal 5 3 5 6 4" xfId="10709" xr:uid="{4746CCF0-FBE7-4862-A439-1FFD7F5B2049}"/>
    <cellStyle name="Normal 5 3 5 7" xfId="2607" xr:uid="{00000000-0005-0000-0000-0000891A0000}"/>
    <cellStyle name="Normal 5 3 5 7 2" xfId="6890" xr:uid="{00000000-0005-0000-0000-00008A1A0000}"/>
    <cellStyle name="Normal 5 3 5 7 2 2" xfId="15340" xr:uid="{845C5863-17BB-4541-9132-E0A525A7B40B}"/>
    <cellStyle name="Normal 5 3 5 7 3" xfId="11122" xr:uid="{72D23DAF-70E4-4715-8478-1B752742660E}"/>
    <cellStyle name="Normal 5 3 5 8" xfId="4825" xr:uid="{00000000-0005-0000-0000-00008B1A0000}"/>
    <cellStyle name="Normal 5 3 5 8 2" xfId="13275" xr:uid="{7E5A7948-B097-4D40-A5AC-B59D5FA957FF}"/>
    <cellStyle name="Normal 5 3 5 9" xfId="9057" xr:uid="{D7686FAF-F41F-44C7-8E26-E4D982AE6C04}"/>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D3CC6C9D-14D2-442B-8F73-DF65C0C14F62}"/>
    <cellStyle name="Normal 5 3 6 2 2 3" xfId="11617" xr:uid="{37520E4E-CA37-4933-9A79-9419BD8C3E0B}"/>
    <cellStyle name="Normal 5 3 6 2 3" xfId="5240" xr:uid="{00000000-0005-0000-0000-0000901A0000}"/>
    <cellStyle name="Normal 5 3 6 2 3 2" xfId="13690" xr:uid="{30A26223-4A81-4FD7-B333-56F0251C7123}"/>
    <cellStyle name="Normal 5 3 6 2 4" xfId="9472" xr:uid="{602FF250-34E5-4F9F-9624-CB98068B768D}"/>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838FDA4E-9D80-4BAE-96BC-D573B90BB7CA}"/>
    <cellStyle name="Normal 5 3 6 3 2 3" xfId="12030" xr:uid="{53ADC3CC-C178-4BDE-81DB-176B49699F5D}"/>
    <cellStyle name="Normal 5 3 6 3 3" xfId="5653" xr:uid="{00000000-0005-0000-0000-0000941A0000}"/>
    <cellStyle name="Normal 5 3 6 3 3 2" xfId="14103" xr:uid="{9AA185A5-C651-4837-8748-24EA866B0479}"/>
    <cellStyle name="Normal 5 3 6 3 4" xfId="9885" xr:uid="{D8CE570A-5FB0-47CC-B5CE-297B14A52820}"/>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DE0B3356-029A-4797-9891-8499A4258EF0}"/>
    <cellStyle name="Normal 5 3 6 4 2 3" xfId="12443" xr:uid="{1815904C-CA4E-454A-82AC-8E2FB34FE247}"/>
    <cellStyle name="Normal 5 3 6 4 3" xfId="6066" xr:uid="{00000000-0005-0000-0000-0000981A0000}"/>
    <cellStyle name="Normal 5 3 6 4 3 2" xfId="14516" xr:uid="{EDB19BBD-145D-4660-AB54-3F7E761C00A7}"/>
    <cellStyle name="Normal 5 3 6 4 4" xfId="10298" xr:uid="{3993F028-AD26-4D7C-9931-21524ED86F24}"/>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51FB638A-7119-47B2-B89B-BDB00A79B0BC}"/>
    <cellStyle name="Normal 5 3 6 5 2 3" xfId="12856" xr:uid="{CD6FFC80-E78B-429A-9560-999D1F9D3D52}"/>
    <cellStyle name="Normal 5 3 6 5 3" xfId="6479" xr:uid="{00000000-0005-0000-0000-00009C1A0000}"/>
    <cellStyle name="Normal 5 3 6 5 3 2" xfId="14929" xr:uid="{013EBE49-F668-4119-A74E-44369499091E}"/>
    <cellStyle name="Normal 5 3 6 5 4" xfId="10711" xr:uid="{E7027DB0-0EC5-4E35-A0EE-A30413606482}"/>
    <cellStyle name="Normal 5 3 6 6" xfId="2609" xr:uid="{00000000-0005-0000-0000-00009D1A0000}"/>
    <cellStyle name="Normal 5 3 6 6 2" xfId="6892" xr:uid="{00000000-0005-0000-0000-00009E1A0000}"/>
    <cellStyle name="Normal 5 3 6 6 2 2" xfId="15342" xr:uid="{BD94DE30-BBAF-45B3-B93B-AF4CBAF914A8}"/>
    <cellStyle name="Normal 5 3 6 6 3" xfId="11124" xr:uid="{796464B6-456E-41C1-B650-984127EAB5F8}"/>
    <cellStyle name="Normal 5 3 6 7" xfId="4827" xr:uid="{00000000-0005-0000-0000-00009F1A0000}"/>
    <cellStyle name="Normal 5 3 6 7 2" xfId="13277" xr:uid="{A53E2CFB-6C1F-4985-897C-323E1E86046A}"/>
    <cellStyle name="Normal 5 3 6 8" xfId="9059" xr:uid="{B393108D-6BC2-4087-96BE-FA48AA692954}"/>
    <cellStyle name="Normal 5 3 7" xfId="913" xr:uid="{00000000-0005-0000-0000-0000A01A0000}"/>
    <cellStyle name="Normal 5 3 7 2" xfId="3148" xr:uid="{00000000-0005-0000-0000-0000A11A0000}"/>
    <cellStyle name="Normal 5 3 7 2 2" xfId="7370" xr:uid="{00000000-0005-0000-0000-0000A21A0000}"/>
    <cellStyle name="Normal 5 3 7 2 2 2" xfId="15820" xr:uid="{A3E4E1DD-733B-4EF9-BDD7-E8B90A0CDD34}"/>
    <cellStyle name="Normal 5 3 7 2 3" xfId="11602" xr:uid="{CFF162BD-DBDC-4B35-853E-040E491563F8}"/>
    <cellStyle name="Normal 5 3 7 3" xfId="5225" xr:uid="{00000000-0005-0000-0000-0000A31A0000}"/>
    <cellStyle name="Normal 5 3 7 3 2" xfId="13675" xr:uid="{D75D10BC-767E-4B74-8039-B5440D36087B}"/>
    <cellStyle name="Normal 5 3 7 4" xfId="9457" xr:uid="{5579EB08-A9F8-4C47-827E-B75BF87FA6E7}"/>
    <cellStyle name="Normal 5 3 8" xfId="1331" xr:uid="{00000000-0005-0000-0000-0000A41A0000}"/>
    <cellStyle name="Normal 5 3 8 2" xfId="3561" xr:uid="{00000000-0005-0000-0000-0000A51A0000}"/>
    <cellStyle name="Normal 5 3 8 2 2" xfId="7783" xr:uid="{00000000-0005-0000-0000-0000A61A0000}"/>
    <cellStyle name="Normal 5 3 8 2 2 2" xfId="16233" xr:uid="{2D2B5212-2023-4297-9411-A8CF3DC90C83}"/>
    <cellStyle name="Normal 5 3 8 2 3" xfId="12015" xr:uid="{F7C2F4E4-9C3B-4AEF-8A4A-DFB2D1AA623D}"/>
    <cellStyle name="Normal 5 3 8 3" xfId="5638" xr:uid="{00000000-0005-0000-0000-0000A71A0000}"/>
    <cellStyle name="Normal 5 3 8 3 2" xfId="14088" xr:uid="{E6A0A6D1-7A7B-4BAE-B721-0DBC897FC126}"/>
    <cellStyle name="Normal 5 3 8 4" xfId="9870" xr:uid="{DE5B818C-D6A7-44CB-ADB0-03E3BC6B1FBB}"/>
    <cellStyle name="Normal 5 3 9" xfId="1744" xr:uid="{00000000-0005-0000-0000-0000A81A0000}"/>
    <cellStyle name="Normal 5 3 9 2" xfId="3974" xr:uid="{00000000-0005-0000-0000-0000A91A0000}"/>
    <cellStyle name="Normal 5 3 9 2 2" xfId="8196" xr:uid="{00000000-0005-0000-0000-0000AA1A0000}"/>
    <cellStyle name="Normal 5 3 9 2 2 2" xfId="16646" xr:uid="{7120ED23-0B8E-43C5-8E6A-309D1DF6000E}"/>
    <cellStyle name="Normal 5 3 9 2 3" xfId="12428" xr:uid="{0BFFDCBD-3C6A-4414-ACDC-74FB8C4AECBC}"/>
    <cellStyle name="Normal 5 3 9 3" xfId="6051" xr:uid="{00000000-0005-0000-0000-0000AB1A0000}"/>
    <cellStyle name="Normal 5 3 9 3 2" xfId="14501" xr:uid="{687370F1-A379-4C66-A1C1-8957CDD5D81C}"/>
    <cellStyle name="Normal 5 3 9 4" xfId="10283" xr:uid="{E56EC7F8-8870-430F-BDC2-A07E86208053}"/>
    <cellStyle name="Normal 5 4" xfId="456" xr:uid="{00000000-0005-0000-0000-0000AC1A0000}"/>
    <cellStyle name="Normal 5 4 10" xfId="4828" xr:uid="{00000000-0005-0000-0000-0000AD1A0000}"/>
    <cellStyle name="Normal 5 4 10 2" xfId="13278" xr:uid="{4981A272-1797-4ADE-91B4-5D692B1255C4}"/>
    <cellStyle name="Normal 5 4 11" xfId="9060" xr:uid="{3E482C4E-45AD-460E-B1AC-F975259D0D8E}"/>
    <cellStyle name="Normal 5 4 2" xfId="457" xr:uid="{00000000-0005-0000-0000-0000AE1A0000}"/>
    <cellStyle name="Normal 5 4 2 10" xfId="9061" xr:uid="{66477630-8DB2-4435-8B44-7E4F05D7A6DD}"/>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0F629A4E-A680-4D99-9E60-24E9CAD5DEBB}"/>
    <cellStyle name="Normal 5 4 2 2 2 2 2 3" xfId="11621" xr:uid="{62DB6339-FCA7-495E-9F69-BE5A07824F24}"/>
    <cellStyle name="Normal 5 4 2 2 2 2 3" xfId="5244" xr:uid="{00000000-0005-0000-0000-0000B41A0000}"/>
    <cellStyle name="Normal 5 4 2 2 2 2 3 2" xfId="13694" xr:uid="{910D65C5-6FEB-4192-913A-1432275E448B}"/>
    <cellStyle name="Normal 5 4 2 2 2 2 4" xfId="9476" xr:uid="{D92FBE9E-D0F1-4D8A-BD20-9D0C124E7D26}"/>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72801A5C-B42F-4851-8F7A-AC29FECA99CA}"/>
    <cellStyle name="Normal 5 4 2 2 2 3 2 3" xfId="12034" xr:uid="{E926EAEC-BF90-4A61-B58F-74A703886AD8}"/>
    <cellStyle name="Normal 5 4 2 2 2 3 3" xfId="5657" xr:uid="{00000000-0005-0000-0000-0000B81A0000}"/>
    <cellStyle name="Normal 5 4 2 2 2 3 3 2" xfId="14107" xr:uid="{1247B759-CDC0-420F-86F4-5212655DDE49}"/>
    <cellStyle name="Normal 5 4 2 2 2 3 4" xfId="9889" xr:uid="{43993FD2-35A2-4E6C-A5A2-FC489DB6E58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E4061E5D-F2B8-4D5B-B61D-41703A35AC4F}"/>
    <cellStyle name="Normal 5 4 2 2 2 4 2 3" xfId="12447" xr:uid="{4B5EBCE1-59DD-4BE4-87C9-1C963387D910}"/>
    <cellStyle name="Normal 5 4 2 2 2 4 3" xfId="6070" xr:uid="{00000000-0005-0000-0000-0000BC1A0000}"/>
    <cellStyle name="Normal 5 4 2 2 2 4 3 2" xfId="14520" xr:uid="{68E64B53-D1AC-4998-9EFF-C81504FBBDE0}"/>
    <cellStyle name="Normal 5 4 2 2 2 4 4" xfId="10302" xr:uid="{377C8CEC-24BC-4C1B-A25D-60C7433DE7FF}"/>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8A16CDAC-9178-455B-A81C-E6A13694C545}"/>
    <cellStyle name="Normal 5 4 2 2 2 5 2 3" xfId="12860" xr:uid="{46EF3DA0-9C42-4BE6-B814-FB2AF94DB411}"/>
    <cellStyle name="Normal 5 4 2 2 2 5 3" xfId="6483" xr:uid="{00000000-0005-0000-0000-0000C01A0000}"/>
    <cellStyle name="Normal 5 4 2 2 2 5 3 2" xfId="14933" xr:uid="{BC3033CF-E8FA-4374-83F4-DDF023137509}"/>
    <cellStyle name="Normal 5 4 2 2 2 5 4" xfId="10715" xr:uid="{C86D1DB4-B12C-4464-93C2-0EE55156694C}"/>
    <cellStyle name="Normal 5 4 2 2 2 6" xfId="2613" xr:uid="{00000000-0005-0000-0000-0000C11A0000}"/>
    <cellStyle name="Normal 5 4 2 2 2 6 2" xfId="6896" xr:uid="{00000000-0005-0000-0000-0000C21A0000}"/>
    <cellStyle name="Normal 5 4 2 2 2 6 2 2" xfId="15346" xr:uid="{49EB2177-895E-47D1-BD3B-30AB4A887319}"/>
    <cellStyle name="Normal 5 4 2 2 2 6 3" xfId="11128" xr:uid="{304EEBF8-6004-4BE5-8CF9-2ACAE25C7A9C}"/>
    <cellStyle name="Normal 5 4 2 2 2 7" xfId="4831" xr:uid="{00000000-0005-0000-0000-0000C31A0000}"/>
    <cellStyle name="Normal 5 4 2 2 2 7 2" xfId="13281" xr:uid="{D70D4F1C-E43C-4E61-B0D7-8ADEF0308B7A}"/>
    <cellStyle name="Normal 5 4 2 2 2 8" xfId="9063" xr:uid="{5F778990-B09C-4D69-AD35-F1BCC2770B29}"/>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696ADF32-5B9C-4417-8752-C7FB78CA7CA5}"/>
    <cellStyle name="Normal 5 4 2 2 3 2 3" xfId="11620" xr:uid="{BEAB929D-8E22-4B0D-9541-36A4A7318005}"/>
    <cellStyle name="Normal 5 4 2 2 3 3" xfId="5243" xr:uid="{00000000-0005-0000-0000-0000C71A0000}"/>
    <cellStyle name="Normal 5 4 2 2 3 3 2" xfId="13693" xr:uid="{E82EF1E0-E07D-41F2-9AEE-58252A6E3A81}"/>
    <cellStyle name="Normal 5 4 2 2 3 4" xfId="9475" xr:uid="{556D5CFC-54AB-4891-AD0B-215237BF972A}"/>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56C3E22A-10B1-4195-A775-39FA6A367E4B}"/>
    <cellStyle name="Normal 5 4 2 2 4 2 3" xfId="12033" xr:uid="{1530F642-28D9-43FE-80DC-31011D4237BB}"/>
    <cellStyle name="Normal 5 4 2 2 4 3" xfId="5656" xr:uid="{00000000-0005-0000-0000-0000CB1A0000}"/>
    <cellStyle name="Normal 5 4 2 2 4 3 2" xfId="14106" xr:uid="{F499DCE8-A658-417A-89DD-398DE3D54F43}"/>
    <cellStyle name="Normal 5 4 2 2 4 4" xfId="9888" xr:uid="{66B807AB-04EF-49A5-A01D-36BD3EAD80BC}"/>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ECB5214F-4F6E-4F5D-ADB0-D25FF965DBB2}"/>
    <cellStyle name="Normal 5 4 2 2 5 2 3" xfId="12446" xr:uid="{07D01A86-08D4-4768-9D16-2BD37F7A62BB}"/>
    <cellStyle name="Normal 5 4 2 2 5 3" xfId="6069" xr:uid="{00000000-0005-0000-0000-0000CF1A0000}"/>
    <cellStyle name="Normal 5 4 2 2 5 3 2" xfId="14519" xr:uid="{9799DF11-ECCC-4A87-B7D8-C64EE3D0713D}"/>
    <cellStyle name="Normal 5 4 2 2 5 4" xfId="10301" xr:uid="{472D2ED1-D0B3-445C-92D2-038813ECF6F8}"/>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969F31C9-CE22-46E1-BD7B-8C974184E6F4}"/>
    <cellStyle name="Normal 5 4 2 2 6 2 3" xfId="12859" xr:uid="{0B0CACEA-6F9D-44D7-B668-93AE81A9E26F}"/>
    <cellStyle name="Normal 5 4 2 2 6 3" xfId="6482" xr:uid="{00000000-0005-0000-0000-0000D31A0000}"/>
    <cellStyle name="Normal 5 4 2 2 6 3 2" xfId="14932" xr:uid="{4750EC60-1678-4AF0-8F5C-9E67A6A96791}"/>
    <cellStyle name="Normal 5 4 2 2 6 4" xfId="10714" xr:uid="{08E78F28-669F-47B7-A8B2-2A07E6077A33}"/>
    <cellStyle name="Normal 5 4 2 2 7" xfId="2612" xr:uid="{00000000-0005-0000-0000-0000D41A0000}"/>
    <cellStyle name="Normal 5 4 2 2 7 2" xfId="6895" xr:uid="{00000000-0005-0000-0000-0000D51A0000}"/>
    <cellStyle name="Normal 5 4 2 2 7 2 2" xfId="15345" xr:uid="{27DE643B-595C-4A26-80DA-491A2889F416}"/>
    <cellStyle name="Normal 5 4 2 2 7 3" xfId="11127" xr:uid="{4FA32750-BE81-46C1-B9A6-336437AEAF9E}"/>
    <cellStyle name="Normal 5 4 2 2 8" xfId="4830" xr:uid="{00000000-0005-0000-0000-0000D61A0000}"/>
    <cellStyle name="Normal 5 4 2 2 8 2" xfId="13280" xr:uid="{D14EBEBE-2420-442C-858E-1F5E19B4B776}"/>
    <cellStyle name="Normal 5 4 2 2 9" xfId="9062" xr:uid="{AC95E25B-8448-48D5-8613-42DCA9A156A7}"/>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07B9E10A-FD56-4DD3-AB41-07BB6875780D}"/>
    <cellStyle name="Normal 5 4 2 3 2 2 3" xfId="11622" xr:uid="{52520E3B-D633-41DB-B98D-BEA179D0478E}"/>
    <cellStyle name="Normal 5 4 2 3 2 3" xfId="5245" xr:uid="{00000000-0005-0000-0000-0000DB1A0000}"/>
    <cellStyle name="Normal 5 4 2 3 2 3 2" xfId="13695" xr:uid="{A69159BD-E051-4300-9B98-56481FF9E947}"/>
    <cellStyle name="Normal 5 4 2 3 2 4" xfId="9477" xr:uid="{0DA1A64D-4C08-49B8-ACCB-34A51C5056C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393B1DC6-6A47-4CCB-BEF4-8138833D6492}"/>
    <cellStyle name="Normal 5 4 2 3 3 2 3" xfId="12035" xr:uid="{B6FA7B7B-FAD1-4793-9E57-D7F76A83D6B6}"/>
    <cellStyle name="Normal 5 4 2 3 3 3" xfId="5658" xr:uid="{00000000-0005-0000-0000-0000DF1A0000}"/>
    <cellStyle name="Normal 5 4 2 3 3 3 2" xfId="14108" xr:uid="{5E712C57-F6FF-41E7-A986-227B04F9AA9C}"/>
    <cellStyle name="Normal 5 4 2 3 3 4" xfId="9890" xr:uid="{F7F88E3C-543A-4DFD-A44B-5BC4007F150A}"/>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5B15DCEE-94C0-472B-8191-3094937CE3A8}"/>
    <cellStyle name="Normal 5 4 2 3 4 2 3" xfId="12448" xr:uid="{E0EA43C7-C5FE-4394-AA3B-9F29D3DCAF56}"/>
    <cellStyle name="Normal 5 4 2 3 4 3" xfId="6071" xr:uid="{00000000-0005-0000-0000-0000E31A0000}"/>
    <cellStyle name="Normal 5 4 2 3 4 3 2" xfId="14521" xr:uid="{BD978792-9043-4C80-A1D3-C3FD76B8E24A}"/>
    <cellStyle name="Normal 5 4 2 3 4 4" xfId="10303" xr:uid="{9500F658-64DD-4A11-835E-708BBFF6479E}"/>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BCFC80F1-E33C-43FB-81AC-EF87704FC7E6}"/>
    <cellStyle name="Normal 5 4 2 3 5 2 3" xfId="12861" xr:uid="{C4026E4D-33FA-4040-8EF6-46E40B2DEDBF}"/>
    <cellStyle name="Normal 5 4 2 3 5 3" xfId="6484" xr:uid="{00000000-0005-0000-0000-0000E71A0000}"/>
    <cellStyle name="Normal 5 4 2 3 5 3 2" xfId="14934" xr:uid="{F2FBE5FF-205F-4DD4-8A51-75841C08955F}"/>
    <cellStyle name="Normal 5 4 2 3 5 4" xfId="10716" xr:uid="{C5BDC500-E32C-4FA0-A087-198CF7121B76}"/>
    <cellStyle name="Normal 5 4 2 3 6" xfId="2614" xr:uid="{00000000-0005-0000-0000-0000E81A0000}"/>
    <cellStyle name="Normal 5 4 2 3 6 2" xfId="6897" xr:uid="{00000000-0005-0000-0000-0000E91A0000}"/>
    <cellStyle name="Normal 5 4 2 3 6 2 2" xfId="15347" xr:uid="{02CC5C00-E0DA-486D-9F74-0AC15449EAA7}"/>
    <cellStyle name="Normal 5 4 2 3 6 3" xfId="11129" xr:uid="{CFECB737-C099-49B6-9DE2-895CCFBD1FCC}"/>
    <cellStyle name="Normal 5 4 2 3 7" xfId="4832" xr:uid="{00000000-0005-0000-0000-0000EA1A0000}"/>
    <cellStyle name="Normal 5 4 2 3 7 2" xfId="13282" xr:uid="{A6B69A51-B600-41B9-8A51-7B8ECD6B31E3}"/>
    <cellStyle name="Normal 5 4 2 3 8" xfId="9064" xr:uid="{DEC1DA3F-C1C8-4CED-847D-765354DE2C1C}"/>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76D43B43-B9BE-400C-9612-6D87822CBE5A}"/>
    <cellStyle name="Normal 5 4 2 4 2 3" xfId="11619" xr:uid="{95F25A5D-ED79-4C67-8029-68FB1106BFDF}"/>
    <cellStyle name="Normal 5 4 2 4 3" xfId="5242" xr:uid="{00000000-0005-0000-0000-0000EE1A0000}"/>
    <cellStyle name="Normal 5 4 2 4 3 2" xfId="13692" xr:uid="{24D97EF2-5A8B-44A6-A2AD-5A3B00DBAEB3}"/>
    <cellStyle name="Normal 5 4 2 4 4" xfId="9474" xr:uid="{C13F8C29-A930-45A0-9549-8CB38374AA6C}"/>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E6932AB0-7748-496D-9A1D-C1AA4A4944C3}"/>
    <cellStyle name="Normal 5 4 2 5 2 3" xfId="12032" xr:uid="{80250175-55A0-4F94-9A0B-125E2FA67845}"/>
    <cellStyle name="Normal 5 4 2 5 3" xfId="5655" xr:uid="{00000000-0005-0000-0000-0000F21A0000}"/>
    <cellStyle name="Normal 5 4 2 5 3 2" xfId="14105" xr:uid="{D2BB50F7-D4FD-46AF-90D4-D25884322132}"/>
    <cellStyle name="Normal 5 4 2 5 4" xfId="9887" xr:uid="{1A0C3E4C-3769-4FE7-A3FD-2FD16E34A18B}"/>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28E222CC-5494-4325-A385-05D4EECC8D2B}"/>
    <cellStyle name="Normal 5 4 2 6 2 3" xfId="12445" xr:uid="{6D1E5E3A-063A-4AF4-9CBA-6425081D9851}"/>
    <cellStyle name="Normal 5 4 2 6 3" xfId="6068" xr:uid="{00000000-0005-0000-0000-0000F61A0000}"/>
    <cellStyle name="Normal 5 4 2 6 3 2" xfId="14518" xr:uid="{E9FD16DD-E53F-45F0-A62A-F91A746F9D12}"/>
    <cellStyle name="Normal 5 4 2 6 4" xfId="10300" xr:uid="{9951104B-95C2-4C68-A233-F6B692ECBC06}"/>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6557F46A-7D3C-44D2-AE19-9CB4143E1148}"/>
    <cellStyle name="Normal 5 4 2 7 2 3" xfId="12858" xr:uid="{0AAA3F75-5C78-4757-949A-B162A1ADAABC}"/>
    <cellStyle name="Normal 5 4 2 7 3" xfId="6481" xr:uid="{00000000-0005-0000-0000-0000FA1A0000}"/>
    <cellStyle name="Normal 5 4 2 7 3 2" xfId="14931" xr:uid="{6047467C-A71B-46E1-8FF8-19C6226A25D6}"/>
    <cellStyle name="Normal 5 4 2 7 4" xfId="10713" xr:uid="{212890B5-8766-44B3-87BD-8FF1F7DBE150}"/>
    <cellStyle name="Normal 5 4 2 8" xfId="2611" xr:uid="{00000000-0005-0000-0000-0000FB1A0000}"/>
    <cellStyle name="Normal 5 4 2 8 2" xfId="6894" xr:uid="{00000000-0005-0000-0000-0000FC1A0000}"/>
    <cellStyle name="Normal 5 4 2 8 2 2" xfId="15344" xr:uid="{928B6E2B-9B13-4F13-A6F5-21752440D3F6}"/>
    <cellStyle name="Normal 5 4 2 8 3" xfId="11126" xr:uid="{B085785E-FD6E-4F1D-A67E-4DC3DA0639A4}"/>
    <cellStyle name="Normal 5 4 2 9" xfId="4829" xr:uid="{00000000-0005-0000-0000-0000FD1A0000}"/>
    <cellStyle name="Normal 5 4 2 9 2" xfId="13279" xr:uid="{3C919C4D-4F8E-4FAC-B932-88CC540E5F2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5F967CF5-387A-446E-8F17-2E104802149F}"/>
    <cellStyle name="Normal 5 4 3 2 2 2 3" xfId="11624" xr:uid="{5BAF763E-0134-48E4-8ABA-727BBDAEA115}"/>
    <cellStyle name="Normal 5 4 3 2 2 3" xfId="5247" xr:uid="{00000000-0005-0000-0000-0000031B0000}"/>
    <cellStyle name="Normal 5 4 3 2 2 3 2" xfId="13697" xr:uid="{01EA1874-479D-41D6-8005-BEAF746125A0}"/>
    <cellStyle name="Normal 5 4 3 2 2 4" xfId="9479" xr:uid="{B82FC6A6-5FBF-452D-92EA-C83E4CA3CF46}"/>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5F4517C1-3E44-4DA7-B940-EE5FC9BE065C}"/>
    <cellStyle name="Normal 5 4 3 2 3 2 3" xfId="12037" xr:uid="{F4B0D145-44E3-4CA8-880D-A0E082897F65}"/>
    <cellStyle name="Normal 5 4 3 2 3 3" xfId="5660" xr:uid="{00000000-0005-0000-0000-0000071B0000}"/>
    <cellStyle name="Normal 5 4 3 2 3 3 2" xfId="14110" xr:uid="{B97F7568-026D-4E63-AFE6-BBB06654BCAB}"/>
    <cellStyle name="Normal 5 4 3 2 3 4" xfId="9892" xr:uid="{DB1EACC7-9C0E-4579-8C8C-BBB4991F3A96}"/>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531044CA-9D79-4E47-886B-9AF30CBAACD9}"/>
    <cellStyle name="Normal 5 4 3 2 4 2 3" xfId="12450" xr:uid="{1DE5D2AE-4F6F-48AC-8276-767ADEBBE78C}"/>
    <cellStyle name="Normal 5 4 3 2 4 3" xfId="6073" xr:uid="{00000000-0005-0000-0000-00000B1B0000}"/>
    <cellStyle name="Normal 5 4 3 2 4 3 2" xfId="14523" xr:uid="{8B62AF81-7125-4E12-AEA4-81DEE9E276B6}"/>
    <cellStyle name="Normal 5 4 3 2 4 4" xfId="10305" xr:uid="{F3C11C8A-2BC4-45E3-AF86-05036CAEE8D1}"/>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D8A25EC5-67FE-4FB8-9B1E-6A14A5FF145B}"/>
    <cellStyle name="Normal 5 4 3 2 5 2 3" xfId="12863" xr:uid="{31619DD1-B869-4C91-ABEE-30A5F9D81CD5}"/>
    <cellStyle name="Normal 5 4 3 2 5 3" xfId="6486" xr:uid="{00000000-0005-0000-0000-00000F1B0000}"/>
    <cellStyle name="Normal 5 4 3 2 5 3 2" xfId="14936" xr:uid="{87158822-0200-46DF-A09D-3F6D6939D265}"/>
    <cellStyle name="Normal 5 4 3 2 5 4" xfId="10718" xr:uid="{F2C1B802-C433-438E-B249-35392FE0FDC2}"/>
    <cellStyle name="Normal 5 4 3 2 6" xfId="2616" xr:uid="{00000000-0005-0000-0000-0000101B0000}"/>
    <cellStyle name="Normal 5 4 3 2 6 2" xfId="6899" xr:uid="{00000000-0005-0000-0000-0000111B0000}"/>
    <cellStyle name="Normal 5 4 3 2 6 2 2" xfId="15349" xr:uid="{EE718EE9-9B7F-4B12-9BF3-4A2D4FF0E3F6}"/>
    <cellStyle name="Normal 5 4 3 2 6 3" xfId="11131" xr:uid="{21F543AB-A769-43BD-B855-3D45AA9E5C2C}"/>
    <cellStyle name="Normal 5 4 3 2 7" xfId="4834" xr:uid="{00000000-0005-0000-0000-0000121B0000}"/>
    <cellStyle name="Normal 5 4 3 2 7 2" xfId="13284" xr:uid="{45C608D9-EE1D-455B-AD79-7E3D1AC307FC}"/>
    <cellStyle name="Normal 5 4 3 2 8" xfId="9066" xr:uid="{BDE36750-090B-4135-989F-D3C2289DDC63}"/>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B8AB6EA9-5751-4282-B106-A2B3513FC098}"/>
    <cellStyle name="Normal 5 4 3 3 2 3" xfId="11623" xr:uid="{BDFCB770-D51F-4A49-8AE4-8CF8960F7094}"/>
    <cellStyle name="Normal 5 4 3 3 3" xfId="5246" xr:uid="{00000000-0005-0000-0000-0000161B0000}"/>
    <cellStyle name="Normal 5 4 3 3 3 2" xfId="13696" xr:uid="{4C404DE8-062F-44D6-9238-839A263A5568}"/>
    <cellStyle name="Normal 5 4 3 3 4" xfId="9478" xr:uid="{5F9F2A01-528A-4CCF-ADF0-2996DBE547C8}"/>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72AF28FC-D75F-4B7A-831D-3A93B0569332}"/>
    <cellStyle name="Normal 5 4 3 4 2 3" xfId="12036" xr:uid="{8FF3627E-52F6-4DE0-B0A7-3FF278AEDD7E}"/>
    <cellStyle name="Normal 5 4 3 4 3" xfId="5659" xr:uid="{00000000-0005-0000-0000-00001A1B0000}"/>
    <cellStyle name="Normal 5 4 3 4 3 2" xfId="14109" xr:uid="{67CD2AF1-D483-4D65-9497-D204ED6B1B8F}"/>
    <cellStyle name="Normal 5 4 3 4 4" xfId="9891" xr:uid="{18015EC4-D898-43DE-9B19-72966A61B4DF}"/>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7C6316B5-4C0A-4697-B96A-96190918B502}"/>
    <cellStyle name="Normal 5 4 3 5 2 3" xfId="12449" xr:uid="{5D3B96EF-9DFB-4D2F-8875-FD7285A30A3B}"/>
    <cellStyle name="Normal 5 4 3 5 3" xfId="6072" xr:uid="{00000000-0005-0000-0000-00001E1B0000}"/>
    <cellStyle name="Normal 5 4 3 5 3 2" xfId="14522" xr:uid="{6CAE464B-47B2-4219-B3B7-7109F5173360}"/>
    <cellStyle name="Normal 5 4 3 5 4" xfId="10304" xr:uid="{2773AE08-33BD-40B2-8A18-5648DFD5ABE3}"/>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7D632A77-AE7A-42CB-9B13-C35E08CEAB60}"/>
    <cellStyle name="Normal 5 4 3 6 2 3" xfId="12862" xr:uid="{467322E8-AD0A-444B-9C18-FA5C71F51895}"/>
    <cellStyle name="Normal 5 4 3 6 3" xfId="6485" xr:uid="{00000000-0005-0000-0000-0000221B0000}"/>
    <cellStyle name="Normal 5 4 3 6 3 2" xfId="14935" xr:uid="{394A21DB-E840-4F49-BB7E-E16A9844AEB7}"/>
    <cellStyle name="Normal 5 4 3 6 4" xfId="10717" xr:uid="{521B2EC6-1E9E-44FB-A792-8708FC110868}"/>
    <cellStyle name="Normal 5 4 3 7" xfId="2615" xr:uid="{00000000-0005-0000-0000-0000231B0000}"/>
    <cellStyle name="Normal 5 4 3 7 2" xfId="6898" xr:uid="{00000000-0005-0000-0000-0000241B0000}"/>
    <cellStyle name="Normal 5 4 3 7 2 2" xfId="15348" xr:uid="{0C5002DC-F28A-4131-9D35-609C4A96F83C}"/>
    <cellStyle name="Normal 5 4 3 7 3" xfId="11130" xr:uid="{896160DD-EB52-4CE6-B8F1-6D5BAB2AEFC9}"/>
    <cellStyle name="Normal 5 4 3 8" xfId="4833" xr:uid="{00000000-0005-0000-0000-0000251B0000}"/>
    <cellStyle name="Normal 5 4 3 8 2" xfId="13283" xr:uid="{1E06E1B1-D752-46B0-9761-A0791C0E5A0A}"/>
    <cellStyle name="Normal 5 4 3 9" xfId="9065" xr:uid="{50D8A37E-C261-4452-9702-EFBAEB79DD92}"/>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E8D4AD2C-7851-4176-A579-DB62AD1D2EB9}"/>
    <cellStyle name="Normal 5 4 4 2 2 3" xfId="11625" xr:uid="{31059060-3A85-4B82-A5E9-0362B0DD6079}"/>
    <cellStyle name="Normal 5 4 4 2 3" xfId="5248" xr:uid="{00000000-0005-0000-0000-00002A1B0000}"/>
    <cellStyle name="Normal 5 4 4 2 3 2" xfId="13698" xr:uid="{6177A9FB-AB96-4580-99E2-ECF9F6892B10}"/>
    <cellStyle name="Normal 5 4 4 2 4" xfId="9480" xr:uid="{B98BC3ED-FF00-4CA0-B22E-BD5D6C280625}"/>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83AF0DBD-8567-4345-9819-CF911C2C5D33}"/>
    <cellStyle name="Normal 5 4 4 3 2 3" xfId="12038" xr:uid="{F27271EB-9E4F-4AE3-B23F-062FE65FB35F}"/>
    <cellStyle name="Normal 5 4 4 3 3" xfId="5661" xr:uid="{00000000-0005-0000-0000-00002E1B0000}"/>
    <cellStyle name="Normal 5 4 4 3 3 2" xfId="14111" xr:uid="{D2653022-31BD-4DD2-96F9-585BF0DAF14B}"/>
    <cellStyle name="Normal 5 4 4 3 4" xfId="9893" xr:uid="{51A89A16-87E7-412D-80EE-3638AFD1F1AD}"/>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23E0705A-F26C-4DDB-85C3-25FFF762F4C2}"/>
    <cellStyle name="Normal 5 4 4 4 2 3" xfId="12451" xr:uid="{A8408C4B-3485-41E7-B4C5-C9B749B0502E}"/>
    <cellStyle name="Normal 5 4 4 4 3" xfId="6074" xr:uid="{00000000-0005-0000-0000-0000321B0000}"/>
    <cellStyle name="Normal 5 4 4 4 3 2" xfId="14524" xr:uid="{C02A6254-AC8B-49B7-96F8-62B16093FAA4}"/>
    <cellStyle name="Normal 5 4 4 4 4" xfId="10306" xr:uid="{9057D3D4-969A-434A-A901-6D5E2C12BC82}"/>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82876B54-DD49-40C9-AFC6-113F84AFB42B}"/>
    <cellStyle name="Normal 5 4 4 5 2 3" xfId="12864" xr:uid="{1B35AB07-5856-42D5-AA78-7A9FF1F07B28}"/>
    <cellStyle name="Normal 5 4 4 5 3" xfId="6487" xr:uid="{00000000-0005-0000-0000-0000361B0000}"/>
    <cellStyle name="Normal 5 4 4 5 3 2" xfId="14937" xr:uid="{A4BF2A84-AB98-4841-99AD-9C82CA30894A}"/>
    <cellStyle name="Normal 5 4 4 5 4" xfId="10719" xr:uid="{F81A1A5D-8F54-4D8C-BA63-FA9A1DB81C8C}"/>
    <cellStyle name="Normal 5 4 4 6" xfId="2617" xr:uid="{00000000-0005-0000-0000-0000371B0000}"/>
    <cellStyle name="Normal 5 4 4 6 2" xfId="6900" xr:uid="{00000000-0005-0000-0000-0000381B0000}"/>
    <cellStyle name="Normal 5 4 4 6 2 2" xfId="15350" xr:uid="{EED4505F-FDE3-492C-9327-A6B2E6F547E3}"/>
    <cellStyle name="Normal 5 4 4 6 3" xfId="11132" xr:uid="{91919FC4-7975-4F88-8E94-42A9ABBB37F4}"/>
    <cellStyle name="Normal 5 4 4 7" xfId="4835" xr:uid="{00000000-0005-0000-0000-0000391B0000}"/>
    <cellStyle name="Normal 5 4 4 7 2" xfId="13285" xr:uid="{04E25916-915F-481B-AD09-2EB484A7303A}"/>
    <cellStyle name="Normal 5 4 4 8" xfId="9067" xr:uid="{51EA9867-397C-458F-B539-C3C9E1A2548A}"/>
    <cellStyle name="Normal 5 4 5" xfId="930" xr:uid="{00000000-0005-0000-0000-00003A1B0000}"/>
    <cellStyle name="Normal 5 4 5 2" xfId="3164" xr:uid="{00000000-0005-0000-0000-00003B1B0000}"/>
    <cellStyle name="Normal 5 4 5 2 2" xfId="7386" xr:uid="{00000000-0005-0000-0000-00003C1B0000}"/>
    <cellStyle name="Normal 5 4 5 2 2 2" xfId="15836" xr:uid="{F5B9173F-CDA3-4D7C-8160-ACD25613EB62}"/>
    <cellStyle name="Normal 5 4 5 2 3" xfId="11618" xr:uid="{3E40EB0B-C5C6-44D5-9B64-974D4AF7A851}"/>
    <cellStyle name="Normal 5 4 5 3" xfId="5241" xr:uid="{00000000-0005-0000-0000-00003D1B0000}"/>
    <cellStyle name="Normal 5 4 5 3 2" xfId="13691" xr:uid="{2F3C09DE-3957-4E12-8A08-D14E5FC8AA33}"/>
    <cellStyle name="Normal 5 4 5 4" xfId="9473" xr:uid="{54B27FB0-D831-4153-AAB2-A9CDC23CFA5D}"/>
    <cellStyle name="Normal 5 4 6" xfId="1347" xr:uid="{00000000-0005-0000-0000-00003E1B0000}"/>
    <cellStyle name="Normal 5 4 6 2" xfId="3577" xr:uid="{00000000-0005-0000-0000-00003F1B0000}"/>
    <cellStyle name="Normal 5 4 6 2 2" xfId="7799" xr:uid="{00000000-0005-0000-0000-0000401B0000}"/>
    <cellStyle name="Normal 5 4 6 2 2 2" xfId="16249" xr:uid="{110374FA-F825-4FF8-97EF-9D3B027441BB}"/>
    <cellStyle name="Normal 5 4 6 2 3" xfId="12031" xr:uid="{DEF789C1-DE28-437B-BDEB-744B60082ED6}"/>
    <cellStyle name="Normal 5 4 6 3" xfId="5654" xr:uid="{00000000-0005-0000-0000-0000411B0000}"/>
    <cellStyle name="Normal 5 4 6 3 2" xfId="14104" xr:uid="{E46A9908-E2D0-4401-A8B4-D0CCFCA4547D}"/>
    <cellStyle name="Normal 5 4 6 4" xfId="9886" xr:uid="{F8D5C2B3-792B-4FA4-B3A5-91FEFC48C0BF}"/>
    <cellStyle name="Normal 5 4 7" xfId="1760" xr:uid="{00000000-0005-0000-0000-0000421B0000}"/>
    <cellStyle name="Normal 5 4 7 2" xfId="3990" xr:uid="{00000000-0005-0000-0000-0000431B0000}"/>
    <cellStyle name="Normal 5 4 7 2 2" xfId="8212" xr:uid="{00000000-0005-0000-0000-0000441B0000}"/>
    <cellStyle name="Normal 5 4 7 2 2 2" xfId="16662" xr:uid="{B782553B-CC4D-4E79-95E5-5B984B3B134B}"/>
    <cellStyle name="Normal 5 4 7 2 3" xfId="12444" xr:uid="{21111BA9-1E33-454E-A15C-4A707FCEEAFC}"/>
    <cellStyle name="Normal 5 4 7 3" xfId="6067" xr:uid="{00000000-0005-0000-0000-0000451B0000}"/>
    <cellStyle name="Normal 5 4 7 3 2" xfId="14517" xr:uid="{EC4B1ACD-4348-4C2C-A900-3BB839642B73}"/>
    <cellStyle name="Normal 5 4 7 4" xfId="10299" xr:uid="{367EF7DB-FB32-4170-BC1F-3240E24D1D0F}"/>
    <cellStyle name="Normal 5 4 8" xfId="2174" xr:uid="{00000000-0005-0000-0000-0000461B0000}"/>
    <cellStyle name="Normal 5 4 8 2" xfId="4403" xr:uid="{00000000-0005-0000-0000-0000471B0000}"/>
    <cellStyle name="Normal 5 4 8 2 2" xfId="8625" xr:uid="{00000000-0005-0000-0000-0000481B0000}"/>
    <cellStyle name="Normal 5 4 8 2 2 2" xfId="17075" xr:uid="{A01CCC71-3656-46C3-B217-65B56B66AACC}"/>
    <cellStyle name="Normal 5 4 8 2 3" xfId="12857" xr:uid="{AA1A4BDC-4AF1-4E0D-AF99-E29BF2C5B6AE}"/>
    <cellStyle name="Normal 5 4 8 3" xfId="6480" xr:uid="{00000000-0005-0000-0000-0000491B0000}"/>
    <cellStyle name="Normal 5 4 8 3 2" xfId="14930" xr:uid="{4CBE9FBB-9407-4E7D-8F31-AAAF0983119A}"/>
    <cellStyle name="Normal 5 4 8 4" xfId="10712" xr:uid="{2F7E8BBD-61E1-4F2B-A090-9DD67699D281}"/>
    <cellStyle name="Normal 5 4 9" xfId="2610" xr:uid="{00000000-0005-0000-0000-00004A1B0000}"/>
    <cellStyle name="Normal 5 4 9 2" xfId="6893" xr:uid="{00000000-0005-0000-0000-00004B1B0000}"/>
    <cellStyle name="Normal 5 4 9 2 2" xfId="15343" xr:uid="{C7533E57-A406-48DB-BFC2-9B8F9EC3A184}"/>
    <cellStyle name="Normal 5 4 9 3" xfId="11125" xr:uid="{F35E2984-AA36-4B59-A11B-2F0DB5223F14}"/>
    <cellStyle name="Normal 5 5" xfId="464" xr:uid="{00000000-0005-0000-0000-00004C1B0000}"/>
    <cellStyle name="Normal 5 5 10" xfId="9068" xr:uid="{B2E9BA0D-B1E4-447F-8203-FFDCAD4DB39C}"/>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CA210DF9-4996-4ED3-8DB1-5403C51BCADE}"/>
    <cellStyle name="Normal 5 5 2 2 2 2 3" xfId="11628" xr:uid="{F68F427C-7DC5-498A-B3A1-6153C4E8610A}"/>
    <cellStyle name="Normal 5 5 2 2 2 3" xfId="5251" xr:uid="{00000000-0005-0000-0000-0000521B0000}"/>
    <cellStyle name="Normal 5 5 2 2 2 3 2" xfId="13701" xr:uid="{FEB21720-CDDC-41F8-B9B4-C37B89C1C9C1}"/>
    <cellStyle name="Normal 5 5 2 2 2 4" xfId="9483" xr:uid="{496CD3CF-22A7-4C74-886C-2177BCA704B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8DDD9A8C-45B5-412A-9BDC-7B8DC7727517}"/>
    <cellStyle name="Normal 5 5 2 2 3 2 3" xfId="12041" xr:uid="{898B0363-3052-4D1B-827C-1855EC0D398E}"/>
    <cellStyle name="Normal 5 5 2 2 3 3" xfId="5664" xr:uid="{00000000-0005-0000-0000-0000561B0000}"/>
    <cellStyle name="Normal 5 5 2 2 3 3 2" xfId="14114" xr:uid="{89DC31F3-BA7C-466A-A818-B32C41305B9F}"/>
    <cellStyle name="Normal 5 5 2 2 3 4" xfId="9896" xr:uid="{F175C86F-582F-4354-8F78-7A5DE18DD00A}"/>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17D60573-6CFB-46F0-B6E8-1F8F68C8B1A7}"/>
    <cellStyle name="Normal 5 5 2 2 4 2 3" xfId="12454" xr:uid="{A2E87D59-7507-4F72-A140-62DA2397D973}"/>
    <cellStyle name="Normal 5 5 2 2 4 3" xfId="6077" xr:uid="{00000000-0005-0000-0000-00005A1B0000}"/>
    <cellStyle name="Normal 5 5 2 2 4 3 2" xfId="14527" xr:uid="{D373B9D8-92F3-4592-A154-A84028736A29}"/>
    <cellStyle name="Normal 5 5 2 2 4 4" xfId="10309" xr:uid="{B10D0D6A-12CB-4B70-B8AF-7709D5DD40A7}"/>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6ACFB8D5-FB4D-4893-B06E-A3DB74BABF98}"/>
    <cellStyle name="Normal 5 5 2 2 5 2 3" xfId="12867" xr:uid="{89BEDCC5-3C78-4D85-AAC2-8823596A4D4A}"/>
    <cellStyle name="Normal 5 5 2 2 5 3" xfId="6490" xr:uid="{00000000-0005-0000-0000-00005E1B0000}"/>
    <cellStyle name="Normal 5 5 2 2 5 3 2" xfId="14940" xr:uid="{8940B2C8-9903-4666-BE38-4D38745BC0A7}"/>
    <cellStyle name="Normal 5 5 2 2 5 4" xfId="10722" xr:uid="{792255CB-A237-449C-A44B-4D90568CAABB}"/>
    <cellStyle name="Normal 5 5 2 2 6" xfId="2620" xr:uid="{00000000-0005-0000-0000-00005F1B0000}"/>
    <cellStyle name="Normal 5 5 2 2 6 2" xfId="6903" xr:uid="{00000000-0005-0000-0000-0000601B0000}"/>
    <cellStyle name="Normal 5 5 2 2 6 2 2" xfId="15353" xr:uid="{0F7BDA12-2A53-4AF9-BEC7-8F0E00F297DA}"/>
    <cellStyle name="Normal 5 5 2 2 6 3" xfId="11135" xr:uid="{14C36A3A-C352-46F3-AC73-DE20F122C939}"/>
    <cellStyle name="Normal 5 5 2 2 7" xfId="4838" xr:uid="{00000000-0005-0000-0000-0000611B0000}"/>
    <cellStyle name="Normal 5 5 2 2 7 2" xfId="13288" xr:uid="{BE301F6B-FE65-473F-B1FF-25EC4A805F20}"/>
    <cellStyle name="Normal 5 5 2 2 8" xfId="9070" xr:uid="{4661A6E5-1BF8-4D64-895E-0B730B6E3BDC}"/>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35D7BC1C-A518-4F9A-8DEA-5E643A96CF67}"/>
    <cellStyle name="Normal 5 5 2 3 2 3" xfId="11627" xr:uid="{DA673DA0-0F8A-4E43-A43D-6784665AC142}"/>
    <cellStyle name="Normal 5 5 2 3 3" xfId="5250" xr:uid="{00000000-0005-0000-0000-0000651B0000}"/>
    <cellStyle name="Normal 5 5 2 3 3 2" xfId="13700" xr:uid="{52D20886-9BCC-4726-9FA9-96D0574A636D}"/>
    <cellStyle name="Normal 5 5 2 3 4" xfId="9482" xr:uid="{66C03B40-73D2-4D1E-A081-820CDE8E2C0D}"/>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74E0B859-E4A1-43E6-9A08-E9CF1145F358}"/>
    <cellStyle name="Normal 5 5 2 4 2 3" xfId="12040" xr:uid="{F902CFE1-67CD-4C47-BF46-606866D4210B}"/>
    <cellStyle name="Normal 5 5 2 4 3" xfId="5663" xr:uid="{00000000-0005-0000-0000-0000691B0000}"/>
    <cellStyle name="Normal 5 5 2 4 3 2" xfId="14113" xr:uid="{C0F654DE-6CFC-4294-8F2C-78ADAAD78696}"/>
    <cellStyle name="Normal 5 5 2 4 4" xfId="9895" xr:uid="{0B09403B-BB44-47FA-9922-E94C788A85EB}"/>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689ABE50-4F21-490A-B5E0-6D227917FA42}"/>
    <cellStyle name="Normal 5 5 2 5 2 3" xfId="12453" xr:uid="{1F4D124E-A7CB-433D-9F50-0DEB05EE3F61}"/>
    <cellStyle name="Normal 5 5 2 5 3" xfId="6076" xr:uid="{00000000-0005-0000-0000-00006D1B0000}"/>
    <cellStyle name="Normal 5 5 2 5 3 2" xfId="14526" xr:uid="{8E8DE4CE-623C-4915-8DF3-0EBE17F52E38}"/>
    <cellStyle name="Normal 5 5 2 5 4" xfId="10308" xr:uid="{25A1739A-DC05-4270-9B7E-A237D311BC1E}"/>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FD6C7775-0100-44F3-8944-F881240CCF07}"/>
    <cellStyle name="Normal 5 5 2 6 2 3" xfId="12866" xr:uid="{A9CC1814-7AA2-4D45-970D-3E83C1AC7E29}"/>
    <cellStyle name="Normal 5 5 2 6 3" xfId="6489" xr:uid="{00000000-0005-0000-0000-0000711B0000}"/>
    <cellStyle name="Normal 5 5 2 6 3 2" xfId="14939" xr:uid="{521D30CC-C284-4014-94FD-0EC869AA634F}"/>
    <cellStyle name="Normal 5 5 2 6 4" xfId="10721" xr:uid="{3DD815FE-1560-4880-A876-DFDFB1D17FC3}"/>
    <cellStyle name="Normal 5 5 2 7" xfId="2619" xr:uid="{00000000-0005-0000-0000-0000721B0000}"/>
    <cellStyle name="Normal 5 5 2 7 2" xfId="6902" xr:uid="{00000000-0005-0000-0000-0000731B0000}"/>
    <cellStyle name="Normal 5 5 2 7 2 2" xfId="15352" xr:uid="{B0D7A51B-A597-4D5B-8E6B-EFCECE5F05A2}"/>
    <cellStyle name="Normal 5 5 2 7 3" xfId="11134" xr:uid="{F8F7904F-00E3-4EF8-BAA2-F756B7A537C5}"/>
    <cellStyle name="Normal 5 5 2 8" xfId="4837" xr:uid="{00000000-0005-0000-0000-0000741B0000}"/>
    <cellStyle name="Normal 5 5 2 8 2" xfId="13287" xr:uid="{59371203-2FB3-4E32-8135-3AB7CCB75C1B}"/>
    <cellStyle name="Normal 5 5 2 9" xfId="9069" xr:uid="{17A800F5-5DC5-4602-912A-8B73D48D05F5}"/>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ABADD89B-E613-4B31-BE45-573FA6667037}"/>
    <cellStyle name="Normal 5 5 3 2 2 3" xfId="11629" xr:uid="{E928B5F4-9280-477C-A069-A661F381422D}"/>
    <cellStyle name="Normal 5 5 3 2 3" xfId="5252" xr:uid="{00000000-0005-0000-0000-0000791B0000}"/>
    <cellStyle name="Normal 5 5 3 2 3 2" xfId="13702" xr:uid="{18CED686-2D2B-4E4D-A6AC-AF1BF90F8E00}"/>
    <cellStyle name="Normal 5 5 3 2 4" xfId="9484" xr:uid="{A5567087-EC9A-429C-8948-BC9BF66BA995}"/>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60921B12-075D-4590-846C-BA4F7F322AA4}"/>
    <cellStyle name="Normal 5 5 3 3 2 3" xfId="12042" xr:uid="{BF47918A-3BEE-4DC9-BD60-32A05C6E6489}"/>
    <cellStyle name="Normal 5 5 3 3 3" xfId="5665" xr:uid="{00000000-0005-0000-0000-00007D1B0000}"/>
    <cellStyle name="Normal 5 5 3 3 3 2" xfId="14115" xr:uid="{9C3E897A-24EA-453A-AB0B-7778A36746C3}"/>
    <cellStyle name="Normal 5 5 3 3 4" xfId="9897" xr:uid="{327BCCDB-BD56-4EEC-9CA5-C5523C983668}"/>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11661670-DD4E-43F5-959C-E5D84687F08F}"/>
    <cellStyle name="Normal 5 5 3 4 2 3" xfId="12455" xr:uid="{53C7D42F-298C-4256-8691-5DFF7E6DBC10}"/>
    <cellStyle name="Normal 5 5 3 4 3" xfId="6078" xr:uid="{00000000-0005-0000-0000-0000811B0000}"/>
    <cellStyle name="Normal 5 5 3 4 3 2" xfId="14528" xr:uid="{C4075E18-439C-444F-B0B6-ABCB19A19476}"/>
    <cellStyle name="Normal 5 5 3 4 4" xfId="10310" xr:uid="{A9EA080A-6F2F-4C87-954D-74714C545E1F}"/>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DB7F7D0E-A3B0-42C6-9C09-C45F1AE6A9AF}"/>
    <cellStyle name="Normal 5 5 3 5 2 3" xfId="12868" xr:uid="{10CA1697-F94E-4D25-9303-67ADA00CA3D3}"/>
    <cellStyle name="Normal 5 5 3 5 3" xfId="6491" xr:uid="{00000000-0005-0000-0000-0000851B0000}"/>
    <cellStyle name="Normal 5 5 3 5 3 2" xfId="14941" xr:uid="{CD212235-466E-4D7B-860D-06FD963D0222}"/>
    <cellStyle name="Normal 5 5 3 5 4" xfId="10723" xr:uid="{28170CB6-DC09-47A0-9329-FEB9FCBA22C2}"/>
    <cellStyle name="Normal 5 5 3 6" xfId="2621" xr:uid="{00000000-0005-0000-0000-0000861B0000}"/>
    <cellStyle name="Normal 5 5 3 6 2" xfId="6904" xr:uid="{00000000-0005-0000-0000-0000871B0000}"/>
    <cellStyle name="Normal 5 5 3 6 2 2" xfId="15354" xr:uid="{7041E03B-E366-41F6-B999-29A8B64C1C6D}"/>
    <cellStyle name="Normal 5 5 3 6 3" xfId="11136" xr:uid="{3763F2C7-CE7D-4236-B14F-A5782A948613}"/>
    <cellStyle name="Normal 5 5 3 7" xfId="4839" xr:uid="{00000000-0005-0000-0000-0000881B0000}"/>
    <cellStyle name="Normal 5 5 3 7 2" xfId="13289" xr:uid="{08DB0A8B-0D5C-4D59-93F8-B0A3F8E8215E}"/>
    <cellStyle name="Normal 5 5 3 8" xfId="9071" xr:uid="{020499FF-C622-4D62-A826-A82822C51484}"/>
    <cellStyle name="Normal 5 5 4" xfId="938" xr:uid="{00000000-0005-0000-0000-0000891B0000}"/>
    <cellStyle name="Normal 5 5 4 2" xfId="3172" xr:uid="{00000000-0005-0000-0000-00008A1B0000}"/>
    <cellStyle name="Normal 5 5 4 2 2" xfId="7394" xr:uid="{00000000-0005-0000-0000-00008B1B0000}"/>
    <cellStyle name="Normal 5 5 4 2 2 2" xfId="15844" xr:uid="{19181A85-B10D-4DCF-8BCF-86EB0EED18C1}"/>
    <cellStyle name="Normal 5 5 4 2 3" xfId="11626" xr:uid="{661B1F5B-C376-44C1-9EFF-28A7A1B713BC}"/>
    <cellStyle name="Normal 5 5 4 3" xfId="5249" xr:uid="{00000000-0005-0000-0000-00008C1B0000}"/>
    <cellStyle name="Normal 5 5 4 3 2" xfId="13699" xr:uid="{3F70514A-2ECC-47BE-B7FD-50C0A247AAA6}"/>
    <cellStyle name="Normal 5 5 4 4" xfId="9481" xr:uid="{3434440A-93CD-4A20-BE57-674B27E91FBE}"/>
    <cellStyle name="Normal 5 5 5" xfId="1355" xr:uid="{00000000-0005-0000-0000-00008D1B0000}"/>
    <cellStyle name="Normal 5 5 5 2" xfId="3585" xr:uid="{00000000-0005-0000-0000-00008E1B0000}"/>
    <cellStyle name="Normal 5 5 5 2 2" xfId="7807" xr:uid="{00000000-0005-0000-0000-00008F1B0000}"/>
    <cellStyle name="Normal 5 5 5 2 2 2" xfId="16257" xr:uid="{49B790C6-E1BF-49F5-BA3F-6EBE14C1EF47}"/>
    <cellStyle name="Normal 5 5 5 2 3" xfId="12039" xr:uid="{C4A83187-6767-405E-991E-F19ED940766E}"/>
    <cellStyle name="Normal 5 5 5 3" xfId="5662" xr:uid="{00000000-0005-0000-0000-0000901B0000}"/>
    <cellStyle name="Normal 5 5 5 3 2" xfId="14112" xr:uid="{74339FE5-C4BB-4F7C-B3D1-B16C17698113}"/>
    <cellStyle name="Normal 5 5 5 4" xfId="9894" xr:uid="{8E39F9E7-602C-4F48-A052-206FF7D31787}"/>
    <cellStyle name="Normal 5 5 6" xfId="1768" xr:uid="{00000000-0005-0000-0000-0000911B0000}"/>
    <cellStyle name="Normal 5 5 6 2" xfId="3998" xr:uid="{00000000-0005-0000-0000-0000921B0000}"/>
    <cellStyle name="Normal 5 5 6 2 2" xfId="8220" xr:uid="{00000000-0005-0000-0000-0000931B0000}"/>
    <cellStyle name="Normal 5 5 6 2 2 2" xfId="16670" xr:uid="{53C0A32A-82C1-401E-AF62-DCE2F70811F8}"/>
    <cellStyle name="Normal 5 5 6 2 3" xfId="12452" xr:uid="{F9F9D9EE-3297-49CE-B9FF-336B91C233DB}"/>
    <cellStyle name="Normal 5 5 6 3" xfId="6075" xr:uid="{00000000-0005-0000-0000-0000941B0000}"/>
    <cellStyle name="Normal 5 5 6 3 2" xfId="14525" xr:uid="{A4C8A644-E738-4F82-8F4E-DCE9D7450E74}"/>
    <cellStyle name="Normal 5 5 6 4" xfId="10307" xr:uid="{A3F7B1A3-F62B-4F5D-AE13-D78D8E6E27B1}"/>
    <cellStyle name="Normal 5 5 7" xfId="2182" xr:uid="{00000000-0005-0000-0000-0000951B0000}"/>
    <cellStyle name="Normal 5 5 7 2" xfId="4411" xr:uid="{00000000-0005-0000-0000-0000961B0000}"/>
    <cellStyle name="Normal 5 5 7 2 2" xfId="8633" xr:uid="{00000000-0005-0000-0000-0000971B0000}"/>
    <cellStyle name="Normal 5 5 7 2 2 2" xfId="17083" xr:uid="{E05C2B57-C875-4BD8-8FF5-B27F03B57BB7}"/>
    <cellStyle name="Normal 5 5 7 2 3" xfId="12865" xr:uid="{F03B6C06-7F38-499A-99E8-F022E21A6035}"/>
    <cellStyle name="Normal 5 5 7 3" xfId="6488" xr:uid="{00000000-0005-0000-0000-0000981B0000}"/>
    <cellStyle name="Normal 5 5 7 3 2" xfId="14938" xr:uid="{BE41B2EE-446C-4FF2-991C-5E8545E4317B}"/>
    <cellStyle name="Normal 5 5 7 4" xfId="10720" xr:uid="{75B69AA5-19F2-45B0-9BB7-87BF2A0148A9}"/>
    <cellStyle name="Normal 5 5 8" xfId="2618" xr:uid="{00000000-0005-0000-0000-0000991B0000}"/>
    <cellStyle name="Normal 5 5 8 2" xfId="6901" xr:uid="{00000000-0005-0000-0000-00009A1B0000}"/>
    <cellStyle name="Normal 5 5 8 2 2" xfId="15351" xr:uid="{97F189AC-8C0E-4E37-9629-04A7889F4591}"/>
    <cellStyle name="Normal 5 5 8 3" xfId="11133" xr:uid="{D515C8A1-BCF8-4A1A-8DDB-217B5E4ADCC3}"/>
    <cellStyle name="Normal 5 5 9" xfId="4836" xr:uid="{00000000-0005-0000-0000-00009B1B0000}"/>
    <cellStyle name="Normal 5 5 9 2" xfId="13286" xr:uid="{C3C5F26F-C7E2-4E5E-B0F3-F7FE6E399714}"/>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6DED94E1-5AC7-43BB-8A94-719D76D7194F}"/>
    <cellStyle name="Normal 5 6 2 2 2 3" xfId="11631" xr:uid="{65635812-A061-4364-96C6-4E4D397CD1D7}"/>
    <cellStyle name="Normal 5 6 2 2 3" xfId="5254" xr:uid="{00000000-0005-0000-0000-0000A11B0000}"/>
    <cellStyle name="Normal 5 6 2 2 3 2" xfId="13704" xr:uid="{3019B8AA-0CDF-4E69-972E-EAFC27BAEF10}"/>
    <cellStyle name="Normal 5 6 2 2 4" xfId="9486" xr:uid="{1BA62AB3-2D3D-4B94-9568-D95D398E11E7}"/>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B3F05D29-B7CB-4EA2-B534-761D7248EB58}"/>
    <cellStyle name="Normal 5 6 2 3 2 3" xfId="12044" xr:uid="{4F04B139-B9DD-42E0-BDFA-D77F21FDFD61}"/>
    <cellStyle name="Normal 5 6 2 3 3" xfId="5667" xr:uid="{00000000-0005-0000-0000-0000A51B0000}"/>
    <cellStyle name="Normal 5 6 2 3 3 2" xfId="14117" xr:uid="{AEB52E1D-07F5-4314-AC51-4DCB78D2D0F0}"/>
    <cellStyle name="Normal 5 6 2 3 4" xfId="9899" xr:uid="{0C2E7F15-FE42-4DC6-84FF-4EE283B247B1}"/>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6C7E0D13-8728-4F95-BA18-E740AD0029E9}"/>
    <cellStyle name="Normal 5 6 2 4 2 3" xfId="12457" xr:uid="{343833D1-E24E-46E0-AC98-7C050AAA34D1}"/>
    <cellStyle name="Normal 5 6 2 4 3" xfId="6080" xr:uid="{00000000-0005-0000-0000-0000A91B0000}"/>
    <cellStyle name="Normal 5 6 2 4 3 2" xfId="14530" xr:uid="{080FB75E-08BC-4E95-82D3-0C3FC15FFD1B}"/>
    <cellStyle name="Normal 5 6 2 4 4" xfId="10312" xr:uid="{06B3F614-DA9C-43B1-A128-8536D5C560ED}"/>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4D63B19B-2339-49EA-80B5-3471F72E0E6D}"/>
    <cellStyle name="Normal 5 6 2 5 2 3" xfId="12870" xr:uid="{E2B746B2-71A6-441A-AA72-26BAEBF718F8}"/>
    <cellStyle name="Normal 5 6 2 5 3" xfId="6493" xr:uid="{00000000-0005-0000-0000-0000AD1B0000}"/>
    <cellStyle name="Normal 5 6 2 5 3 2" xfId="14943" xr:uid="{42757BBE-4A12-4BA9-B727-85D90C2BA356}"/>
    <cellStyle name="Normal 5 6 2 5 4" xfId="10725" xr:uid="{E6A05351-3D4B-4346-9A49-B219EDEBCFDF}"/>
    <cellStyle name="Normal 5 6 2 6" xfId="2623" xr:uid="{00000000-0005-0000-0000-0000AE1B0000}"/>
    <cellStyle name="Normal 5 6 2 6 2" xfId="6906" xr:uid="{00000000-0005-0000-0000-0000AF1B0000}"/>
    <cellStyle name="Normal 5 6 2 6 2 2" xfId="15356" xr:uid="{D64F91E4-227C-400B-AD3B-E7AF6E447E38}"/>
    <cellStyle name="Normal 5 6 2 6 3" xfId="11138" xr:uid="{26D83457-3005-4C43-9A37-A5837BE80FDB}"/>
    <cellStyle name="Normal 5 6 2 7" xfId="4841" xr:uid="{00000000-0005-0000-0000-0000B01B0000}"/>
    <cellStyle name="Normal 5 6 2 7 2" xfId="13291" xr:uid="{F7E82D47-64B1-4282-BFBC-23BABF65C23E}"/>
    <cellStyle name="Normal 5 6 2 8" xfId="9073" xr:uid="{BF66FC3C-5CFA-45DD-A1E1-5D4680B4A254}"/>
    <cellStyle name="Normal 5 6 3" xfId="942" xr:uid="{00000000-0005-0000-0000-0000B11B0000}"/>
    <cellStyle name="Normal 5 6 3 2" xfId="3176" xr:uid="{00000000-0005-0000-0000-0000B21B0000}"/>
    <cellStyle name="Normal 5 6 3 2 2" xfId="7398" xr:uid="{00000000-0005-0000-0000-0000B31B0000}"/>
    <cellStyle name="Normal 5 6 3 2 2 2" xfId="15848" xr:uid="{12134C6B-1628-48E1-A9A9-69CF9C46A697}"/>
    <cellStyle name="Normal 5 6 3 2 3" xfId="11630" xr:uid="{6290B909-865C-48B0-BB08-310571139CAF}"/>
    <cellStyle name="Normal 5 6 3 3" xfId="5253" xr:uid="{00000000-0005-0000-0000-0000B41B0000}"/>
    <cellStyle name="Normal 5 6 3 3 2" xfId="13703" xr:uid="{399434E4-35E6-48CF-BB44-4FEBEE00318F}"/>
    <cellStyle name="Normal 5 6 3 4" xfId="9485" xr:uid="{41875105-C37C-4160-974F-6312036D1B0F}"/>
    <cellStyle name="Normal 5 6 4" xfId="1359" xr:uid="{00000000-0005-0000-0000-0000B51B0000}"/>
    <cellStyle name="Normal 5 6 4 2" xfId="3589" xr:uid="{00000000-0005-0000-0000-0000B61B0000}"/>
    <cellStyle name="Normal 5 6 4 2 2" xfId="7811" xr:uid="{00000000-0005-0000-0000-0000B71B0000}"/>
    <cellStyle name="Normal 5 6 4 2 2 2" xfId="16261" xr:uid="{912F567F-E4B9-4CCF-B3FB-8F11862021F9}"/>
    <cellStyle name="Normal 5 6 4 2 3" xfId="12043" xr:uid="{67F73958-1E72-42EE-B225-A685204B8076}"/>
    <cellStyle name="Normal 5 6 4 3" xfId="5666" xr:uid="{00000000-0005-0000-0000-0000B81B0000}"/>
    <cellStyle name="Normal 5 6 4 3 2" xfId="14116" xr:uid="{EFDBF452-6585-4F9A-B426-F27797B8A78A}"/>
    <cellStyle name="Normal 5 6 4 4" xfId="9898" xr:uid="{564495D2-2825-48EC-ACDF-EA14635C611F}"/>
    <cellStyle name="Normal 5 6 5" xfId="1772" xr:uid="{00000000-0005-0000-0000-0000B91B0000}"/>
    <cellStyle name="Normal 5 6 5 2" xfId="4002" xr:uid="{00000000-0005-0000-0000-0000BA1B0000}"/>
    <cellStyle name="Normal 5 6 5 2 2" xfId="8224" xr:uid="{00000000-0005-0000-0000-0000BB1B0000}"/>
    <cellStyle name="Normal 5 6 5 2 2 2" xfId="16674" xr:uid="{ED773448-819F-4DFF-B425-CA53D28164FA}"/>
    <cellStyle name="Normal 5 6 5 2 3" xfId="12456" xr:uid="{E0A86343-6ECB-493A-976E-89BBE3486567}"/>
    <cellStyle name="Normal 5 6 5 3" xfId="6079" xr:uid="{00000000-0005-0000-0000-0000BC1B0000}"/>
    <cellStyle name="Normal 5 6 5 3 2" xfId="14529" xr:uid="{8F47AC05-F26C-4556-9BB2-FF2AB8E9F3D1}"/>
    <cellStyle name="Normal 5 6 5 4" xfId="10311" xr:uid="{D8E86E2B-74BD-493E-B88B-E463924E89D5}"/>
    <cellStyle name="Normal 5 6 6" xfId="2186" xr:uid="{00000000-0005-0000-0000-0000BD1B0000}"/>
    <cellStyle name="Normal 5 6 6 2" xfId="4415" xr:uid="{00000000-0005-0000-0000-0000BE1B0000}"/>
    <cellStyle name="Normal 5 6 6 2 2" xfId="8637" xr:uid="{00000000-0005-0000-0000-0000BF1B0000}"/>
    <cellStyle name="Normal 5 6 6 2 2 2" xfId="17087" xr:uid="{68A22243-2251-4772-ADEF-E508FC922939}"/>
    <cellStyle name="Normal 5 6 6 2 3" xfId="12869" xr:uid="{FA2A5C9B-31CD-49C4-908B-9E4AFBCDAEC7}"/>
    <cellStyle name="Normal 5 6 6 3" xfId="6492" xr:uid="{00000000-0005-0000-0000-0000C01B0000}"/>
    <cellStyle name="Normal 5 6 6 3 2" xfId="14942" xr:uid="{802031C4-8A62-4511-9AD0-AB0CDD3A61BF}"/>
    <cellStyle name="Normal 5 6 6 4" xfId="10724" xr:uid="{1FD389D9-136B-4EC7-958C-A27881647F3F}"/>
    <cellStyle name="Normal 5 6 7" xfId="2622" xr:uid="{00000000-0005-0000-0000-0000C11B0000}"/>
    <cellStyle name="Normal 5 6 7 2" xfId="6905" xr:uid="{00000000-0005-0000-0000-0000C21B0000}"/>
    <cellStyle name="Normal 5 6 7 2 2" xfId="15355" xr:uid="{1D4C0CC4-F6D3-40FD-AC1C-548B7B14A4B8}"/>
    <cellStyle name="Normal 5 6 7 3" xfId="11137" xr:uid="{E4651A14-ACDC-4EE2-8078-6EE55F21D237}"/>
    <cellStyle name="Normal 5 6 8" xfId="4840" xr:uid="{00000000-0005-0000-0000-0000C31B0000}"/>
    <cellStyle name="Normal 5 6 8 2" xfId="13290" xr:uid="{DDBC9F3D-2A29-4B37-9F6F-AFF501F1BF46}"/>
    <cellStyle name="Normal 5 6 9" xfId="9072" xr:uid="{52A56E3A-9CDE-4EB0-934A-2CC08BF0AE24}"/>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DBD20EA0-116C-4B6E-A388-6A97A47AA2B9}"/>
    <cellStyle name="Normal 5 7 2 2 3" xfId="11632" xr:uid="{01E1D10D-D64A-430B-B1C3-7C31860C4C39}"/>
    <cellStyle name="Normal 5 7 2 3" xfId="5255" xr:uid="{00000000-0005-0000-0000-0000C81B0000}"/>
    <cellStyle name="Normal 5 7 2 3 2" xfId="13705" xr:uid="{6966AC85-2D18-4667-9589-723D01DE7B95}"/>
    <cellStyle name="Normal 5 7 2 4" xfId="9487" xr:uid="{23DA0BA9-4F3E-4CD2-BB5C-AF7442A5E515}"/>
    <cellStyle name="Normal 5 7 3" xfId="1361" xr:uid="{00000000-0005-0000-0000-0000C91B0000}"/>
    <cellStyle name="Normal 5 7 3 2" xfId="3591" xr:uid="{00000000-0005-0000-0000-0000CA1B0000}"/>
    <cellStyle name="Normal 5 7 3 2 2" xfId="7813" xr:uid="{00000000-0005-0000-0000-0000CB1B0000}"/>
    <cellStyle name="Normal 5 7 3 2 2 2" xfId="16263" xr:uid="{5945053F-E177-4285-BDC9-10C2F6E53723}"/>
    <cellStyle name="Normal 5 7 3 2 3" xfId="12045" xr:uid="{7F19EE39-5C2F-4649-B851-BD14B188B282}"/>
    <cellStyle name="Normal 5 7 3 3" xfId="5668" xr:uid="{00000000-0005-0000-0000-0000CC1B0000}"/>
    <cellStyle name="Normal 5 7 3 3 2" xfId="14118" xr:uid="{D2439525-B6D6-4FB0-8739-78AA32CF0A83}"/>
    <cellStyle name="Normal 5 7 3 4" xfId="9900" xr:uid="{E0D3C7E5-F403-4DE2-8AAA-0E2D81C58C11}"/>
    <cellStyle name="Normal 5 7 4" xfId="1774" xr:uid="{00000000-0005-0000-0000-0000CD1B0000}"/>
    <cellStyle name="Normal 5 7 4 2" xfId="4004" xr:uid="{00000000-0005-0000-0000-0000CE1B0000}"/>
    <cellStyle name="Normal 5 7 4 2 2" xfId="8226" xr:uid="{00000000-0005-0000-0000-0000CF1B0000}"/>
    <cellStyle name="Normal 5 7 4 2 2 2" xfId="16676" xr:uid="{8154F745-AD62-483E-AF9D-703A94F66D87}"/>
    <cellStyle name="Normal 5 7 4 2 3" xfId="12458" xr:uid="{77AF25B4-3171-4ADF-B1AC-54684BCF12FD}"/>
    <cellStyle name="Normal 5 7 4 3" xfId="6081" xr:uid="{00000000-0005-0000-0000-0000D01B0000}"/>
    <cellStyle name="Normal 5 7 4 3 2" xfId="14531" xr:uid="{C660344D-36E6-4A73-BD67-55CEA63CD76E}"/>
    <cellStyle name="Normal 5 7 4 4" xfId="10313" xr:uid="{45AD0564-06EE-4AD2-AF15-56146B572F92}"/>
    <cellStyle name="Normal 5 7 5" xfId="2188" xr:uid="{00000000-0005-0000-0000-0000D11B0000}"/>
    <cellStyle name="Normal 5 7 5 2" xfId="4417" xr:uid="{00000000-0005-0000-0000-0000D21B0000}"/>
    <cellStyle name="Normal 5 7 5 2 2" xfId="8639" xr:uid="{00000000-0005-0000-0000-0000D31B0000}"/>
    <cellStyle name="Normal 5 7 5 2 2 2" xfId="17089" xr:uid="{AF13C99B-148C-4C2D-A9FE-CA66DCCDFF81}"/>
    <cellStyle name="Normal 5 7 5 2 3" xfId="12871" xr:uid="{D1D1235D-7A05-484F-B979-EFDE76B64BF0}"/>
    <cellStyle name="Normal 5 7 5 3" xfId="6494" xr:uid="{00000000-0005-0000-0000-0000D41B0000}"/>
    <cellStyle name="Normal 5 7 5 3 2" xfId="14944" xr:uid="{CA6C2EAE-D064-488D-B0E1-108887A28F53}"/>
    <cellStyle name="Normal 5 7 5 4" xfId="10726" xr:uid="{22F83EA4-0CB0-4B04-A227-DB5135A81A68}"/>
    <cellStyle name="Normal 5 7 6" xfId="2624" xr:uid="{00000000-0005-0000-0000-0000D51B0000}"/>
    <cellStyle name="Normal 5 7 6 2" xfId="6907" xr:uid="{00000000-0005-0000-0000-0000D61B0000}"/>
    <cellStyle name="Normal 5 7 6 2 2" xfId="15357" xr:uid="{35B034A0-DAFE-46BE-B2C1-C9204C87D4B8}"/>
    <cellStyle name="Normal 5 7 6 3" xfId="11139" xr:uid="{04392546-931A-442B-9FD1-3A76421B07C6}"/>
    <cellStyle name="Normal 5 7 7" xfId="4842" xr:uid="{00000000-0005-0000-0000-0000D71B0000}"/>
    <cellStyle name="Normal 5 7 7 2" xfId="13292" xr:uid="{22688FDC-AB74-48A0-B5AA-47B3A51B31CB}"/>
    <cellStyle name="Normal 5 7 8" xfId="9074" xr:uid="{11A544C1-F99B-4AC9-B57A-A3F39279307E}"/>
    <cellStyle name="Normal 5 8" xfId="880" xr:uid="{00000000-0005-0000-0000-0000D81B0000}"/>
    <cellStyle name="Normal 5 8 2" xfId="3115" xr:uid="{00000000-0005-0000-0000-0000D91B0000}"/>
    <cellStyle name="Normal 5 8 2 2" xfId="7337" xr:uid="{00000000-0005-0000-0000-0000DA1B0000}"/>
    <cellStyle name="Normal 5 8 2 2 2" xfId="15787" xr:uid="{DC8966F8-BF6A-4F09-9EB2-36C54BC01660}"/>
    <cellStyle name="Normal 5 8 2 3" xfId="11569" xr:uid="{3A12BC81-0873-4844-91C0-F2CFA25503A9}"/>
    <cellStyle name="Normal 5 8 3" xfId="5192" xr:uid="{00000000-0005-0000-0000-0000DB1B0000}"/>
    <cellStyle name="Normal 5 8 3 2" xfId="13642" xr:uid="{07202067-FD8A-47FD-A313-95264EFE2655}"/>
    <cellStyle name="Normal 5 8 4" xfId="9424" xr:uid="{E2167D49-5A75-40AA-A236-202B48239B9D}"/>
    <cellStyle name="Normal 5 9" xfId="1298" xr:uid="{00000000-0005-0000-0000-0000DC1B0000}"/>
    <cellStyle name="Normal 5 9 2" xfId="3528" xr:uid="{00000000-0005-0000-0000-0000DD1B0000}"/>
    <cellStyle name="Normal 5 9 2 2" xfId="7750" xr:uid="{00000000-0005-0000-0000-0000DE1B0000}"/>
    <cellStyle name="Normal 5 9 2 2 2" xfId="16200" xr:uid="{7EC4A50F-E33D-44C8-9B28-97577FA86D49}"/>
    <cellStyle name="Normal 5 9 2 3" xfId="11982" xr:uid="{7A03A91A-2292-4C4D-8971-6BE7603CD044}"/>
    <cellStyle name="Normal 5 9 3" xfId="5605" xr:uid="{00000000-0005-0000-0000-0000DF1B0000}"/>
    <cellStyle name="Normal 5 9 3 2" xfId="14055" xr:uid="{C50C4A7F-32B9-403C-9F89-D2143FD3D583}"/>
    <cellStyle name="Normal 5 9 4" xfId="9837" xr:uid="{E19CEF24-30B0-448F-9925-7C13CB2A1C42}"/>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DE66BEBB-FF1A-4F42-882A-7BE4121BADAF}"/>
    <cellStyle name="Normal 8 10 2 3" xfId="12872" xr:uid="{B5227D6D-7E6B-4B72-814F-8EC76601C4DD}"/>
    <cellStyle name="Normal 8 10 3" xfId="6495" xr:uid="{00000000-0005-0000-0000-0000EB1B0000}"/>
    <cellStyle name="Normal 8 10 3 2" xfId="14945" xr:uid="{5B7F7187-F32C-4CE9-92A1-9EE0D1F8017D}"/>
    <cellStyle name="Normal 8 10 4" xfId="10727" xr:uid="{D25E203A-EAA2-4097-A0C7-E0C03104492B}"/>
    <cellStyle name="Normal 8 11" xfId="2625" xr:uid="{00000000-0005-0000-0000-0000EC1B0000}"/>
    <cellStyle name="Normal 8 11 2" xfId="6908" xr:uid="{00000000-0005-0000-0000-0000ED1B0000}"/>
    <cellStyle name="Normal 8 11 2 2" xfId="15358" xr:uid="{F3402605-37F2-4D28-B4D7-11C8D3FCC5F9}"/>
    <cellStyle name="Normal 8 11 3" xfId="11140" xr:uid="{6B2CB605-A179-4B17-A28C-9D0EC78339A6}"/>
    <cellStyle name="Normal 8 12" xfId="4843" xr:uid="{00000000-0005-0000-0000-0000EE1B0000}"/>
    <cellStyle name="Normal 8 12 2" xfId="13293" xr:uid="{D37488FF-5962-4F98-A920-DA3A469F3874}"/>
    <cellStyle name="Normal 8 13" xfId="9075" xr:uid="{D7473C7D-2941-4B9E-B943-E7F16D300691}"/>
    <cellStyle name="Normal 8 2" xfId="479" xr:uid="{00000000-0005-0000-0000-0000EF1B0000}"/>
    <cellStyle name="Normal 8 2 10" xfId="2626" xr:uid="{00000000-0005-0000-0000-0000F01B0000}"/>
    <cellStyle name="Normal 8 2 10 2" xfId="6909" xr:uid="{00000000-0005-0000-0000-0000F11B0000}"/>
    <cellStyle name="Normal 8 2 10 2 2" xfId="15359" xr:uid="{B8CBAFB0-26A9-4516-A580-F314571F362A}"/>
    <cellStyle name="Normal 8 2 10 3" xfId="11141" xr:uid="{EF03458C-3261-4B99-93F1-31A01D9446DC}"/>
    <cellStyle name="Normal 8 2 11" xfId="4844" xr:uid="{00000000-0005-0000-0000-0000F21B0000}"/>
    <cellStyle name="Normal 8 2 11 2" xfId="13294" xr:uid="{251A8BDD-8432-4779-AA98-196606DFDE0E}"/>
    <cellStyle name="Normal 8 2 12" xfId="9076" xr:uid="{B379DC49-E87F-4716-96B6-475F89D2F24C}"/>
    <cellStyle name="Normal 8 2 2" xfId="480" xr:uid="{00000000-0005-0000-0000-0000F31B0000}"/>
    <cellStyle name="Normal 8 2 2 10" xfId="4845" xr:uid="{00000000-0005-0000-0000-0000F41B0000}"/>
    <cellStyle name="Normal 8 2 2 10 2" xfId="13295" xr:uid="{4E197CC7-F2DF-44CB-9352-80942744FE55}"/>
    <cellStyle name="Normal 8 2 2 11" xfId="9077" xr:uid="{2D5D144C-9905-4B38-BA3C-ABC80F6ABC4A}"/>
    <cellStyle name="Normal 8 2 2 2" xfId="481" xr:uid="{00000000-0005-0000-0000-0000F51B0000}"/>
    <cellStyle name="Normal 8 2 2 2 10" xfId="9078" xr:uid="{85BEC150-6C10-4D2D-A4DA-E153A4264FC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26FC8804-D752-44B8-8D19-6B51233F12CC}"/>
    <cellStyle name="Normal 8 2 2 2 2 2 2 2 3" xfId="11638" xr:uid="{2848CC57-831D-4B60-B806-4ED4B6C8685C}"/>
    <cellStyle name="Normal 8 2 2 2 2 2 2 3" xfId="5261" xr:uid="{00000000-0005-0000-0000-0000FB1B0000}"/>
    <cellStyle name="Normal 8 2 2 2 2 2 2 3 2" xfId="13711" xr:uid="{5DC2B8D1-5982-49E2-AA12-76F25FC9B216}"/>
    <cellStyle name="Normal 8 2 2 2 2 2 2 4" xfId="9493" xr:uid="{6BE545CB-BEBA-4736-B168-354EEFA1C19E}"/>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6B56FBA4-85F4-4A58-98AF-E474DAA0006E}"/>
    <cellStyle name="Normal 8 2 2 2 2 2 3 2 3" xfId="12051" xr:uid="{D49A93EB-D7BD-4D2A-864C-1766CBB27D00}"/>
    <cellStyle name="Normal 8 2 2 2 2 2 3 3" xfId="5674" xr:uid="{00000000-0005-0000-0000-0000FF1B0000}"/>
    <cellStyle name="Normal 8 2 2 2 2 2 3 3 2" xfId="14124" xr:uid="{18672D3D-24FA-42DB-9242-F8A7A7465712}"/>
    <cellStyle name="Normal 8 2 2 2 2 2 3 4" xfId="9906" xr:uid="{9744371A-F44B-48D0-819F-72F9794E702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972AB3B9-E142-4912-99F3-95201F82E548}"/>
    <cellStyle name="Normal 8 2 2 2 2 2 4 2 3" xfId="12464" xr:uid="{62D56E30-34A2-4D7D-9B99-45F99A27F966}"/>
    <cellStyle name="Normal 8 2 2 2 2 2 4 3" xfId="6087" xr:uid="{00000000-0005-0000-0000-0000031C0000}"/>
    <cellStyle name="Normal 8 2 2 2 2 2 4 3 2" xfId="14537" xr:uid="{1E3615C8-C1D3-4AE1-AA75-F06D103D9572}"/>
    <cellStyle name="Normal 8 2 2 2 2 2 4 4" xfId="10319" xr:uid="{4B13C145-0B09-432B-9005-F51C79F08697}"/>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93FCD093-EAA6-470B-985B-7D33BE9C3298}"/>
    <cellStyle name="Normal 8 2 2 2 2 2 5 2 3" xfId="12877" xr:uid="{537D98A5-A7E5-4824-8414-AE7348C4CCA8}"/>
    <cellStyle name="Normal 8 2 2 2 2 2 5 3" xfId="6500" xr:uid="{00000000-0005-0000-0000-0000071C0000}"/>
    <cellStyle name="Normal 8 2 2 2 2 2 5 3 2" xfId="14950" xr:uid="{0591EDA1-E0AB-41B8-BF5D-77780E024E44}"/>
    <cellStyle name="Normal 8 2 2 2 2 2 5 4" xfId="10732" xr:uid="{9BEBAA62-5D67-4CAC-B0C7-9937FAD5BD9A}"/>
    <cellStyle name="Normal 8 2 2 2 2 2 6" xfId="2630" xr:uid="{00000000-0005-0000-0000-0000081C0000}"/>
    <cellStyle name="Normal 8 2 2 2 2 2 6 2" xfId="6913" xr:uid="{00000000-0005-0000-0000-0000091C0000}"/>
    <cellStyle name="Normal 8 2 2 2 2 2 6 2 2" xfId="15363" xr:uid="{8B36D687-6E1F-40DD-B3D7-5A5A53374BA6}"/>
    <cellStyle name="Normal 8 2 2 2 2 2 6 3" xfId="11145" xr:uid="{7BBBBC0B-0562-416B-A722-48D72E134C64}"/>
    <cellStyle name="Normal 8 2 2 2 2 2 7" xfId="4848" xr:uid="{00000000-0005-0000-0000-00000A1C0000}"/>
    <cellStyle name="Normal 8 2 2 2 2 2 7 2" xfId="13298" xr:uid="{04636DBE-6527-485F-BBE3-D88A65659FAE}"/>
    <cellStyle name="Normal 8 2 2 2 2 2 8" xfId="9080" xr:uid="{F12FEF80-D906-4FD3-91D3-837CF2E6D07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9A15ECB2-FD91-492C-8C1A-F692744B7CA3}"/>
    <cellStyle name="Normal 8 2 2 2 2 3 2 3" xfId="11637" xr:uid="{D30A9741-DC16-4DA5-A58E-3D53280FB816}"/>
    <cellStyle name="Normal 8 2 2 2 2 3 3" xfId="5260" xr:uid="{00000000-0005-0000-0000-00000E1C0000}"/>
    <cellStyle name="Normal 8 2 2 2 2 3 3 2" xfId="13710" xr:uid="{D1597A0D-93C3-4109-BC45-502AAEE161E6}"/>
    <cellStyle name="Normal 8 2 2 2 2 3 4" xfId="9492" xr:uid="{A4623758-0AD7-4DCD-90ED-72B94495BE7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F31422CB-1C6B-4DD0-A93E-1964A3606668}"/>
    <cellStyle name="Normal 8 2 2 2 2 4 2 3" xfId="12050" xr:uid="{06458B4E-4877-4488-8F1C-31F6B12DB430}"/>
    <cellStyle name="Normal 8 2 2 2 2 4 3" xfId="5673" xr:uid="{00000000-0005-0000-0000-0000121C0000}"/>
    <cellStyle name="Normal 8 2 2 2 2 4 3 2" xfId="14123" xr:uid="{7C27DF2F-906F-4CEA-90B6-FF0F4527693B}"/>
    <cellStyle name="Normal 8 2 2 2 2 4 4" xfId="9905" xr:uid="{3E8AA9F8-E876-4267-8842-71B21D5EB4F6}"/>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5EC35C1-E385-4C27-9858-2B5B0B3D9B2F}"/>
    <cellStyle name="Normal 8 2 2 2 2 5 2 3" xfId="12463" xr:uid="{6CA41EE5-55F2-4325-8C05-F37A79F28B88}"/>
    <cellStyle name="Normal 8 2 2 2 2 5 3" xfId="6086" xr:uid="{00000000-0005-0000-0000-0000161C0000}"/>
    <cellStyle name="Normal 8 2 2 2 2 5 3 2" xfId="14536" xr:uid="{122BEC47-2A40-40E1-9B2E-64797D1A09E2}"/>
    <cellStyle name="Normal 8 2 2 2 2 5 4" xfId="10318" xr:uid="{CD465C91-4B79-4215-AC34-84AB341240A6}"/>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AC579666-A15C-43A4-B844-64A61FA600E0}"/>
    <cellStyle name="Normal 8 2 2 2 2 6 2 3" xfId="12876" xr:uid="{B7B43C45-E034-4684-B03A-990E043E9FD2}"/>
    <cellStyle name="Normal 8 2 2 2 2 6 3" xfId="6499" xr:uid="{00000000-0005-0000-0000-00001A1C0000}"/>
    <cellStyle name="Normal 8 2 2 2 2 6 3 2" xfId="14949" xr:uid="{4FE253D6-A9BA-49D7-9762-2A0B9B1AC7F0}"/>
    <cellStyle name="Normal 8 2 2 2 2 6 4" xfId="10731" xr:uid="{8A783F20-AD85-4227-81DD-DAEF423937C7}"/>
    <cellStyle name="Normal 8 2 2 2 2 7" xfId="2629" xr:uid="{00000000-0005-0000-0000-00001B1C0000}"/>
    <cellStyle name="Normal 8 2 2 2 2 7 2" xfId="6912" xr:uid="{00000000-0005-0000-0000-00001C1C0000}"/>
    <cellStyle name="Normal 8 2 2 2 2 7 2 2" xfId="15362" xr:uid="{B4478154-C1BD-4CC9-8173-5E70FFD2774A}"/>
    <cellStyle name="Normal 8 2 2 2 2 7 3" xfId="11144" xr:uid="{63392C23-D930-455C-9A1E-36200B1F9F7E}"/>
    <cellStyle name="Normal 8 2 2 2 2 8" xfId="4847" xr:uid="{00000000-0005-0000-0000-00001D1C0000}"/>
    <cellStyle name="Normal 8 2 2 2 2 8 2" xfId="13297" xr:uid="{662F6761-71AD-4467-805E-5E02FCC8A443}"/>
    <cellStyle name="Normal 8 2 2 2 2 9" xfId="9079" xr:uid="{B14E85C7-7895-4E6C-874A-A050902F8B4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C18DCEE1-BFB2-48CA-BA70-C8B20A03AE1A}"/>
    <cellStyle name="Normal 8 2 2 2 3 2 2 3" xfId="11639" xr:uid="{772CABAA-1BAC-408E-8C46-7F0D6CE125C9}"/>
    <cellStyle name="Normal 8 2 2 2 3 2 3" xfId="5262" xr:uid="{00000000-0005-0000-0000-0000221C0000}"/>
    <cellStyle name="Normal 8 2 2 2 3 2 3 2" xfId="13712" xr:uid="{108F79A8-DA2D-4DB0-A999-23994AEEB97B}"/>
    <cellStyle name="Normal 8 2 2 2 3 2 4" xfId="9494" xr:uid="{C8D726A7-BED3-4C60-8D1E-87279BF7044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99A7BA7B-3FB9-4CBA-B82C-F5475620C705}"/>
    <cellStyle name="Normal 8 2 2 2 3 3 2 3" xfId="12052" xr:uid="{95370848-602A-445E-B3E6-BFC17AEC5748}"/>
    <cellStyle name="Normal 8 2 2 2 3 3 3" xfId="5675" xr:uid="{00000000-0005-0000-0000-0000261C0000}"/>
    <cellStyle name="Normal 8 2 2 2 3 3 3 2" xfId="14125" xr:uid="{39C14E81-855E-4208-AAA3-9B1731570DD7}"/>
    <cellStyle name="Normal 8 2 2 2 3 3 4" xfId="9907" xr:uid="{84A491B2-9971-4FDA-885E-F18F032DCF4F}"/>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DB7E0E9E-2BF7-4809-B383-243B9CB98CDF}"/>
    <cellStyle name="Normal 8 2 2 2 3 4 2 3" xfId="12465" xr:uid="{6A66F005-CC67-4FD4-A897-0F27C77EEEFA}"/>
    <cellStyle name="Normal 8 2 2 2 3 4 3" xfId="6088" xr:uid="{00000000-0005-0000-0000-00002A1C0000}"/>
    <cellStyle name="Normal 8 2 2 2 3 4 3 2" xfId="14538" xr:uid="{32E6CF0E-D487-456E-8360-414EF66D9D91}"/>
    <cellStyle name="Normal 8 2 2 2 3 4 4" xfId="10320" xr:uid="{9530B585-FBB2-44AA-9758-4EC7E823E21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6EBCC6DB-3F2B-43E6-B5DE-D1D60D8F734D}"/>
    <cellStyle name="Normal 8 2 2 2 3 5 2 3" xfId="12878" xr:uid="{558ABC3C-B501-4050-9B9F-C82BB8B2C7D1}"/>
    <cellStyle name="Normal 8 2 2 2 3 5 3" xfId="6501" xr:uid="{00000000-0005-0000-0000-00002E1C0000}"/>
    <cellStyle name="Normal 8 2 2 2 3 5 3 2" xfId="14951" xr:uid="{402BBAE5-EBB4-4187-9B09-0E492A2DD074}"/>
    <cellStyle name="Normal 8 2 2 2 3 5 4" xfId="10733" xr:uid="{3F38E0E4-536E-4B99-AED0-9D6B477C1EBC}"/>
    <cellStyle name="Normal 8 2 2 2 3 6" xfId="2631" xr:uid="{00000000-0005-0000-0000-00002F1C0000}"/>
    <cellStyle name="Normal 8 2 2 2 3 6 2" xfId="6914" xr:uid="{00000000-0005-0000-0000-0000301C0000}"/>
    <cellStyle name="Normal 8 2 2 2 3 6 2 2" xfId="15364" xr:uid="{ABA7E8FA-78B3-4FD0-BE5A-808F67C54DB2}"/>
    <cellStyle name="Normal 8 2 2 2 3 6 3" xfId="11146" xr:uid="{89ED6C70-6321-42FB-B62E-CF39D3DD09AE}"/>
    <cellStyle name="Normal 8 2 2 2 3 7" xfId="4849" xr:uid="{00000000-0005-0000-0000-0000311C0000}"/>
    <cellStyle name="Normal 8 2 2 2 3 7 2" xfId="13299" xr:uid="{39804F1C-D8E0-4743-9019-638429CAC9E4}"/>
    <cellStyle name="Normal 8 2 2 2 3 8" xfId="9081" xr:uid="{AB8A1222-6F59-415E-9BA7-F177A82C542E}"/>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A94CD014-CAAD-46EC-B0C0-2872AF455211}"/>
    <cellStyle name="Normal 8 2 2 2 4 2 3" xfId="11636" xr:uid="{4AA409E1-4BD9-41AF-A4F8-D0F61CE4A691}"/>
    <cellStyle name="Normal 8 2 2 2 4 3" xfId="5259" xr:uid="{00000000-0005-0000-0000-0000351C0000}"/>
    <cellStyle name="Normal 8 2 2 2 4 3 2" xfId="13709" xr:uid="{E1F0CDAB-CF92-4512-A8A8-EB8640FB21E3}"/>
    <cellStyle name="Normal 8 2 2 2 4 4" xfId="9491" xr:uid="{D4A38026-5596-4A77-AF81-C7C82FCC7A31}"/>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C115FB18-F1CE-48B8-AC5C-088632F4E0ED}"/>
    <cellStyle name="Normal 8 2 2 2 5 2 3" xfId="12049" xr:uid="{C500134D-DD9A-4AB5-B0FE-E9F91FC59BB6}"/>
    <cellStyle name="Normal 8 2 2 2 5 3" xfId="5672" xr:uid="{00000000-0005-0000-0000-0000391C0000}"/>
    <cellStyle name="Normal 8 2 2 2 5 3 2" xfId="14122" xr:uid="{002945B8-25BC-437B-A4C8-28C3947DB152}"/>
    <cellStyle name="Normal 8 2 2 2 5 4" xfId="9904" xr:uid="{AB6AF8C8-8596-46ED-A48B-498900124231}"/>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8892804E-4A40-4B5E-B8CF-C04AEC536D4B}"/>
    <cellStyle name="Normal 8 2 2 2 6 2 3" xfId="12462" xr:uid="{268F706F-6C6E-4025-AA2B-AD7185D12542}"/>
    <cellStyle name="Normal 8 2 2 2 6 3" xfId="6085" xr:uid="{00000000-0005-0000-0000-00003D1C0000}"/>
    <cellStyle name="Normal 8 2 2 2 6 3 2" xfId="14535" xr:uid="{CE2DA2D1-CB49-45F6-9CFE-17A588CDF438}"/>
    <cellStyle name="Normal 8 2 2 2 6 4" xfId="10317" xr:uid="{A407891D-30BC-4536-ABD6-613B270CA3F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E1E31989-B4F8-4E79-A89D-57606F709832}"/>
    <cellStyle name="Normal 8 2 2 2 7 2 3" xfId="12875" xr:uid="{F80FB40A-3E05-4041-A708-7060274FF551}"/>
    <cellStyle name="Normal 8 2 2 2 7 3" xfId="6498" xr:uid="{00000000-0005-0000-0000-0000411C0000}"/>
    <cellStyle name="Normal 8 2 2 2 7 3 2" xfId="14948" xr:uid="{681DA011-48B1-4805-B5AC-F8E99A9C62F7}"/>
    <cellStyle name="Normal 8 2 2 2 7 4" xfId="10730" xr:uid="{F2062269-294E-4755-AD86-BF750C55F933}"/>
    <cellStyle name="Normal 8 2 2 2 8" xfId="2628" xr:uid="{00000000-0005-0000-0000-0000421C0000}"/>
    <cellStyle name="Normal 8 2 2 2 8 2" xfId="6911" xr:uid="{00000000-0005-0000-0000-0000431C0000}"/>
    <cellStyle name="Normal 8 2 2 2 8 2 2" xfId="15361" xr:uid="{37282F44-9E74-4DF0-ADAB-69BA3C73BAAC}"/>
    <cellStyle name="Normal 8 2 2 2 8 3" xfId="11143" xr:uid="{2CF7DEF1-8E81-455E-B286-803B4B8FD6BE}"/>
    <cellStyle name="Normal 8 2 2 2 9" xfId="4846" xr:uid="{00000000-0005-0000-0000-0000441C0000}"/>
    <cellStyle name="Normal 8 2 2 2 9 2" xfId="13296" xr:uid="{1F7C7A91-0757-475E-874C-DAF62993A651}"/>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A02B70BB-6D64-42E9-B651-263286AC0188}"/>
    <cellStyle name="Normal 8 2 2 3 2 2 2 3" xfId="11641" xr:uid="{F4C8DCCE-3FFD-412B-B1D2-0250F4D80A85}"/>
    <cellStyle name="Normal 8 2 2 3 2 2 3" xfId="5264" xr:uid="{00000000-0005-0000-0000-00004A1C0000}"/>
    <cellStyle name="Normal 8 2 2 3 2 2 3 2" xfId="13714" xr:uid="{DA214D7A-CAD0-4B42-A5C0-85298BFEE45C}"/>
    <cellStyle name="Normal 8 2 2 3 2 2 4" xfId="9496" xr:uid="{E9BA9DFE-6B1D-4455-A750-B629918377F3}"/>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A3E55078-D9F6-4609-A873-ECBF7C927517}"/>
    <cellStyle name="Normal 8 2 2 3 2 3 2 3" xfId="12054" xr:uid="{5B0BDCAC-258E-4D73-A727-607F784996DB}"/>
    <cellStyle name="Normal 8 2 2 3 2 3 3" xfId="5677" xr:uid="{00000000-0005-0000-0000-00004E1C0000}"/>
    <cellStyle name="Normal 8 2 2 3 2 3 3 2" xfId="14127" xr:uid="{52858B16-54CE-4985-A56D-4FC30FD03BC2}"/>
    <cellStyle name="Normal 8 2 2 3 2 3 4" xfId="9909" xr:uid="{6EC0938C-E3F1-453D-ACE2-09DC6DFF40D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7342BC2B-C2E7-4572-93BE-CEC3C6435F31}"/>
    <cellStyle name="Normal 8 2 2 3 2 4 2 3" xfId="12467" xr:uid="{74BD9076-32F4-4161-8280-D4D207726454}"/>
    <cellStyle name="Normal 8 2 2 3 2 4 3" xfId="6090" xr:uid="{00000000-0005-0000-0000-0000521C0000}"/>
    <cellStyle name="Normal 8 2 2 3 2 4 3 2" xfId="14540" xr:uid="{D3288F48-8806-431D-B69D-4C02EAB256E6}"/>
    <cellStyle name="Normal 8 2 2 3 2 4 4" xfId="10322" xr:uid="{B82C8A87-EFE6-435B-851D-3A7FC706D7D2}"/>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18D80607-5C7B-414F-8B08-0856EC5C3E8C}"/>
    <cellStyle name="Normal 8 2 2 3 2 5 2 3" xfId="12880" xr:uid="{AB93546E-7B06-47D5-BA38-D4FA9D038036}"/>
    <cellStyle name="Normal 8 2 2 3 2 5 3" xfId="6503" xr:uid="{00000000-0005-0000-0000-0000561C0000}"/>
    <cellStyle name="Normal 8 2 2 3 2 5 3 2" xfId="14953" xr:uid="{9545F281-9C64-44EE-A702-01970C157B04}"/>
    <cellStyle name="Normal 8 2 2 3 2 5 4" xfId="10735" xr:uid="{57B26DBA-69A5-443C-8055-73C668B106DF}"/>
    <cellStyle name="Normal 8 2 2 3 2 6" xfId="2633" xr:uid="{00000000-0005-0000-0000-0000571C0000}"/>
    <cellStyle name="Normal 8 2 2 3 2 6 2" xfId="6916" xr:uid="{00000000-0005-0000-0000-0000581C0000}"/>
    <cellStyle name="Normal 8 2 2 3 2 6 2 2" xfId="15366" xr:uid="{708BF6A4-E887-4367-BE08-DCDFFC73DAC0}"/>
    <cellStyle name="Normal 8 2 2 3 2 6 3" xfId="11148" xr:uid="{088A1B34-32A5-4C3B-A449-9B67D31FEB70}"/>
    <cellStyle name="Normal 8 2 2 3 2 7" xfId="4851" xr:uid="{00000000-0005-0000-0000-0000591C0000}"/>
    <cellStyle name="Normal 8 2 2 3 2 7 2" xfId="13301" xr:uid="{90CC7F17-6AE3-4824-BE36-6E64B57BFBF7}"/>
    <cellStyle name="Normal 8 2 2 3 2 8" xfId="9083" xr:uid="{F7A898E8-5126-4F9A-97DB-9FDFFD368DCC}"/>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68EB4186-BD44-4980-8C40-4048C55FB2BD}"/>
    <cellStyle name="Normal 8 2 2 3 3 2 3" xfId="11640" xr:uid="{F92B9A72-3891-43CF-9244-2BEEF2041959}"/>
    <cellStyle name="Normal 8 2 2 3 3 3" xfId="5263" xr:uid="{00000000-0005-0000-0000-00005D1C0000}"/>
    <cellStyle name="Normal 8 2 2 3 3 3 2" xfId="13713" xr:uid="{3E203026-F34C-4481-876F-08717E16676A}"/>
    <cellStyle name="Normal 8 2 2 3 3 4" xfId="9495" xr:uid="{1C748DF2-1280-446C-87FE-461C50F6A09B}"/>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EDD0B024-510A-4356-873C-9EDB18AB3DAC}"/>
    <cellStyle name="Normal 8 2 2 3 4 2 3" xfId="12053" xr:uid="{18F3C5F2-31AF-4745-BEF1-0F5DEA93036D}"/>
    <cellStyle name="Normal 8 2 2 3 4 3" xfId="5676" xr:uid="{00000000-0005-0000-0000-0000611C0000}"/>
    <cellStyle name="Normal 8 2 2 3 4 3 2" xfId="14126" xr:uid="{A4B00538-D249-4E51-A1E5-7BC512D28A76}"/>
    <cellStyle name="Normal 8 2 2 3 4 4" xfId="9908" xr:uid="{815D867C-6D53-4894-8DD4-57159A429A78}"/>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D0F6BC5E-571D-44BD-A30C-3DE5B4F81EF4}"/>
    <cellStyle name="Normal 8 2 2 3 5 2 3" xfId="12466" xr:uid="{A2404D2A-2D11-4FAF-A644-8A9CAD7CA90D}"/>
    <cellStyle name="Normal 8 2 2 3 5 3" xfId="6089" xr:uid="{00000000-0005-0000-0000-0000651C0000}"/>
    <cellStyle name="Normal 8 2 2 3 5 3 2" xfId="14539" xr:uid="{E1A7A968-66AA-4D2A-A443-2FD00D2D0248}"/>
    <cellStyle name="Normal 8 2 2 3 5 4" xfId="10321" xr:uid="{4CB8E488-08D9-458B-B233-24C6DF8B381C}"/>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228809C7-4704-4E13-ACAD-38C422020137}"/>
    <cellStyle name="Normal 8 2 2 3 6 2 3" xfId="12879" xr:uid="{02C062AA-E40E-4E7E-AB40-4D2A83447FCF}"/>
    <cellStyle name="Normal 8 2 2 3 6 3" xfId="6502" xr:uid="{00000000-0005-0000-0000-0000691C0000}"/>
    <cellStyle name="Normal 8 2 2 3 6 3 2" xfId="14952" xr:uid="{61450982-2259-4A71-9EBC-0A3F35AA6385}"/>
    <cellStyle name="Normal 8 2 2 3 6 4" xfId="10734" xr:uid="{16146B84-C784-4FC3-9270-2802E0E1C7B0}"/>
    <cellStyle name="Normal 8 2 2 3 7" xfId="2632" xr:uid="{00000000-0005-0000-0000-00006A1C0000}"/>
    <cellStyle name="Normal 8 2 2 3 7 2" xfId="6915" xr:uid="{00000000-0005-0000-0000-00006B1C0000}"/>
    <cellStyle name="Normal 8 2 2 3 7 2 2" xfId="15365" xr:uid="{0A53B01A-B4F4-4550-9DCF-01D0148CC786}"/>
    <cellStyle name="Normal 8 2 2 3 7 3" xfId="11147" xr:uid="{2C63D027-7ACB-47D0-81A1-42BB73F42EAB}"/>
    <cellStyle name="Normal 8 2 2 3 8" xfId="4850" xr:uid="{00000000-0005-0000-0000-00006C1C0000}"/>
    <cellStyle name="Normal 8 2 2 3 8 2" xfId="13300" xr:uid="{3DA43BF9-7125-4CC0-B115-F8BC67C6969A}"/>
    <cellStyle name="Normal 8 2 2 3 9" xfId="9082" xr:uid="{EE093CAF-8AB4-4C6E-B455-10AEA68E01A3}"/>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D9E4D149-2815-4790-982B-0B64EB5532BD}"/>
    <cellStyle name="Normal 8 2 2 4 2 2 3" xfId="11642" xr:uid="{0C66AF89-70E2-405A-BFA1-0E43A4FF5B73}"/>
    <cellStyle name="Normal 8 2 2 4 2 3" xfId="5265" xr:uid="{00000000-0005-0000-0000-0000711C0000}"/>
    <cellStyle name="Normal 8 2 2 4 2 3 2" xfId="13715" xr:uid="{41FE0757-41ED-44AB-8CF1-3D416DF0477F}"/>
    <cellStyle name="Normal 8 2 2 4 2 4" xfId="9497" xr:uid="{C13EF102-6100-41ED-B829-DBDD7E9D0637}"/>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DF5E31EA-2AD8-44B9-BA95-0CF45D2E735A}"/>
    <cellStyle name="Normal 8 2 2 4 3 2 3" xfId="12055" xr:uid="{87AC3C09-A52D-4C98-B4EF-F0EAC1FE6AE0}"/>
    <cellStyle name="Normal 8 2 2 4 3 3" xfId="5678" xr:uid="{00000000-0005-0000-0000-0000751C0000}"/>
    <cellStyle name="Normal 8 2 2 4 3 3 2" xfId="14128" xr:uid="{DBE29AAA-2A40-422A-9E29-8D6AFA4722AF}"/>
    <cellStyle name="Normal 8 2 2 4 3 4" xfId="9910" xr:uid="{A040FC1C-621F-48A3-BCFD-9D82CBAB53C3}"/>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8C5168CE-3CFA-42B8-9789-817E0D86A22D}"/>
    <cellStyle name="Normal 8 2 2 4 4 2 3" xfId="12468" xr:uid="{AF2DD308-CC44-4542-B7F1-7C225277D652}"/>
    <cellStyle name="Normal 8 2 2 4 4 3" xfId="6091" xr:uid="{00000000-0005-0000-0000-0000791C0000}"/>
    <cellStyle name="Normal 8 2 2 4 4 3 2" xfId="14541" xr:uid="{7277FBA5-5EE4-44ED-86A1-7E09D867C6D4}"/>
    <cellStyle name="Normal 8 2 2 4 4 4" xfId="10323" xr:uid="{81F43415-CE39-478D-AF82-80A4CDA1726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65AD230C-E746-4FE2-B5D4-565128F471FA}"/>
    <cellStyle name="Normal 8 2 2 4 5 2 3" xfId="12881" xr:uid="{E0E05FEF-C944-437C-8337-89408BE70E5C}"/>
    <cellStyle name="Normal 8 2 2 4 5 3" xfId="6504" xr:uid="{00000000-0005-0000-0000-00007D1C0000}"/>
    <cellStyle name="Normal 8 2 2 4 5 3 2" xfId="14954" xr:uid="{1E4B94AB-E5D2-41CE-BC51-AF80135F2070}"/>
    <cellStyle name="Normal 8 2 2 4 5 4" xfId="10736" xr:uid="{AF173662-D210-4B5F-9DE1-99458695B2EC}"/>
    <cellStyle name="Normal 8 2 2 4 6" xfId="2634" xr:uid="{00000000-0005-0000-0000-00007E1C0000}"/>
    <cellStyle name="Normal 8 2 2 4 6 2" xfId="6917" xr:uid="{00000000-0005-0000-0000-00007F1C0000}"/>
    <cellStyle name="Normal 8 2 2 4 6 2 2" xfId="15367" xr:uid="{E989F9BB-AE3C-48AF-9FF3-5FC6D10DDFBD}"/>
    <cellStyle name="Normal 8 2 2 4 6 3" xfId="11149" xr:uid="{D9C82FDD-201C-43E6-8BA8-9DA251C51A05}"/>
    <cellStyle name="Normal 8 2 2 4 7" xfId="4852" xr:uid="{00000000-0005-0000-0000-0000801C0000}"/>
    <cellStyle name="Normal 8 2 2 4 7 2" xfId="13302" xr:uid="{644687FB-E8B7-4DEE-B31B-4D5A8B690A69}"/>
    <cellStyle name="Normal 8 2 2 4 8" xfId="9084" xr:uid="{0BCC2E62-0C9A-49E4-8DA4-F9B0CF93A711}"/>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CA22699A-2417-4DAE-A018-7A8FA6202DB7}"/>
    <cellStyle name="Normal 8 2 2 5 2 3" xfId="11635" xr:uid="{DE3CC2B3-DD2A-4639-9411-FA9C5F61EE17}"/>
    <cellStyle name="Normal 8 2 2 5 3" xfId="5258" xr:uid="{00000000-0005-0000-0000-0000841C0000}"/>
    <cellStyle name="Normal 8 2 2 5 3 2" xfId="13708" xr:uid="{99046A14-BB6B-4325-9DFB-A5F8236A56C7}"/>
    <cellStyle name="Normal 8 2 2 5 4" xfId="9490" xr:uid="{D3403D4A-A4A0-4BEF-AB72-DEF46F871568}"/>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5C4C5F03-A5BE-4459-8BAD-0CABC565D1CF}"/>
    <cellStyle name="Normal 8 2 2 6 2 3" xfId="12048" xr:uid="{5814E183-0F39-4A8A-A5DC-50528B9E1484}"/>
    <cellStyle name="Normal 8 2 2 6 3" xfId="5671" xr:uid="{00000000-0005-0000-0000-0000881C0000}"/>
    <cellStyle name="Normal 8 2 2 6 3 2" xfId="14121" xr:uid="{88E890DA-6B05-40BB-BEA7-4A7F578F2770}"/>
    <cellStyle name="Normal 8 2 2 6 4" xfId="9903" xr:uid="{AFD9DF9F-9116-4E3F-A452-B57E3E9F00DC}"/>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0CFD19CB-0DC5-44C6-88C7-47FC58595E45}"/>
    <cellStyle name="Normal 8 2 2 7 2 3" xfId="12461" xr:uid="{FC8D1E59-4F7C-4083-BA6F-A8784B96482F}"/>
    <cellStyle name="Normal 8 2 2 7 3" xfId="6084" xr:uid="{00000000-0005-0000-0000-00008C1C0000}"/>
    <cellStyle name="Normal 8 2 2 7 3 2" xfId="14534" xr:uid="{D38D0A1E-4913-43DF-84A0-3266E3DDC751}"/>
    <cellStyle name="Normal 8 2 2 7 4" xfId="10316" xr:uid="{E1FACF06-626F-4C01-83D6-3E90BD04CAB4}"/>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0F5C1929-1402-460D-A1B4-00E41AB68679}"/>
    <cellStyle name="Normal 8 2 2 8 2 3" xfId="12874" xr:uid="{0B6D5323-B2F0-4DBA-BCA8-63404B5B74DD}"/>
    <cellStyle name="Normal 8 2 2 8 3" xfId="6497" xr:uid="{00000000-0005-0000-0000-0000901C0000}"/>
    <cellStyle name="Normal 8 2 2 8 3 2" xfId="14947" xr:uid="{124C38F3-194B-4431-A5E4-09A290E15AC1}"/>
    <cellStyle name="Normal 8 2 2 8 4" xfId="10729" xr:uid="{C964310D-387E-4C85-910F-9859D153ADA7}"/>
    <cellStyle name="Normal 8 2 2 9" xfId="2627" xr:uid="{00000000-0005-0000-0000-0000911C0000}"/>
    <cellStyle name="Normal 8 2 2 9 2" xfId="6910" xr:uid="{00000000-0005-0000-0000-0000921C0000}"/>
    <cellStyle name="Normal 8 2 2 9 2 2" xfId="15360" xr:uid="{93F4A6DA-A733-4058-B763-18BEB8F3051C}"/>
    <cellStyle name="Normal 8 2 2 9 3" xfId="11142" xr:uid="{2FD4AF29-B84F-43DA-BB12-723E9B5210FC}"/>
    <cellStyle name="Normal 8 2 3" xfId="488" xr:uid="{00000000-0005-0000-0000-0000931C0000}"/>
    <cellStyle name="Normal 8 2 3 10" xfId="9085" xr:uid="{DA0096DC-CC2E-41EF-BE1F-95FC536513A7}"/>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4D0A388F-743D-4B7D-8E76-63DE40EB6D21}"/>
    <cellStyle name="Normal 8 2 3 2 2 2 2 3" xfId="11645" xr:uid="{48282458-F816-498D-BD7C-634E81D5D326}"/>
    <cellStyle name="Normal 8 2 3 2 2 2 3" xfId="5268" xr:uid="{00000000-0005-0000-0000-0000991C0000}"/>
    <cellStyle name="Normal 8 2 3 2 2 2 3 2" xfId="13718" xr:uid="{C0442CBA-FCAA-4102-AD72-17C71AE1DDFF}"/>
    <cellStyle name="Normal 8 2 3 2 2 2 4" xfId="9500" xr:uid="{9194B38D-9E80-44A1-983F-083F5BCFE97C}"/>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14D85529-3A67-4F32-B230-9C091EC1EB0A}"/>
    <cellStyle name="Normal 8 2 3 2 2 3 2 3" xfId="12058" xr:uid="{39F3BD60-7279-421B-AC1A-D99A93ED4071}"/>
    <cellStyle name="Normal 8 2 3 2 2 3 3" xfId="5681" xr:uid="{00000000-0005-0000-0000-00009D1C0000}"/>
    <cellStyle name="Normal 8 2 3 2 2 3 3 2" xfId="14131" xr:uid="{51F03D5E-A6F5-4A71-A521-2A52586D41B6}"/>
    <cellStyle name="Normal 8 2 3 2 2 3 4" xfId="9913" xr:uid="{62C9871E-083B-4585-BBDF-30E88AB1AECF}"/>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DD36885D-E62E-4124-ACF3-B0B86FECBE14}"/>
    <cellStyle name="Normal 8 2 3 2 2 4 2 3" xfId="12471" xr:uid="{AD7259DE-68BA-4811-B4E7-685710FFC06D}"/>
    <cellStyle name="Normal 8 2 3 2 2 4 3" xfId="6094" xr:uid="{00000000-0005-0000-0000-0000A11C0000}"/>
    <cellStyle name="Normal 8 2 3 2 2 4 3 2" xfId="14544" xr:uid="{A10D1097-8DCE-411D-BDC4-21A41AE280D2}"/>
    <cellStyle name="Normal 8 2 3 2 2 4 4" xfId="10326" xr:uid="{3EEF7E51-2B46-4519-A9D4-33585759EE6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1EAD6841-6276-465B-AAEB-83C7CE09D87E}"/>
    <cellStyle name="Normal 8 2 3 2 2 5 2 3" xfId="12884" xr:uid="{53FE324D-1FC4-4A1E-8932-485DE630F1EF}"/>
    <cellStyle name="Normal 8 2 3 2 2 5 3" xfId="6507" xr:uid="{00000000-0005-0000-0000-0000A51C0000}"/>
    <cellStyle name="Normal 8 2 3 2 2 5 3 2" xfId="14957" xr:uid="{70880744-D901-48E7-9DF4-0A4C044D9825}"/>
    <cellStyle name="Normal 8 2 3 2 2 5 4" xfId="10739" xr:uid="{C5CB9D24-4A6C-4314-A8BD-A84D22A1D7A1}"/>
    <cellStyle name="Normal 8 2 3 2 2 6" xfId="2637" xr:uid="{00000000-0005-0000-0000-0000A61C0000}"/>
    <cellStyle name="Normal 8 2 3 2 2 6 2" xfId="6920" xr:uid="{00000000-0005-0000-0000-0000A71C0000}"/>
    <cellStyle name="Normal 8 2 3 2 2 6 2 2" xfId="15370" xr:uid="{31F7549A-9098-40A0-A251-BFDDCEFFDA1A}"/>
    <cellStyle name="Normal 8 2 3 2 2 6 3" xfId="11152" xr:uid="{C063220D-D8BD-44C7-B8D6-7714D5D7FB0B}"/>
    <cellStyle name="Normal 8 2 3 2 2 7" xfId="4855" xr:uid="{00000000-0005-0000-0000-0000A81C0000}"/>
    <cellStyle name="Normal 8 2 3 2 2 7 2" xfId="13305" xr:uid="{77B113A8-AE51-4AB3-9B6D-43D0FD2BC6CF}"/>
    <cellStyle name="Normal 8 2 3 2 2 8" xfId="9087" xr:uid="{6004869E-C0FB-4F2D-BDDA-C92D27FDABB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C23B11BE-AE05-4B61-A976-B10BDCC44BC8}"/>
    <cellStyle name="Normal 8 2 3 2 3 2 3" xfId="11644" xr:uid="{ABD38DFC-40F6-4A3D-8917-039D470AEE3A}"/>
    <cellStyle name="Normal 8 2 3 2 3 3" xfId="5267" xr:uid="{00000000-0005-0000-0000-0000AC1C0000}"/>
    <cellStyle name="Normal 8 2 3 2 3 3 2" xfId="13717" xr:uid="{94237BE6-1E22-41DF-A0DD-5231068AE917}"/>
    <cellStyle name="Normal 8 2 3 2 3 4" xfId="9499" xr:uid="{7C48E0D8-2565-485F-A859-AB7E65AEFCD6}"/>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FBEBC83B-B674-48F2-8652-4E0C2344D4B0}"/>
    <cellStyle name="Normal 8 2 3 2 4 2 3" xfId="12057" xr:uid="{FEA1870A-40BB-4E1A-8C3D-F45B3B931837}"/>
    <cellStyle name="Normal 8 2 3 2 4 3" xfId="5680" xr:uid="{00000000-0005-0000-0000-0000B01C0000}"/>
    <cellStyle name="Normal 8 2 3 2 4 3 2" xfId="14130" xr:uid="{BCE57756-8671-4CFC-B498-4A205C31D881}"/>
    <cellStyle name="Normal 8 2 3 2 4 4" xfId="9912" xr:uid="{1DAF4F69-41AB-4E3E-A04B-343447A5F68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35C3FF2F-BF99-46BE-B75C-2B0F61E5DB17}"/>
    <cellStyle name="Normal 8 2 3 2 5 2 3" xfId="12470" xr:uid="{8826242E-17D2-460E-9961-89022922082A}"/>
    <cellStyle name="Normal 8 2 3 2 5 3" xfId="6093" xr:uid="{00000000-0005-0000-0000-0000B41C0000}"/>
    <cellStyle name="Normal 8 2 3 2 5 3 2" xfId="14543" xr:uid="{72AF6396-919E-4FA6-9B39-DDEA73563F1B}"/>
    <cellStyle name="Normal 8 2 3 2 5 4" xfId="10325" xr:uid="{AF3A645B-0476-49E6-90D0-CB336AC05688}"/>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3CBA13BD-D9C9-40DF-AC82-DDBC6209FF68}"/>
    <cellStyle name="Normal 8 2 3 2 6 2 3" xfId="12883" xr:uid="{911525B5-286B-4C36-B60A-8ED2B06BE875}"/>
    <cellStyle name="Normal 8 2 3 2 6 3" xfId="6506" xr:uid="{00000000-0005-0000-0000-0000B81C0000}"/>
    <cellStyle name="Normal 8 2 3 2 6 3 2" xfId="14956" xr:uid="{FC6352CF-8FBA-4D75-BDA5-24CCF3B7C206}"/>
    <cellStyle name="Normal 8 2 3 2 6 4" xfId="10738" xr:uid="{7A866FAB-5390-4B0C-A987-F73DA81448A8}"/>
    <cellStyle name="Normal 8 2 3 2 7" xfId="2636" xr:uid="{00000000-0005-0000-0000-0000B91C0000}"/>
    <cellStyle name="Normal 8 2 3 2 7 2" xfId="6919" xr:uid="{00000000-0005-0000-0000-0000BA1C0000}"/>
    <cellStyle name="Normal 8 2 3 2 7 2 2" xfId="15369" xr:uid="{2435ABE4-02DD-4D9F-ADBF-07E9DBA9CCB7}"/>
    <cellStyle name="Normal 8 2 3 2 7 3" xfId="11151" xr:uid="{B13F2681-0C14-427C-8F47-989A4AD92291}"/>
    <cellStyle name="Normal 8 2 3 2 8" xfId="4854" xr:uid="{00000000-0005-0000-0000-0000BB1C0000}"/>
    <cellStyle name="Normal 8 2 3 2 8 2" xfId="13304" xr:uid="{17FA094A-FAC6-4DA4-B54C-74FEFAE2DA90}"/>
    <cellStyle name="Normal 8 2 3 2 9" xfId="9086" xr:uid="{45B68568-00C7-4BC5-ADE6-EB1EF5B3479C}"/>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C19325CC-0C1B-4EBD-90E5-ACC404A95093}"/>
    <cellStyle name="Normal 8 2 3 3 2 2 3" xfId="11646" xr:uid="{0925FA6A-409E-42B4-AF59-0600631A2225}"/>
    <cellStyle name="Normal 8 2 3 3 2 3" xfId="5269" xr:uid="{00000000-0005-0000-0000-0000C01C0000}"/>
    <cellStyle name="Normal 8 2 3 3 2 3 2" xfId="13719" xr:uid="{3B77869A-29DD-44D2-A36B-99934CC51FCB}"/>
    <cellStyle name="Normal 8 2 3 3 2 4" xfId="9501" xr:uid="{ADDEFAD8-2660-4F13-A63B-20ACE5E43B01}"/>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013A473F-357C-4206-923F-AB8F4B132AB4}"/>
    <cellStyle name="Normal 8 2 3 3 3 2 3" xfId="12059" xr:uid="{4A9F6D23-7B6F-4408-B918-90C9091FADE4}"/>
    <cellStyle name="Normal 8 2 3 3 3 3" xfId="5682" xr:uid="{00000000-0005-0000-0000-0000C41C0000}"/>
    <cellStyle name="Normal 8 2 3 3 3 3 2" xfId="14132" xr:uid="{3DD8C742-24E1-43DD-A750-2DFF79B37219}"/>
    <cellStyle name="Normal 8 2 3 3 3 4" xfId="9914" xr:uid="{860138D5-3D48-452C-A829-627AE05AB81F}"/>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D1FA1E1B-4BEA-4E8B-9337-3DAE913B3E59}"/>
    <cellStyle name="Normal 8 2 3 3 4 2 3" xfId="12472" xr:uid="{A4A6BCFF-71AD-401E-A910-248595B87277}"/>
    <cellStyle name="Normal 8 2 3 3 4 3" xfId="6095" xr:uid="{00000000-0005-0000-0000-0000C81C0000}"/>
    <cellStyle name="Normal 8 2 3 3 4 3 2" xfId="14545" xr:uid="{3BA1A631-8EBE-47AA-9D7C-0C75A5F33C87}"/>
    <cellStyle name="Normal 8 2 3 3 4 4" xfId="10327" xr:uid="{6A606EB2-A47E-4D8C-AD87-3B15BE20A2A0}"/>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4EB0D523-D607-483C-A994-856EFEAC0F35}"/>
    <cellStyle name="Normal 8 2 3 3 5 2 3" xfId="12885" xr:uid="{C1E9B55E-297C-42F1-8EA5-31F63B3D8F8B}"/>
    <cellStyle name="Normal 8 2 3 3 5 3" xfId="6508" xr:uid="{00000000-0005-0000-0000-0000CC1C0000}"/>
    <cellStyle name="Normal 8 2 3 3 5 3 2" xfId="14958" xr:uid="{55EB842C-6B85-4255-9730-3F2EEF10B206}"/>
    <cellStyle name="Normal 8 2 3 3 5 4" xfId="10740" xr:uid="{19B4C532-1AA1-4266-9278-76DC3D912A5A}"/>
    <cellStyle name="Normal 8 2 3 3 6" xfId="2638" xr:uid="{00000000-0005-0000-0000-0000CD1C0000}"/>
    <cellStyle name="Normal 8 2 3 3 6 2" xfId="6921" xr:uid="{00000000-0005-0000-0000-0000CE1C0000}"/>
    <cellStyle name="Normal 8 2 3 3 6 2 2" xfId="15371" xr:uid="{9714B489-AA49-4BF7-8E0C-50781FBE12A3}"/>
    <cellStyle name="Normal 8 2 3 3 6 3" xfId="11153" xr:uid="{9D4A2410-F4E3-40D6-89D7-53E5C40C50B3}"/>
    <cellStyle name="Normal 8 2 3 3 7" xfId="4856" xr:uid="{00000000-0005-0000-0000-0000CF1C0000}"/>
    <cellStyle name="Normal 8 2 3 3 7 2" xfId="13306" xr:uid="{66FD08C0-DC61-4AB5-851F-121A2F82355F}"/>
    <cellStyle name="Normal 8 2 3 3 8" xfId="9088" xr:uid="{4523023A-37F2-4106-9CA0-F33874CF49F4}"/>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C47863D3-760B-4206-986F-5456C605B006}"/>
    <cellStyle name="Normal 8 2 3 4 2 3" xfId="11643" xr:uid="{B96C7CFE-B8E1-47ED-9746-DE972FABDF94}"/>
    <cellStyle name="Normal 8 2 3 4 3" xfId="5266" xr:uid="{00000000-0005-0000-0000-0000D31C0000}"/>
    <cellStyle name="Normal 8 2 3 4 3 2" xfId="13716" xr:uid="{BE6A7B9F-E729-4577-AD17-6242E137E89C}"/>
    <cellStyle name="Normal 8 2 3 4 4" xfId="9498" xr:uid="{5E55CF10-9F7B-4D12-9D32-FAC7E975CA26}"/>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61AE5837-E61D-472C-B285-D1212B42E1E5}"/>
    <cellStyle name="Normal 8 2 3 5 2 3" xfId="12056" xr:uid="{6DE57C3C-8B59-4624-AD0D-3B701E431A68}"/>
    <cellStyle name="Normal 8 2 3 5 3" xfId="5679" xr:uid="{00000000-0005-0000-0000-0000D71C0000}"/>
    <cellStyle name="Normal 8 2 3 5 3 2" xfId="14129" xr:uid="{CAFCE572-DDBF-4B1E-B7AC-AAB0F9D28A53}"/>
    <cellStyle name="Normal 8 2 3 5 4" xfId="9911" xr:uid="{F9E5EFD8-1CE6-43F3-8C56-A6B69ADBA7C3}"/>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E0ED88C9-52D9-4DB8-9C2C-156A8B9E9DF2}"/>
    <cellStyle name="Normal 8 2 3 6 2 3" xfId="12469" xr:uid="{3D44B29B-EE29-437A-ACB5-E514C9CD7FF3}"/>
    <cellStyle name="Normal 8 2 3 6 3" xfId="6092" xr:uid="{00000000-0005-0000-0000-0000DB1C0000}"/>
    <cellStyle name="Normal 8 2 3 6 3 2" xfId="14542" xr:uid="{699BB496-F24D-4F78-81DE-35C02FAA2B0C}"/>
    <cellStyle name="Normal 8 2 3 6 4" xfId="10324" xr:uid="{41EE6B49-F9DA-44DB-AB50-02BECEC47D87}"/>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D6D1D018-AB37-4044-8132-81140BF3F374}"/>
    <cellStyle name="Normal 8 2 3 7 2 3" xfId="12882" xr:uid="{6CCDFD41-C2CC-40C3-9305-5744F11FE0E2}"/>
    <cellStyle name="Normal 8 2 3 7 3" xfId="6505" xr:uid="{00000000-0005-0000-0000-0000DF1C0000}"/>
    <cellStyle name="Normal 8 2 3 7 3 2" xfId="14955" xr:uid="{E4736926-6AEF-4C6F-9EB1-F9D44DBE67C1}"/>
    <cellStyle name="Normal 8 2 3 7 4" xfId="10737" xr:uid="{0F4E6A5F-5804-4E63-B392-07334DC4D078}"/>
    <cellStyle name="Normal 8 2 3 8" xfId="2635" xr:uid="{00000000-0005-0000-0000-0000E01C0000}"/>
    <cellStyle name="Normal 8 2 3 8 2" xfId="6918" xr:uid="{00000000-0005-0000-0000-0000E11C0000}"/>
    <cellStyle name="Normal 8 2 3 8 2 2" xfId="15368" xr:uid="{CB1B3701-F641-4584-8F10-6A752986B8D7}"/>
    <cellStyle name="Normal 8 2 3 8 3" xfId="11150" xr:uid="{57753578-6B1D-4C1D-87E4-E07F43E5F2DD}"/>
    <cellStyle name="Normal 8 2 3 9" xfId="4853" xr:uid="{00000000-0005-0000-0000-0000E21C0000}"/>
    <cellStyle name="Normal 8 2 3 9 2" xfId="13303" xr:uid="{C60AC4D2-F671-4889-B70D-0824D34F3463}"/>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A0814196-49DB-4394-95F9-CD82696A0827}"/>
    <cellStyle name="Normal 8 2 4 2 2 2 3" xfId="11648" xr:uid="{D38EDB3C-C299-4FC6-A46A-90BB1B831BD3}"/>
    <cellStyle name="Normal 8 2 4 2 2 3" xfId="5271" xr:uid="{00000000-0005-0000-0000-0000E81C0000}"/>
    <cellStyle name="Normal 8 2 4 2 2 3 2" xfId="13721" xr:uid="{AB86651C-4BF9-4CC5-9932-45A819523312}"/>
    <cellStyle name="Normal 8 2 4 2 2 4" xfId="9503" xr:uid="{FF578612-53B5-4668-8261-3AA6AEC8E116}"/>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108C9AD6-5101-431A-8BB8-C3602875DCB1}"/>
    <cellStyle name="Normal 8 2 4 2 3 2 3" xfId="12061" xr:uid="{68ACC172-06A5-4EE3-9991-E08E6B168DBB}"/>
    <cellStyle name="Normal 8 2 4 2 3 3" xfId="5684" xr:uid="{00000000-0005-0000-0000-0000EC1C0000}"/>
    <cellStyle name="Normal 8 2 4 2 3 3 2" xfId="14134" xr:uid="{70A4869A-8236-47A1-9124-8979DFA2AF5C}"/>
    <cellStyle name="Normal 8 2 4 2 3 4" xfId="9916" xr:uid="{D7B4AC45-9C60-44E1-9D45-01C8322EEF96}"/>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FBE8BE92-C4DF-4BB1-9F81-6AC556072BAA}"/>
    <cellStyle name="Normal 8 2 4 2 4 2 3" xfId="12474" xr:uid="{29AE75CB-C52D-4BDB-931F-72FE7FBE71AD}"/>
    <cellStyle name="Normal 8 2 4 2 4 3" xfId="6097" xr:uid="{00000000-0005-0000-0000-0000F01C0000}"/>
    <cellStyle name="Normal 8 2 4 2 4 3 2" xfId="14547" xr:uid="{F83C151C-B9D4-4963-AA07-B63BAFF48469}"/>
    <cellStyle name="Normal 8 2 4 2 4 4" xfId="10329" xr:uid="{E5617833-784E-4F9F-AED5-1222B355364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F4C6ED66-BB89-40F6-BF9E-B4E5287DF08F}"/>
    <cellStyle name="Normal 8 2 4 2 5 2 3" xfId="12887" xr:uid="{9ED4532C-E90F-4F47-900B-092EDDBE2AD9}"/>
    <cellStyle name="Normal 8 2 4 2 5 3" xfId="6510" xr:uid="{00000000-0005-0000-0000-0000F41C0000}"/>
    <cellStyle name="Normal 8 2 4 2 5 3 2" xfId="14960" xr:uid="{46BBC1E3-C391-42CD-AEA6-E447F4C210D5}"/>
    <cellStyle name="Normal 8 2 4 2 5 4" xfId="10742" xr:uid="{A902F0E3-753E-4860-A9C8-544C45DC7F67}"/>
    <cellStyle name="Normal 8 2 4 2 6" xfId="2640" xr:uid="{00000000-0005-0000-0000-0000F51C0000}"/>
    <cellStyle name="Normal 8 2 4 2 6 2" xfId="6923" xr:uid="{00000000-0005-0000-0000-0000F61C0000}"/>
    <cellStyle name="Normal 8 2 4 2 6 2 2" xfId="15373" xr:uid="{EF0FAF82-CB5D-46D8-92ED-CFB2F7E70A42}"/>
    <cellStyle name="Normal 8 2 4 2 6 3" xfId="11155" xr:uid="{A9D4DCCC-CD05-4FA6-A81B-E2353EA55D3D}"/>
    <cellStyle name="Normal 8 2 4 2 7" xfId="4858" xr:uid="{00000000-0005-0000-0000-0000F71C0000}"/>
    <cellStyle name="Normal 8 2 4 2 7 2" xfId="13308" xr:uid="{1545736C-928F-4922-8EBE-CCD5822A6FB9}"/>
    <cellStyle name="Normal 8 2 4 2 8" xfId="9090" xr:uid="{043F45E4-A372-42E5-B34C-E8BC7426722A}"/>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78A78B04-6B6B-4E39-848A-7D34B6A3E83F}"/>
    <cellStyle name="Normal 8 2 4 3 2 3" xfId="11647" xr:uid="{791B5319-4D67-4CA6-B778-7B47F872AAA6}"/>
    <cellStyle name="Normal 8 2 4 3 3" xfId="5270" xr:uid="{00000000-0005-0000-0000-0000FB1C0000}"/>
    <cellStyle name="Normal 8 2 4 3 3 2" xfId="13720" xr:uid="{2CEDB739-4783-4425-925D-C51FFDCB8BCA}"/>
    <cellStyle name="Normal 8 2 4 3 4" xfId="9502" xr:uid="{C6CA41E9-B877-4A36-AB75-88BC620A3487}"/>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CA2EFE97-05D9-4CFB-ACC2-9E419A4CA115}"/>
    <cellStyle name="Normal 8 2 4 4 2 3" xfId="12060" xr:uid="{4561ED8D-4C51-4421-948B-8AB3BD9F51A0}"/>
    <cellStyle name="Normal 8 2 4 4 3" xfId="5683" xr:uid="{00000000-0005-0000-0000-0000FF1C0000}"/>
    <cellStyle name="Normal 8 2 4 4 3 2" xfId="14133" xr:uid="{0366ECEA-E01F-40F1-B656-626ADE43A274}"/>
    <cellStyle name="Normal 8 2 4 4 4" xfId="9915" xr:uid="{F959E65A-DD7D-4764-B6AA-70D9F4F15A99}"/>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0DD88095-3E89-40D7-BB29-9E7F1ECA2D3B}"/>
    <cellStyle name="Normal 8 2 4 5 2 3" xfId="12473" xr:uid="{80C7434C-D334-4318-A4DB-38E266D19E3C}"/>
    <cellStyle name="Normal 8 2 4 5 3" xfId="6096" xr:uid="{00000000-0005-0000-0000-0000031D0000}"/>
    <cellStyle name="Normal 8 2 4 5 3 2" xfId="14546" xr:uid="{66C8F5BE-1AEB-4B45-8F2B-1561EECD9343}"/>
    <cellStyle name="Normal 8 2 4 5 4" xfId="10328" xr:uid="{A7B09DCE-9301-4DFF-BF56-A22D89A2370E}"/>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769A5460-3B58-4A09-808C-CA514F4F3EC6}"/>
    <cellStyle name="Normal 8 2 4 6 2 3" xfId="12886" xr:uid="{FFA55AAC-52D1-4DA4-B5F8-D07679B1C4CB}"/>
    <cellStyle name="Normal 8 2 4 6 3" xfId="6509" xr:uid="{00000000-0005-0000-0000-0000071D0000}"/>
    <cellStyle name="Normal 8 2 4 6 3 2" xfId="14959" xr:uid="{EC7DAF8C-291F-4A9D-9129-CDDED4E8B991}"/>
    <cellStyle name="Normal 8 2 4 6 4" xfId="10741" xr:uid="{7B204413-30C4-4555-9E34-AEE5D2B8F108}"/>
    <cellStyle name="Normal 8 2 4 7" xfId="2639" xr:uid="{00000000-0005-0000-0000-0000081D0000}"/>
    <cellStyle name="Normal 8 2 4 7 2" xfId="6922" xr:uid="{00000000-0005-0000-0000-0000091D0000}"/>
    <cellStyle name="Normal 8 2 4 7 2 2" xfId="15372" xr:uid="{81EDEEBE-B75D-486A-887C-DB2E1917FD7E}"/>
    <cellStyle name="Normal 8 2 4 7 3" xfId="11154" xr:uid="{F8B9D2FE-FD4F-41A2-8BF1-5C32C2055747}"/>
    <cellStyle name="Normal 8 2 4 8" xfId="4857" xr:uid="{00000000-0005-0000-0000-00000A1D0000}"/>
    <cellStyle name="Normal 8 2 4 8 2" xfId="13307" xr:uid="{02956C02-A2AC-47DA-B587-CA7CE65146D5}"/>
    <cellStyle name="Normal 8 2 4 9" xfId="9089" xr:uid="{98C31E34-7006-43E8-9665-F8B6EC597CA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F63A078E-D6EE-43CA-8818-CABDA8A0DFB1}"/>
    <cellStyle name="Normal 8 2 5 2 2 3" xfId="11649" xr:uid="{A4E6C11D-E085-4860-882F-FE71E202A4BA}"/>
    <cellStyle name="Normal 8 2 5 2 3" xfId="5272" xr:uid="{00000000-0005-0000-0000-00000F1D0000}"/>
    <cellStyle name="Normal 8 2 5 2 3 2" xfId="13722" xr:uid="{A2655D3D-4ADA-4F57-8C56-ABFCE8DDC15D}"/>
    <cellStyle name="Normal 8 2 5 2 4" xfId="9504" xr:uid="{50A6A2B9-893C-4F83-A259-AB2DE4EEA645}"/>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B253ED77-2593-4672-939C-D4BC66E5C225}"/>
    <cellStyle name="Normal 8 2 5 3 2 3" xfId="12062" xr:uid="{7F8F062F-DE8E-4755-AF25-F63A33B9D31C}"/>
    <cellStyle name="Normal 8 2 5 3 3" xfId="5685" xr:uid="{00000000-0005-0000-0000-0000131D0000}"/>
    <cellStyle name="Normal 8 2 5 3 3 2" xfId="14135" xr:uid="{4F3BB90B-8D2F-466E-B5AC-C7C14BE375FD}"/>
    <cellStyle name="Normal 8 2 5 3 4" xfId="9917" xr:uid="{19A9FA59-3BE4-43E6-BC05-563E3646D923}"/>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4F0CB156-4901-437F-AB4F-258D651DD845}"/>
    <cellStyle name="Normal 8 2 5 4 2 3" xfId="12475" xr:uid="{E94ABA7B-B298-4BAA-AC8A-99015D0B0737}"/>
    <cellStyle name="Normal 8 2 5 4 3" xfId="6098" xr:uid="{00000000-0005-0000-0000-0000171D0000}"/>
    <cellStyle name="Normal 8 2 5 4 3 2" xfId="14548" xr:uid="{5F835A4F-E85B-4630-BF69-A32340355F75}"/>
    <cellStyle name="Normal 8 2 5 4 4" xfId="10330" xr:uid="{D5158E1F-99C4-4066-8F80-AB891D38A497}"/>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99D64DD7-BE43-48F5-B17B-01ED6605843F}"/>
    <cellStyle name="Normal 8 2 5 5 2 3" xfId="12888" xr:uid="{A745621A-10FE-4A33-8CF1-BE593CAD7FD5}"/>
    <cellStyle name="Normal 8 2 5 5 3" xfId="6511" xr:uid="{00000000-0005-0000-0000-00001B1D0000}"/>
    <cellStyle name="Normal 8 2 5 5 3 2" xfId="14961" xr:uid="{543E4D37-722D-4655-A2F5-5DAA4EB71F9B}"/>
    <cellStyle name="Normal 8 2 5 5 4" xfId="10743" xr:uid="{D91C77D1-3812-462C-8376-9BF2B48E1571}"/>
    <cellStyle name="Normal 8 2 5 6" xfId="2641" xr:uid="{00000000-0005-0000-0000-00001C1D0000}"/>
    <cellStyle name="Normal 8 2 5 6 2" xfId="6924" xr:uid="{00000000-0005-0000-0000-00001D1D0000}"/>
    <cellStyle name="Normal 8 2 5 6 2 2" xfId="15374" xr:uid="{3078BCB4-BA5C-4C60-9EB6-5BCA01CDBA5A}"/>
    <cellStyle name="Normal 8 2 5 6 3" xfId="11156" xr:uid="{2BD650AD-3BE7-42D7-BF48-9C9CCA87ED0C}"/>
    <cellStyle name="Normal 8 2 5 7" xfId="4859" xr:uid="{00000000-0005-0000-0000-00001E1D0000}"/>
    <cellStyle name="Normal 8 2 5 7 2" xfId="13309" xr:uid="{E99F76E4-D5CD-4375-8BED-7C9181BE978F}"/>
    <cellStyle name="Normal 8 2 5 8" xfId="9091" xr:uid="{08F4075A-4FE2-4162-AE3D-79EDB069E977}"/>
    <cellStyle name="Normal 8 2 6" xfId="946" xr:uid="{00000000-0005-0000-0000-00001F1D0000}"/>
    <cellStyle name="Normal 8 2 6 2" xfId="3180" xr:uid="{00000000-0005-0000-0000-0000201D0000}"/>
    <cellStyle name="Normal 8 2 6 2 2" xfId="7402" xr:uid="{00000000-0005-0000-0000-0000211D0000}"/>
    <cellStyle name="Normal 8 2 6 2 2 2" xfId="15852" xr:uid="{87ADA77F-DD76-41BB-857B-AD4BA51F3B19}"/>
    <cellStyle name="Normal 8 2 6 2 3" xfId="11634" xr:uid="{BCE1A3F9-F0A8-4C09-BA1F-5557FA78674E}"/>
    <cellStyle name="Normal 8 2 6 3" xfId="5257" xr:uid="{00000000-0005-0000-0000-0000221D0000}"/>
    <cellStyle name="Normal 8 2 6 3 2" xfId="13707" xr:uid="{C12FC3D7-E13C-4B49-9697-C41F765BF5CB}"/>
    <cellStyle name="Normal 8 2 6 4" xfId="9489" xr:uid="{D36CA5AE-8966-4188-9C9A-2227E8952FF8}"/>
    <cellStyle name="Normal 8 2 7" xfId="1363" xr:uid="{00000000-0005-0000-0000-0000231D0000}"/>
    <cellStyle name="Normal 8 2 7 2" xfId="3593" xr:uid="{00000000-0005-0000-0000-0000241D0000}"/>
    <cellStyle name="Normal 8 2 7 2 2" xfId="7815" xr:uid="{00000000-0005-0000-0000-0000251D0000}"/>
    <cellStyle name="Normal 8 2 7 2 2 2" xfId="16265" xr:uid="{0BE582D7-13C5-445F-898C-E447EF16A3CA}"/>
    <cellStyle name="Normal 8 2 7 2 3" xfId="12047" xr:uid="{5621BE31-6676-46E5-B5AB-DBB1E92B0AD3}"/>
    <cellStyle name="Normal 8 2 7 3" xfId="5670" xr:uid="{00000000-0005-0000-0000-0000261D0000}"/>
    <cellStyle name="Normal 8 2 7 3 2" xfId="14120" xr:uid="{1C19C9DD-249C-4555-BE7B-E1796F19CC9A}"/>
    <cellStyle name="Normal 8 2 7 4" xfId="9902" xr:uid="{CE67B079-49AE-4D98-8C9D-8E146AC49BF3}"/>
    <cellStyle name="Normal 8 2 8" xfId="1776" xr:uid="{00000000-0005-0000-0000-0000271D0000}"/>
    <cellStyle name="Normal 8 2 8 2" xfId="4006" xr:uid="{00000000-0005-0000-0000-0000281D0000}"/>
    <cellStyle name="Normal 8 2 8 2 2" xfId="8228" xr:uid="{00000000-0005-0000-0000-0000291D0000}"/>
    <cellStyle name="Normal 8 2 8 2 2 2" xfId="16678" xr:uid="{B6575C24-3C0C-497F-A8E0-247572659F87}"/>
    <cellStyle name="Normal 8 2 8 2 3" xfId="12460" xr:uid="{0B3C38C7-103A-46C7-A4B2-A1374F238CC4}"/>
    <cellStyle name="Normal 8 2 8 3" xfId="6083" xr:uid="{00000000-0005-0000-0000-00002A1D0000}"/>
    <cellStyle name="Normal 8 2 8 3 2" xfId="14533" xr:uid="{3A9E0E11-72B0-4EBA-B116-63AACD04A3FA}"/>
    <cellStyle name="Normal 8 2 8 4" xfId="10315" xr:uid="{4A195674-2E4A-4DD8-8A13-DCFD4FBFB71B}"/>
    <cellStyle name="Normal 8 2 9" xfId="2190" xr:uid="{00000000-0005-0000-0000-00002B1D0000}"/>
    <cellStyle name="Normal 8 2 9 2" xfId="4419" xr:uid="{00000000-0005-0000-0000-00002C1D0000}"/>
    <cellStyle name="Normal 8 2 9 2 2" xfId="8641" xr:uid="{00000000-0005-0000-0000-00002D1D0000}"/>
    <cellStyle name="Normal 8 2 9 2 2 2" xfId="17091" xr:uid="{0001629B-08D7-4596-9A5E-0FAE1D17D2EF}"/>
    <cellStyle name="Normal 8 2 9 2 3" xfId="12873" xr:uid="{6B28C380-2CD4-498D-B740-7330FDAF6B95}"/>
    <cellStyle name="Normal 8 2 9 3" xfId="6496" xr:uid="{00000000-0005-0000-0000-00002E1D0000}"/>
    <cellStyle name="Normal 8 2 9 3 2" xfId="14946" xr:uid="{D997119B-03DD-4B90-BB3B-A2A1FAE4844A}"/>
    <cellStyle name="Normal 8 2 9 4" xfId="10728" xr:uid="{27F1147E-E289-4DA2-989D-4E7E87E0FD92}"/>
    <cellStyle name="Normal 8 3" xfId="495" xr:uid="{00000000-0005-0000-0000-00002F1D0000}"/>
    <cellStyle name="Normal 8 3 10" xfId="4860" xr:uid="{00000000-0005-0000-0000-0000301D0000}"/>
    <cellStyle name="Normal 8 3 10 2" xfId="13310" xr:uid="{A35C6910-C53D-4C1D-A8FB-F3ECC93A3FBB}"/>
    <cellStyle name="Normal 8 3 11" xfId="9092" xr:uid="{B46622B9-E985-40CD-9AA0-5168D339D811}"/>
    <cellStyle name="Normal 8 3 2" xfId="496" xr:uid="{00000000-0005-0000-0000-0000311D0000}"/>
    <cellStyle name="Normal 8 3 2 10" xfId="9093" xr:uid="{D07F0C1A-C6DF-4F15-B97F-A7156AA3680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A35680E1-F72C-450F-96B6-718999270768}"/>
    <cellStyle name="Normal 8 3 2 2 2 2 2 3" xfId="11653" xr:uid="{F4DB762A-8A95-420F-97F9-7AA4D0AD4F15}"/>
    <cellStyle name="Normal 8 3 2 2 2 2 3" xfId="5276" xr:uid="{00000000-0005-0000-0000-0000371D0000}"/>
    <cellStyle name="Normal 8 3 2 2 2 2 3 2" xfId="13726" xr:uid="{797873AA-70DE-4323-9155-4316DDD02C74}"/>
    <cellStyle name="Normal 8 3 2 2 2 2 4" xfId="9508" xr:uid="{4ECD0525-0254-4708-8766-D2659E597E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EF9A27C2-B272-4200-934D-655A5C8DE963}"/>
    <cellStyle name="Normal 8 3 2 2 2 3 2 3" xfId="12066" xr:uid="{4F9E9BD9-C995-4558-A47B-8EDF4B23419A}"/>
    <cellStyle name="Normal 8 3 2 2 2 3 3" xfId="5689" xr:uid="{00000000-0005-0000-0000-00003B1D0000}"/>
    <cellStyle name="Normal 8 3 2 2 2 3 3 2" xfId="14139" xr:uid="{CF4C9F53-1BAF-4B1C-992F-C61AD62FACB2}"/>
    <cellStyle name="Normal 8 3 2 2 2 3 4" xfId="9921" xr:uid="{709C494E-24E7-4ACA-A45D-9F72D80740F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C163767E-39A0-4324-925E-EB0873820D42}"/>
    <cellStyle name="Normal 8 3 2 2 2 4 2 3" xfId="12479" xr:uid="{C33F094A-C3B7-4E68-9A5B-012FF0C9D774}"/>
    <cellStyle name="Normal 8 3 2 2 2 4 3" xfId="6102" xr:uid="{00000000-0005-0000-0000-00003F1D0000}"/>
    <cellStyle name="Normal 8 3 2 2 2 4 3 2" xfId="14552" xr:uid="{C156127F-F38C-4111-A41A-92F6163B34E6}"/>
    <cellStyle name="Normal 8 3 2 2 2 4 4" xfId="10334" xr:uid="{8D3CCEF5-0624-4B30-AE8F-8F6F219D69FC}"/>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B4BB59F6-C37F-44BE-BBD7-5A85B69EFB3D}"/>
    <cellStyle name="Normal 8 3 2 2 2 5 2 3" xfId="12892" xr:uid="{D47D7270-4ECB-4433-96B5-CE87E85931B9}"/>
    <cellStyle name="Normal 8 3 2 2 2 5 3" xfId="6515" xr:uid="{00000000-0005-0000-0000-0000431D0000}"/>
    <cellStyle name="Normal 8 3 2 2 2 5 3 2" xfId="14965" xr:uid="{666E598D-EC7A-43D0-ADB3-9207B7C5DF18}"/>
    <cellStyle name="Normal 8 3 2 2 2 5 4" xfId="10747" xr:uid="{8999116A-369A-4EF8-8224-1C8E4E755C09}"/>
    <cellStyle name="Normal 8 3 2 2 2 6" xfId="2645" xr:uid="{00000000-0005-0000-0000-0000441D0000}"/>
    <cellStyle name="Normal 8 3 2 2 2 6 2" xfId="6928" xr:uid="{00000000-0005-0000-0000-0000451D0000}"/>
    <cellStyle name="Normal 8 3 2 2 2 6 2 2" xfId="15378" xr:uid="{21EE4831-C2BA-4EB9-8B16-150DEAAD516F}"/>
    <cellStyle name="Normal 8 3 2 2 2 6 3" xfId="11160" xr:uid="{7421E33B-1095-458E-A22D-77C094FFE3B1}"/>
    <cellStyle name="Normal 8 3 2 2 2 7" xfId="4863" xr:uid="{00000000-0005-0000-0000-0000461D0000}"/>
    <cellStyle name="Normal 8 3 2 2 2 7 2" xfId="13313" xr:uid="{21AD7109-1FD0-4232-82D6-5A185BDDE522}"/>
    <cellStyle name="Normal 8 3 2 2 2 8" xfId="9095" xr:uid="{E13CD433-C019-4997-8DA3-B00851293DD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774FCAE0-9052-4BF5-84C4-72B2C61AC3EC}"/>
    <cellStyle name="Normal 8 3 2 2 3 2 3" xfId="11652" xr:uid="{D0D1FE89-A43A-489E-B76F-02C4899A3215}"/>
    <cellStyle name="Normal 8 3 2 2 3 3" xfId="5275" xr:uid="{00000000-0005-0000-0000-00004A1D0000}"/>
    <cellStyle name="Normal 8 3 2 2 3 3 2" xfId="13725" xr:uid="{D28928E7-CECE-4F0F-A3D7-6DE59FD8119E}"/>
    <cellStyle name="Normal 8 3 2 2 3 4" xfId="9507" xr:uid="{55D185B3-11DA-4F2A-84BB-49BB56290420}"/>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A46E876C-11B6-4684-87C5-EC9354FE4F3D}"/>
    <cellStyle name="Normal 8 3 2 2 4 2 3" xfId="12065" xr:uid="{649DC5B2-3F80-4435-ADFA-6BB0DFCCB069}"/>
    <cellStyle name="Normal 8 3 2 2 4 3" xfId="5688" xr:uid="{00000000-0005-0000-0000-00004E1D0000}"/>
    <cellStyle name="Normal 8 3 2 2 4 3 2" xfId="14138" xr:uid="{1F1A3D48-2477-4070-9D70-38A6837D1D33}"/>
    <cellStyle name="Normal 8 3 2 2 4 4" xfId="9920" xr:uid="{E19F81B6-31B7-45D9-B9FC-3B3A301529EC}"/>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74F6790F-2E6F-46AF-B0D7-14DDC98709D1}"/>
    <cellStyle name="Normal 8 3 2 2 5 2 3" xfId="12478" xr:uid="{17C4890F-A7EF-400E-9611-A9943E1B50D8}"/>
    <cellStyle name="Normal 8 3 2 2 5 3" xfId="6101" xr:uid="{00000000-0005-0000-0000-0000521D0000}"/>
    <cellStyle name="Normal 8 3 2 2 5 3 2" xfId="14551" xr:uid="{732DA148-293F-4E6D-9C5D-88C265843AB4}"/>
    <cellStyle name="Normal 8 3 2 2 5 4" xfId="10333" xr:uid="{52CD5949-6DFE-4129-97D5-130100C4D41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643FF7F4-CE5B-456E-84CD-75AC136CDE5C}"/>
    <cellStyle name="Normal 8 3 2 2 6 2 3" xfId="12891" xr:uid="{1B0FCEB2-1713-403A-B716-31E978F85E64}"/>
    <cellStyle name="Normal 8 3 2 2 6 3" xfId="6514" xr:uid="{00000000-0005-0000-0000-0000561D0000}"/>
    <cellStyle name="Normal 8 3 2 2 6 3 2" xfId="14964" xr:uid="{E1C88A88-21BA-4B81-AF72-F2CAFBC68AFF}"/>
    <cellStyle name="Normal 8 3 2 2 6 4" xfId="10746" xr:uid="{56955D5A-DDEA-48F7-AE89-BB827D84AB0C}"/>
    <cellStyle name="Normal 8 3 2 2 7" xfId="2644" xr:uid="{00000000-0005-0000-0000-0000571D0000}"/>
    <cellStyle name="Normal 8 3 2 2 7 2" xfId="6927" xr:uid="{00000000-0005-0000-0000-0000581D0000}"/>
    <cellStyle name="Normal 8 3 2 2 7 2 2" xfId="15377" xr:uid="{96CF7F71-0521-42CD-8C4F-09BF2545EB2D}"/>
    <cellStyle name="Normal 8 3 2 2 7 3" xfId="11159" xr:uid="{DE0E8A18-CCFD-4540-B3FC-BB8CFBF28E85}"/>
    <cellStyle name="Normal 8 3 2 2 8" xfId="4862" xr:uid="{00000000-0005-0000-0000-0000591D0000}"/>
    <cellStyle name="Normal 8 3 2 2 8 2" xfId="13312" xr:uid="{A4E7BC9A-DD07-40C2-82FE-93D5CCCB6140}"/>
    <cellStyle name="Normal 8 3 2 2 9" xfId="9094" xr:uid="{FF900535-CF9E-4FC9-8B01-297E3821ED4F}"/>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BCFFDFF9-369F-425A-8952-9DFF978BDBCF}"/>
    <cellStyle name="Normal 8 3 2 3 2 2 3" xfId="11654" xr:uid="{4691E622-796C-4F18-B153-7EDAAC3FE9EB}"/>
    <cellStyle name="Normal 8 3 2 3 2 3" xfId="5277" xr:uid="{00000000-0005-0000-0000-00005E1D0000}"/>
    <cellStyle name="Normal 8 3 2 3 2 3 2" xfId="13727" xr:uid="{A0A3B81C-0592-4B0E-984C-C8FCF47AA2CF}"/>
    <cellStyle name="Normal 8 3 2 3 2 4" xfId="9509" xr:uid="{5C60177B-DE6C-4EA5-933E-83CF9D489293}"/>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AE104765-C818-4076-A9AC-CAFD51ADF060}"/>
    <cellStyle name="Normal 8 3 2 3 3 2 3" xfId="12067" xr:uid="{C598E698-A6DF-40D7-8D3F-06BDE9BC4DAE}"/>
    <cellStyle name="Normal 8 3 2 3 3 3" xfId="5690" xr:uid="{00000000-0005-0000-0000-0000621D0000}"/>
    <cellStyle name="Normal 8 3 2 3 3 3 2" xfId="14140" xr:uid="{6EB27130-B4AB-4714-8EB5-6DD86FCC9733}"/>
    <cellStyle name="Normal 8 3 2 3 3 4" xfId="9922" xr:uid="{7BFB1F9A-7F7C-4C59-817C-F774F5184B6D}"/>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16DB9502-7B25-468D-965F-B16418758710}"/>
    <cellStyle name="Normal 8 3 2 3 4 2 3" xfId="12480" xr:uid="{CEE96BE4-B076-4114-9CD8-6A1C86FF6DF8}"/>
    <cellStyle name="Normal 8 3 2 3 4 3" xfId="6103" xr:uid="{00000000-0005-0000-0000-0000661D0000}"/>
    <cellStyle name="Normal 8 3 2 3 4 3 2" xfId="14553" xr:uid="{AE997861-169B-45D3-911D-60B742C9A875}"/>
    <cellStyle name="Normal 8 3 2 3 4 4" xfId="10335" xr:uid="{32D6FD51-F10F-4218-85FA-D85C04D66FFD}"/>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25A72D4E-6FF6-4605-9B3C-0C372519882C}"/>
    <cellStyle name="Normal 8 3 2 3 5 2 3" xfId="12893" xr:uid="{340FDCF9-2629-4639-8748-4052DB9B37FD}"/>
    <cellStyle name="Normal 8 3 2 3 5 3" xfId="6516" xr:uid="{00000000-0005-0000-0000-00006A1D0000}"/>
    <cellStyle name="Normal 8 3 2 3 5 3 2" xfId="14966" xr:uid="{E6E19957-83EF-476B-96DF-F09988648D89}"/>
    <cellStyle name="Normal 8 3 2 3 5 4" xfId="10748" xr:uid="{B58AB63A-90A9-441A-B742-81B8A2AAF2C5}"/>
    <cellStyle name="Normal 8 3 2 3 6" xfId="2646" xr:uid="{00000000-0005-0000-0000-00006B1D0000}"/>
    <cellStyle name="Normal 8 3 2 3 6 2" xfId="6929" xr:uid="{00000000-0005-0000-0000-00006C1D0000}"/>
    <cellStyle name="Normal 8 3 2 3 6 2 2" xfId="15379" xr:uid="{E235B2DE-B865-4036-9856-26370C1E98E1}"/>
    <cellStyle name="Normal 8 3 2 3 6 3" xfId="11161" xr:uid="{3892A492-969C-4E7D-9EBA-9A4C84F62172}"/>
    <cellStyle name="Normal 8 3 2 3 7" xfId="4864" xr:uid="{00000000-0005-0000-0000-00006D1D0000}"/>
    <cellStyle name="Normal 8 3 2 3 7 2" xfId="13314" xr:uid="{A695F626-7D9A-47C7-87A6-F38488B2B7DC}"/>
    <cellStyle name="Normal 8 3 2 3 8" xfId="9096" xr:uid="{CDEFD4C0-AA10-49A7-8CCA-21CB75408024}"/>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2CD3862E-997C-48CC-9546-14B588392D87}"/>
    <cellStyle name="Normal 8 3 2 4 2 3" xfId="11651" xr:uid="{85D745D0-D2AF-487C-AA40-8C911552E119}"/>
    <cellStyle name="Normal 8 3 2 4 3" xfId="5274" xr:uid="{00000000-0005-0000-0000-0000711D0000}"/>
    <cellStyle name="Normal 8 3 2 4 3 2" xfId="13724" xr:uid="{211EE7C1-4ED8-4594-A3DE-0774116107FE}"/>
    <cellStyle name="Normal 8 3 2 4 4" xfId="9506" xr:uid="{D8F5E0D4-8A75-4B1A-8638-41D2AFA1E7B9}"/>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EB9F4C0-182B-448D-9A86-85B4BE44727A}"/>
    <cellStyle name="Normal 8 3 2 5 2 3" xfId="12064" xr:uid="{8220E945-0A79-4546-8B09-8A64C33BBB14}"/>
    <cellStyle name="Normal 8 3 2 5 3" xfId="5687" xr:uid="{00000000-0005-0000-0000-0000751D0000}"/>
    <cellStyle name="Normal 8 3 2 5 3 2" xfId="14137" xr:uid="{ADF8FFE1-0396-44CC-8AB3-7E8E31B5DD03}"/>
    <cellStyle name="Normal 8 3 2 5 4" xfId="9919" xr:uid="{9EC763C9-B6FA-4969-8CC6-6586ABD32208}"/>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C965FE61-F00F-4A5C-95A5-725ABEEDAC14}"/>
    <cellStyle name="Normal 8 3 2 6 2 3" xfId="12477" xr:uid="{63198D0A-340F-419B-9A5F-71E9AE3D11ED}"/>
    <cellStyle name="Normal 8 3 2 6 3" xfId="6100" xr:uid="{00000000-0005-0000-0000-0000791D0000}"/>
    <cellStyle name="Normal 8 3 2 6 3 2" xfId="14550" xr:uid="{BEB180A7-12F8-4F83-918F-D44A23457C3B}"/>
    <cellStyle name="Normal 8 3 2 6 4" xfId="10332" xr:uid="{058EDF6E-7A21-417E-B4A8-F152CD7F859D}"/>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5F5FC1E7-6DF2-46BC-A5C7-D95770EBAD29}"/>
    <cellStyle name="Normal 8 3 2 7 2 3" xfId="12890" xr:uid="{89AC7416-1C69-4D0C-A1F3-8CABE2068374}"/>
    <cellStyle name="Normal 8 3 2 7 3" xfId="6513" xr:uid="{00000000-0005-0000-0000-00007D1D0000}"/>
    <cellStyle name="Normal 8 3 2 7 3 2" xfId="14963" xr:uid="{AEEB57EA-9683-4173-BAB4-57ED7A155AB1}"/>
    <cellStyle name="Normal 8 3 2 7 4" xfId="10745" xr:uid="{CA9D5C5B-5E1A-41FB-80D2-41F33C144E23}"/>
    <cellStyle name="Normal 8 3 2 8" xfId="2643" xr:uid="{00000000-0005-0000-0000-00007E1D0000}"/>
    <cellStyle name="Normal 8 3 2 8 2" xfId="6926" xr:uid="{00000000-0005-0000-0000-00007F1D0000}"/>
    <cellStyle name="Normal 8 3 2 8 2 2" xfId="15376" xr:uid="{18B1CBB1-319C-4A7C-9295-51466313D82F}"/>
    <cellStyle name="Normal 8 3 2 8 3" xfId="11158" xr:uid="{149863D3-36D7-4846-B933-95CEE9E8ECBB}"/>
    <cellStyle name="Normal 8 3 2 9" xfId="4861" xr:uid="{00000000-0005-0000-0000-0000801D0000}"/>
    <cellStyle name="Normal 8 3 2 9 2" xfId="13311" xr:uid="{F878C9D4-0491-4304-AD61-A05469939987}"/>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80DB53F3-F5AC-4CFD-B948-DEF06EDB6BA9}"/>
    <cellStyle name="Normal 8 3 3 2 2 2 3" xfId="11656" xr:uid="{ABD0A4C0-FC05-44FF-8E26-003578D85F1C}"/>
    <cellStyle name="Normal 8 3 3 2 2 3" xfId="5279" xr:uid="{00000000-0005-0000-0000-0000861D0000}"/>
    <cellStyle name="Normal 8 3 3 2 2 3 2" xfId="13729" xr:uid="{CD64C375-DC7D-44B0-81E4-9A0CC8CF9555}"/>
    <cellStyle name="Normal 8 3 3 2 2 4" xfId="9511" xr:uid="{E3044654-5D9E-4EC7-BD81-52E01620116B}"/>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F12BF32C-9CB5-495D-8799-04978FC2DFBF}"/>
    <cellStyle name="Normal 8 3 3 2 3 2 3" xfId="12069" xr:uid="{A3CE04C0-AB0E-4855-9CA4-3DA00E0CC9A0}"/>
    <cellStyle name="Normal 8 3 3 2 3 3" xfId="5692" xr:uid="{00000000-0005-0000-0000-00008A1D0000}"/>
    <cellStyle name="Normal 8 3 3 2 3 3 2" xfId="14142" xr:uid="{0FAF442F-F1C2-4961-8F17-5C2C9B75215D}"/>
    <cellStyle name="Normal 8 3 3 2 3 4" xfId="9924" xr:uid="{6A498876-80CF-4BE7-B493-C3EEE7CC90C5}"/>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2318B84B-C8BF-4862-B27D-BCE156A073C4}"/>
    <cellStyle name="Normal 8 3 3 2 4 2 3" xfId="12482" xr:uid="{3D9C49AF-AE2F-476E-9E17-76C087A01C50}"/>
    <cellStyle name="Normal 8 3 3 2 4 3" xfId="6105" xr:uid="{00000000-0005-0000-0000-00008E1D0000}"/>
    <cellStyle name="Normal 8 3 3 2 4 3 2" xfId="14555" xr:uid="{4565782D-0B19-4406-A114-710474CEFA38}"/>
    <cellStyle name="Normal 8 3 3 2 4 4" xfId="10337" xr:uid="{4EA2E31E-ED27-4B0F-94CB-66ABAA19F898}"/>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A0477C05-5053-407F-BB7E-D07F20E30A4B}"/>
    <cellStyle name="Normal 8 3 3 2 5 2 3" xfId="12895" xr:uid="{A5B1D060-80C6-48E8-8113-70BC448B4F4B}"/>
    <cellStyle name="Normal 8 3 3 2 5 3" xfId="6518" xr:uid="{00000000-0005-0000-0000-0000921D0000}"/>
    <cellStyle name="Normal 8 3 3 2 5 3 2" xfId="14968" xr:uid="{408B2668-E574-4A3F-84D3-A0BA00FA8151}"/>
    <cellStyle name="Normal 8 3 3 2 5 4" xfId="10750" xr:uid="{48CFD061-AD44-4566-9389-7EAF69C6761C}"/>
    <cellStyle name="Normal 8 3 3 2 6" xfId="2648" xr:uid="{00000000-0005-0000-0000-0000931D0000}"/>
    <cellStyle name="Normal 8 3 3 2 6 2" xfId="6931" xr:uid="{00000000-0005-0000-0000-0000941D0000}"/>
    <cellStyle name="Normal 8 3 3 2 6 2 2" xfId="15381" xr:uid="{D2EBE550-0C8A-4AC1-8146-7A1FF84BEEE2}"/>
    <cellStyle name="Normal 8 3 3 2 6 3" xfId="11163" xr:uid="{7285819F-B7C9-449B-9F85-1D2FFA858E65}"/>
    <cellStyle name="Normal 8 3 3 2 7" xfId="4866" xr:uid="{00000000-0005-0000-0000-0000951D0000}"/>
    <cellStyle name="Normal 8 3 3 2 7 2" xfId="13316" xr:uid="{2EA95580-4E17-4BDD-9538-FADB3AA3AF3B}"/>
    <cellStyle name="Normal 8 3 3 2 8" xfId="9098" xr:uid="{59DD91B5-CDE9-4344-A026-46DF1D88AE92}"/>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54108C6D-F3AA-4AAF-89B6-097C196062D7}"/>
    <cellStyle name="Normal 8 3 3 3 2 3" xfId="11655" xr:uid="{DA453C3F-4642-46AF-8AA9-CBE3C9AE5197}"/>
    <cellStyle name="Normal 8 3 3 3 3" xfId="5278" xr:uid="{00000000-0005-0000-0000-0000991D0000}"/>
    <cellStyle name="Normal 8 3 3 3 3 2" xfId="13728" xr:uid="{0F751B49-9EFF-403D-89BC-5E62CAF9FB3D}"/>
    <cellStyle name="Normal 8 3 3 3 4" xfId="9510" xr:uid="{B494785A-62F0-4122-86E4-E2FEF06421A0}"/>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84D153E3-4EB3-43F6-B986-85C57592F6F2}"/>
    <cellStyle name="Normal 8 3 3 4 2 3" xfId="12068" xr:uid="{CD6E365B-E6BC-4E07-9015-F33B5CC5524F}"/>
    <cellStyle name="Normal 8 3 3 4 3" xfId="5691" xr:uid="{00000000-0005-0000-0000-00009D1D0000}"/>
    <cellStyle name="Normal 8 3 3 4 3 2" xfId="14141" xr:uid="{23CB4081-D278-48CC-9E6B-E92646933F3F}"/>
    <cellStyle name="Normal 8 3 3 4 4" xfId="9923" xr:uid="{A375BA48-1B5D-49B8-A798-DC454E03B0EE}"/>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2D29EC9C-49FE-482F-8BC4-0D7F992F91D6}"/>
    <cellStyle name="Normal 8 3 3 5 2 3" xfId="12481" xr:uid="{7BD79CAE-8F1F-49ED-8505-11C53989DA3F}"/>
    <cellStyle name="Normal 8 3 3 5 3" xfId="6104" xr:uid="{00000000-0005-0000-0000-0000A11D0000}"/>
    <cellStyle name="Normal 8 3 3 5 3 2" xfId="14554" xr:uid="{055DD204-7235-494B-A87F-D59AF85E735A}"/>
    <cellStyle name="Normal 8 3 3 5 4" xfId="10336" xr:uid="{B8B890E4-272E-45CF-B69B-6C3F52E7FB8B}"/>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9AD35EE9-3B92-4380-BB52-95A12CCB72CE}"/>
    <cellStyle name="Normal 8 3 3 6 2 3" xfId="12894" xr:uid="{8B2451D6-1590-4792-960E-65AFAA46E780}"/>
    <cellStyle name="Normal 8 3 3 6 3" xfId="6517" xr:uid="{00000000-0005-0000-0000-0000A51D0000}"/>
    <cellStyle name="Normal 8 3 3 6 3 2" xfId="14967" xr:uid="{2BC1A922-96AD-4F86-B160-FCA339B33DD6}"/>
    <cellStyle name="Normal 8 3 3 6 4" xfId="10749" xr:uid="{1A360E9D-BC88-4E30-AE8B-8E8D520110CC}"/>
    <cellStyle name="Normal 8 3 3 7" xfId="2647" xr:uid="{00000000-0005-0000-0000-0000A61D0000}"/>
    <cellStyle name="Normal 8 3 3 7 2" xfId="6930" xr:uid="{00000000-0005-0000-0000-0000A71D0000}"/>
    <cellStyle name="Normal 8 3 3 7 2 2" xfId="15380" xr:uid="{69CA7353-4A69-4DC9-A180-16172724F31D}"/>
    <cellStyle name="Normal 8 3 3 7 3" xfId="11162" xr:uid="{8400B5F8-EAB1-48E0-96C8-A6558B5B57C0}"/>
    <cellStyle name="Normal 8 3 3 8" xfId="4865" xr:uid="{00000000-0005-0000-0000-0000A81D0000}"/>
    <cellStyle name="Normal 8 3 3 8 2" xfId="13315" xr:uid="{134D72B3-DEE8-438F-92CA-49993871D9BC}"/>
    <cellStyle name="Normal 8 3 3 9" xfId="9097" xr:uid="{D050A317-2EF1-44EB-80AA-238CE6B4DB5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966E3AFF-4D33-4A87-B38C-9DA268557894}"/>
    <cellStyle name="Normal 8 3 4 2 2 3" xfId="11657" xr:uid="{46B9E843-7A31-4CFE-A1E2-692E227931ED}"/>
    <cellStyle name="Normal 8 3 4 2 3" xfId="5280" xr:uid="{00000000-0005-0000-0000-0000AD1D0000}"/>
    <cellStyle name="Normal 8 3 4 2 3 2" xfId="13730" xr:uid="{3A0F707D-11B2-4A99-A642-667736E901BF}"/>
    <cellStyle name="Normal 8 3 4 2 4" xfId="9512" xr:uid="{7D818085-E295-4172-A266-C4B86DF2976D}"/>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755C30C1-1366-4804-B0B3-2C565FBDDAE3}"/>
    <cellStyle name="Normal 8 3 4 3 2 3" xfId="12070" xr:uid="{A9FADBA1-3469-4501-BC8F-E7EDFC5876AF}"/>
    <cellStyle name="Normal 8 3 4 3 3" xfId="5693" xr:uid="{00000000-0005-0000-0000-0000B11D0000}"/>
    <cellStyle name="Normal 8 3 4 3 3 2" xfId="14143" xr:uid="{0B87611C-843A-45FC-8871-7857CFB6BFE3}"/>
    <cellStyle name="Normal 8 3 4 3 4" xfId="9925" xr:uid="{CAE350EB-4E03-48D0-ADF5-547E7A178530}"/>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7198FC60-6ACC-48BA-9161-0A78EBCD3A0D}"/>
    <cellStyle name="Normal 8 3 4 4 2 3" xfId="12483" xr:uid="{DAFB892A-0EC2-4DFF-A6D6-C5348845DA02}"/>
    <cellStyle name="Normal 8 3 4 4 3" xfId="6106" xr:uid="{00000000-0005-0000-0000-0000B51D0000}"/>
    <cellStyle name="Normal 8 3 4 4 3 2" xfId="14556" xr:uid="{F6033435-7CB2-45AC-B55F-E15AA04CBB12}"/>
    <cellStyle name="Normal 8 3 4 4 4" xfId="10338" xr:uid="{8F6458AF-CFBD-48AD-9625-7995293B9CE0}"/>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C043AB4E-8C9B-4FF0-9197-CF45E6CAC59A}"/>
    <cellStyle name="Normal 8 3 4 5 2 3" xfId="12896" xr:uid="{B08CCE19-418B-428F-BBCB-8C38E22A7F4A}"/>
    <cellStyle name="Normal 8 3 4 5 3" xfId="6519" xr:uid="{00000000-0005-0000-0000-0000B91D0000}"/>
    <cellStyle name="Normal 8 3 4 5 3 2" xfId="14969" xr:uid="{A52B8B11-6C7E-4755-B41C-7C4092B13DA1}"/>
    <cellStyle name="Normal 8 3 4 5 4" xfId="10751" xr:uid="{934BE828-4828-4BAF-A6D9-C0FF1F089208}"/>
    <cellStyle name="Normal 8 3 4 6" xfId="2649" xr:uid="{00000000-0005-0000-0000-0000BA1D0000}"/>
    <cellStyle name="Normal 8 3 4 6 2" xfId="6932" xr:uid="{00000000-0005-0000-0000-0000BB1D0000}"/>
    <cellStyle name="Normal 8 3 4 6 2 2" xfId="15382" xr:uid="{F8CDA02B-DC79-48ED-B93C-C259B2E09C07}"/>
    <cellStyle name="Normal 8 3 4 6 3" xfId="11164" xr:uid="{F55F2CD0-C091-4513-80A4-2F1D2A8AFCE1}"/>
    <cellStyle name="Normal 8 3 4 7" xfId="4867" xr:uid="{00000000-0005-0000-0000-0000BC1D0000}"/>
    <cellStyle name="Normal 8 3 4 7 2" xfId="13317" xr:uid="{D3DF1926-0BA6-47B9-9050-7216FC2539CE}"/>
    <cellStyle name="Normal 8 3 4 8" xfId="9099" xr:uid="{5451C4F8-785B-48BE-AD1B-EDFC0B082589}"/>
    <cellStyle name="Normal 8 3 5" xfId="962" xr:uid="{00000000-0005-0000-0000-0000BD1D0000}"/>
    <cellStyle name="Normal 8 3 5 2" xfId="3196" xr:uid="{00000000-0005-0000-0000-0000BE1D0000}"/>
    <cellStyle name="Normal 8 3 5 2 2" xfId="7418" xr:uid="{00000000-0005-0000-0000-0000BF1D0000}"/>
    <cellStyle name="Normal 8 3 5 2 2 2" xfId="15868" xr:uid="{33EC8D12-E54A-48AB-8B75-C9D0406BBAFF}"/>
    <cellStyle name="Normal 8 3 5 2 3" xfId="11650" xr:uid="{EC9E28B2-D35A-4BCB-B9FB-87B4E1494505}"/>
    <cellStyle name="Normal 8 3 5 3" xfId="5273" xr:uid="{00000000-0005-0000-0000-0000C01D0000}"/>
    <cellStyle name="Normal 8 3 5 3 2" xfId="13723" xr:uid="{614A851F-96D4-4A4B-A60F-7EB947773110}"/>
    <cellStyle name="Normal 8 3 5 4" xfId="9505" xr:uid="{0159CD5F-B077-469E-B0B8-B0B4A839ECCF}"/>
    <cellStyle name="Normal 8 3 6" xfId="1379" xr:uid="{00000000-0005-0000-0000-0000C11D0000}"/>
    <cellStyle name="Normal 8 3 6 2" xfId="3609" xr:uid="{00000000-0005-0000-0000-0000C21D0000}"/>
    <cellStyle name="Normal 8 3 6 2 2" xfId="7831" xr:uid="{00000000-0005-0000-0000-0000C31D0000}"/>
    <cellStyle name="Normal 8 3 6 2 2 2" xfId="16281" xr:uid="{E2A196F5-42A0-422D-977A-B44A8EA50612}"/>
    <cellStyle name="Normal 8 3 6 2 3" xfId="12063" xr:uid="{50BBB859-6191-431E-B787-4BB0B9DD93AB}"/>
    <cellStyle name="Normal 8 3 6 3" xfId="5686" xr:uid="{00000000-0005-0000-0000-0000C41D0000}"/>
    <cellStyle name="Normal 8 3 6 3 2" xfId="14136" xr:uid="{0D1E05D9-8CD5-4EB3-AF23-EF46AF56E376}"/>
    <cellStyle name="Normal 8 3 6 4" xfId="9918" xr:uid="{3934D027-7464-42DA-AC91-96BEDA2A5529}"/>
    <cellStyle name="Normal 8 3 7" xfId="1792" xr:uid="{00000000-0005-0000-0000-0000C51D0000}"/>
    <cellStyle name="Normal 8 3 7 2" xfId="4022" xr:uid="{00000000-0005-0000-0000-0000C61D0000}"/>
    <cellStyle name="Normal 8 3 7 2 2" xfId="8244" xr:uid="{00000000-0005-0000-0000-0000C71D0000}"/>
    <cellStyle name="Normal 8 3 7 2 2 2" xfId="16694" xr:uid="{99FE8606-3A34-40CB-A929-31D0118138B4}"/>
    <cellStyle name="Normal 8 3 7 2 3" xfId="12476" xr:uid="{26EB4CB1-030A-4F6C-9477-6C81D8ABC604}"/>
    <cellStyle name="Normal 8 3 7 3" xfId="6099" xr:uid="{00000000-0005-0000-0000-0000C81D0000}"/>
    <cellStyle name="Normal 8 3 7 3 2" xfId="14549" xr:uid="{66DD466E-E314-456C-8C17-B3843E5FA249}"/>
    <cellStyle name="Normal 8 3 7 4" xfId="10331" xr:uid="{EF97AC62-B006-4ECD-86C3-4A77AFC1116B}"/>
    <cellStyle name="Normal 8 3 8" xfId="2206" xr:uid="{00000000-0005-0000-0000-0000C91D0000}"/>
    <cellStyle name="Normal 8 3 8 2" xfId="4435" xr:uid="{00000000-0005-0000-0000-0000CA1D0000}"/>
    <cellStyle name="Normal 8 3 8 2 2" xfId="8657" xr:uid="{00000000-0005-0000-0000-0000CB1D0000}"/>
    <cellStyle name="Normal 8 3 8 2 2 2" xfId="17107" xr:uid="{F0B9D5F4-7BD2-4EB4-BAF2-06D39C7C6E43}"/>
    <cellStyle name="Normal 8 3 8 2 3" xfId="12889" xr:uid="{3EED4982-99A3-4EBC-99BA-7D7CBEB3413C}"/>
    <cellStyle name="Normal 8 3 8 3" xfId="6512" xr:uid="{00000000-0005-0000-0000-0000CC1D0000}"/>
    <cellStyle name="Normal 8 3 8 3 2" xfId="14962" xr:uid="{F78C0436-35B3-4F56-AEAC-154FD33AEE8C}"/>
    <cellStyle name="Normal 8 3 8 4" xfId="10744" xr:uid="{6E6F5B8F-CFA3-4FC0-985E-ABD731C11490}"/>
    <cellStyle name="Normal 8 3 9" xfId="2642" xr:uid="{00000000-0005-0000-0000-0000CD1D0000}"/>
    <cellStyle name="Normal 8 3 9 2" xfId="6925" xr:uid="{00000000-0005-0000-0000-0000CE1D0000}"/>
    <cellStyle name="Normal 8 3 9 2 2" xfId="15375" xr:uid="{4CEE2B0B-9169-4734-9B62-F9083EA0BC3B}"/>
    <cellStyle name="Normal 8 3 9 3" xfId="11157" xr:uid="{D99661B8-696A-481E-8D56-BE569F44A215}"/>
    <cellStyle name="Normal 8 4" xfId="503" xr:uid="{00000000-0005-0000-0000-0000CF1D0000}"/>
    <cellStyle name="Normal 8 4 10" xfId="9100" xr:uid="{BC235FE8-6840-4954-A9CF-D546569FAF79}"/>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BF37B2F3-C22B-48D9-8596-6679826F34EC}"/>
    <cellStyle name="Normal 8 4 2 2 2 2 3" xfId="11660" xr:uid="{7E203732-5C74-45ED-8C31-DE6F54C26C5D}"/>
    <cellStyle name="Normal 8 4 2 2 2 3" xfId="5283" xr:uid="{00000000-0005-0000-0000-0000D51D0000}"/>
    <cellStyle name="Normal 8 4 2 2 2 3 2" xfId="13733" xr:uid="{AD99DEA0-BBF4-4D59-86AD-1F79090D933B}"/>
    <cellStyle name="Normal 8 4 2 2 2 4" xfId="9515" xr:uid="{92E1F685-3C60-47D0-BC66-188F2DB5F9A2}"/>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C81D1DF2-3FB7-4A06-8E16-196CE44E8951}"/>
    <cellStyle name="Normal 8 4 2 2 3 2 3" xfId="12073" xr:uid="{1AF02A5D-5C6A-4DCE-80B9-374FEB253F2C}"/>
    <cellStyle name="Normal 8 4 2 2 3 3" xfId="5696" xr:uid="{00000000-0005-0000-0000-0000D91D0000}"/>
    <cellStyle name="Normal 8 4 2 2 3 3 2" xfId="14146" xr:uid="{3335E1A1-18E6-4FA7-8947-C264B2354FE2}"/>
    <cellStyle name="Normal 8 4 2 2 3 4" xfId="9928" xr:uid="{D5B5E9B1-99E8-43B9-980A-5FE85700AAE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54707E67-37AA-4AF4-8343-A1F976ABCDCD}"/>
    <cellStyle name="Normal 8 4 2 2 4 2 3" xfId="12486" xr:uid="{A735648D-3244-4891-9169-D28E350F5009}"/>
    <cellStyle name="Normal 8 4 2 2 4 3" xfId="6109" xr:uid="{00000000-0005-0000-0000-0000DD1D0000}"/>
    <cellStyle name="Normal 8 4 2 2 4 3 2" xfId="14559" xr:uid="{41D7784A-00CB-427C-AECC-30746E8B5D89}"/>
    <cellStyle name="Normal 8 4 2 2 4 4" xfId="10341" xr:uid="{7ADCE72F-4A40-4DD5-9187-C4346E8F4C9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889E461E-5987-4DBD-913E-AF41D5860763}"/>
    <cellStyle name="Normal 8 4 2 2 5 2 3" xfId="12899" xr:uid="{3EEFEEF7-FEC8-49F3-BB9F-964595C19782}"/>
    <cellStyle name="Normal 8 4 2 2 5 3" xfId="6522" xr:uid="{00000000-0005-0000-0000-0000E11D0000}"/>
    <cellStyle name="Normal 8 4 2 2 5 3 2" xfId="14972" xr:uid="{BF1E504D-19BB-42EA-BE19-998AFA5A3F23}"/>
    <cellStyle name="Normal 8 4 2 2 5 4" xfId="10754" xr:uid="{4671E781-052C-4FF1-A678-0D67D7682090}"/>
    <cellStyle name="Normal 8 4 2 2 6" xfId="2652" xr:uid="{00000000-0005-0000-0000-0000E21D0000}"/>
    <cellStyle name="Normal 8 4 2 2 6 2" xfId="6935" xr:uid="{00000000-0005-0000-0000-0000E31D0000}"/>
    <cellStyle name="Normal 8 4 2 2 6 2 2" xfId="15385" xr:uid="{41253C38-3578-4906-8723-0CD93088E7E4}"/>
    <cellStyle name="Normal 8 4 2 2 6 3" xfId="11167" xr:uid="{CE3DC827-BD59-4567-8EEC-43BBF1A0713E}"/>
    <cellStyle name="Normal 8 4 2 2 7" xfId="4870" xr:uid="{00000000-0005-0000-0000-0000E41D0000}"/>
    <cellStyle name="Normal 8 4 2 2 7 2" xfId="13320" xr:uid="{55B198D6-6578-4D60-BC38-57F210D639AA}"/>
    <cellStyle name="Normal 8 4 2 2 8" xfId="9102" xr:uid="{CE83F49A-E5CE-4B98-8105-0A2DFE635096}"/>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E9C7AE03-7BF6-474C-8358-E22917390209}"/>
    <cellStyle name="Normal 8 4 2 3 2 3" xfId="11659" xr:uid="{72B0E158-9ACF-4581-A05F-B8A5A544B7E7}"/>
    <cellStyle name="Normal 8 4 2 3 3" xfId="5282" xr:uid="{00000000-0005-0000-0000-0000E81D0000}"/>
    <cellStyle name="Normal 8 4 2 3 3 2" xfId="13732" xr:uid="{C63706A0-EA54-45B5-9F35-3E6FC46FD995}"/>
    <cellStyle name="Normal 8 4 2 3 4" xfId="9514" xr:uid="{9ACEE974-CF2D-4CF1-B8BB-F121827618D3}"/>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12BBF27E-1551-42F6-81CA-EA814C4795D6}"/>
    <cellStyle name="Normal 8 4 2 4 2 3" xfId="12072" xr:uid="{583ABD57-B463-4E7A-88CE-080AD8DC2DF2}"/>
    <cellStyle name="Normal 8 4 2 4 3" xfId="5695" xr:uid="{00000000-0005-0000-0000-0000EC1D0000}"/>
    <cellStyle name="Normal 8 4 2 4 3 2" xfId="14145" xr:uid="{555ECC1A-B63E-4C44-A279-AB63416CD439}"/>
    <cellStyle name="Normal 8 4 2 4 4" xfId="9927" xr:uid="{EC03CBC5-02D7-45A6-A575-98FB4A76690D}"/>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EEF8A7ED-8773-4D8A-B0F3-D47E51611438}"/>
    <cellStyle name="Normal 8 4 2 5 2 3" xfId="12485" xr:uid="{702FB234-779C-4C1E-BE19-60F3AEB96615}"/>
    <cellStyle name="Normal 8 4 2 5 3" xfId="6108" xr:uid="{00000000-0005-0000-0000-0000F01D0000}"/>
    <cellStyle name="Normal 8 4 2 5 3 2" xfId="14558" xr:uid="{982D0B1E-DB7F-4BE5-BEE8-BE12A2DDB0ED}"/>
    <cellStyle name="Normal 8 4 2 5 4" xfId="10340" xr:uid="{ADFC9CB5-70BF-497A-B66F-ECAE9EFA0EFD}"/>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20414DC0-2FE2-48F6-AFE4-C41CD3C4863F}"/>
    <cellStyle name="Normal 8 4 2 6 2 3" xfId="12898" xr:uid="{074C45A4-2AEC-40F7-ADA0-39163657784E}"/>
    <cellStyle name="Normal 8 4 2 6 3" xfId="6521" xr:uid="{00000000-0005-0000-0000-0000F41D0000}"/>
    <cellStyle name="Normal 8 4 2 6 3 2" xfId="14971" xr:uid="{55C07CCF-B68E-41E9-B36A-E360FF946BDF}"/>
    <cellStyle name="Normal 8 4 2 6 4" xfId="10753" xr:uid="{E44A5998-BB20-4162-887B-DDD5A7ADD334}"/>
    <cellStyle name="Normal 8 4 2 7" xfId="2651" xr:uid="{00000000-0005-0000-0000-0000F51D0000}"/>
    <cellStyle name="Normal 8 4 2 7 2" xfId="6934" xr:uid="{00000000-0005-0000-0000-0000F61D0000}"/>
    <cellStyle name="Normal 8 4 2 7 2 2" xfId="15384" xr:uid="{1D99F50C-5FAF-44AB-94BD-EF213693A22E}"/>
    <cellStyle name="Normal 8 4 2 7 3" xfId="11166" xr:uid="{E2B202C8-A694-4DC4-A488-19D64C49505E}"/>
    <cellStyle name="Normal 8 4 2 8" xfId="4869" xr:uid="{00000000-0005-0000-0000-0000F71D0000}"/>
    <cellStyle name="Normal 8 4 2 8 2" xfId="13319" xr:uid="{4003AF2A-6947-4E78-88E0-E43AC57C4921}"/>
    <cellStyle name="Normal 8 4 2 9" xfId="9101" xr:uid="{CF4B5F94-3D8A-4C0F-851A-0F9ACECCD625}"/>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60964438-8EB9-4551-BBC1-0B5B7339A2B4}"/>
    <cellStyle name="Normal 8 4 3 2 2 3" xfId="11661" xr:uid="{E390197B-D809-4980-9C98-192571A35305}"/>
    <cellStyle name="Normal 8 4 3 2 3" xfId="5284" xr:uid="{00000000-0005-0000-0000-0000FC1D0000}"/>
    <cellStyle name="Normal 8 4 3 2 3 2" xfId="13734" xr:uid="{69D5AE45-98D2-46FB-9B5C-E12ED8FC7CD0}"/>
    <cellStyle name="Normal 8 4 3 2 4" xfId="9516" xr:uid="{C6DFE6D9-8874-4442-9036-D6B183A3AE83}"/>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BA21ABCC-C297-440A-ADB9-7CF1A6C40F31}"/>
    <cellStyle name="Normal 8 4 3 3 2 3" xfId="12074" xr:uid="{2389DF27-E42C-4DA5-A923-B53363F2FCA6}"/>
    <cellStyle name="Normal 8 4 3 3 3" xfId="5697" xr:uid="{00000000-0005-0000-0000-0000001E0000}"/>
    <cellStyle name="Normal 8 4 3 3 3 2" xfId="14147" xr:uid="{A3F80993-F5D9-4BEA-9292-9BAE77B3869B}"/>
    <cellStyle name="Normal 8 4 3 3 4" xfId="9929" xr:uid="{703DD7CD-6DDA-4D8A-8EB7-551B4BEDBAAB}"/>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6FD9B04C-20D2-42B6-8C08-4309F1AC16BF}"/>
    <cellStyle name="Normal 8 4 3 4 2 3" xfId="12487" xr:uid="{D35C9343-3DD8-4609-AFF8-7815DD90028E}"/>
    <cellStyle name="Normal 8 4 3 4 3" xfId="6110" xr:uid="{00000000-0005-0000-0000-0000041E0000}"/>
    <cellStyle name="Normal 8 4 3 4 3 2" xfId="14560" xr:uid="{9D44F03D-C2B3-48CF-9DB5-F5FA6CEA850E}"/>
    <cellStyle name="Normal 8 4 3 4 4" xfId="10342" xr:uid="{7DD172AD-C33E-4D22-80EE-58A67A6399B0}"/>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DBAE01F8-5350-498A-A5B5-A31D7B595E92}"/>
    <cellStyle name="Normal 8 4 3 5 2 3" xfId="12900" xr:uid="{4585CB71-7424-45C6-8E9B-E9A433C21387}"/>
    <cellStyle name="Normal 8 4 3 5 3" xfId="6523" xr:uid="{00000000-0005-0000-0000-0000081E0000}"/>
    <cellStyle name="Normal 8 4 3 5 3 2" xfId="14973" xr:uid="{238F9674-512E-4357-BE0B-80FB7707F022}"/>
    <cellStyle name="Normal 8 4 3 5 4" xfId="10755" xr:uid="{D2BE869B-CC2E-4F61-9E66-1A2823DEBDB0}"/>
    <cellStyle name="Normal 8 4 3 6" xfId="2653" xr:uid="{00000000-0005-0000-0000-0000091E0000}"/>
    <cellStyle name="Normal 8 4 3 6 2" xfId="6936" xr:uid="{00000000-0005-0000-0000-00000A1E0000}"/>
    <cellStyle name="Normal 8 4 3 6 2 2" xfId="15386" xr:uid="{F6AF351C-223C-47B4-8F3E-31FEA17A8E09}"/>
    <cellStyle name="Normal 8 4 3 6 3" xfId="11168" xr:uid="{605431BD-2591-4075-BEC8-E6D6D8D58FFA}"/>
    <cellStyle name="Normal 8 4 3 7" xfId="4871" xr:uid="{00000000-0005-0000-0000-00000B1E0000}"/>
    <cellStyle name="Normal 8 4 3 7 2" xfId="13321" xr:uid="{16F2A1C8-FC80-40A7-A096-A0A3820EA4D5}"/>
    <cellStyle name="Normal 8 4 3 8" xfId="9103" xr:uid="{6349EDE3-888E-4AF7-863A-B218518786D4}"/>
    <cellStyle name="Normal 8 4 4" xfId="970" xr:uid="{00000000-0005-0000-0000-00000C1E0000}"/>
    <cellStyle name="Normal 8 4 4 2" xfId="3204" xr:uid="{00000000-0005-0000-0000-00000D1E0000}"/>
    <cellStyle name="Normal 8 4 4 2 2" xfId="7426" xr:uid="{00000000-0005-0000-0000-00000E1E0000}"/>
    <cellStyle name="Normal 8 4 4 2 2 2" xfId="15876" xr:uid="{D131C3BA-904F-4A95-A89F-65282BE266C9}"/>
    <cellStyle name="Normal 8 4 4 2 3" xfId="11658" xr:uid="{2CED3FE9-0A8E-4F0F-BFC3-8DFEA7231D6D}"/>
    <cellStyle name="Normal 8 4 4 3" xfId="5281" xr:uid="{00000000-0005-0000-0000-00000F1E0000}"/>
    <cellStyle name="Normal 8 4 4 3 2" xfId="13731" xr:uid="{1F54D0C6-9AE3-48B8-9489-40AEDF2355C1}"/>
    <cellStyle name="Normal 8 4 4 4" xfId="9513" xr:uid="{A177ACDA-0B1A-47AA-8C35-4A3E25AD71DC}"/>
    <cellStyle name="Normal 8 4 5" xfId="1387" xr:uid="{00000000-0005-0000-0000-0000101E0000}"/>
    <cellStyle name="Normal 8 4 5 2" xfId="3617" xr:uid="{00000000-0005-0000-0000-0000111E0000}"/>
    <cellStyle name="Normal 8 4 5 2 2" xfId="7839" xr:uid="{00000000-0005-0000-0000-0000121E0000}"/>
    <cellStyle name="Normal 8 4 5 2 2 2" xfId="16289" xr:uid="{844A36BE-BC89-43C6-8740-898E553EC944}"/>
    <cellStyle name="Normal 8 4 5 2 3" xfId="12071" xr:uid="{DB854065-899C-4491-80BF-7D12640FF39E}"/>
    <cellStyle name="Normal 8 4 5 3" xfId="5694" xr:uid="{00000000-0005-0000-0000-0000131E0000}"/>
    <cellStyle name="Normal 8 4 5 3 2" xfId="14144" xr:uid="{5748A242-492A-4AAB-AF34-88DF3EF2BE7E}"/>
    <cellStyle name="Normal 8 4 5 4" xfId="9926" xr:uid="{C0032CF7-E2C8-4580-9891-F11798ECF487}"/>
    <cellStyle name="Normal 8 4 6" xfId="1800" xr:uid="{00000000-0005-0000-0000-0000141E0000}"/>
    <cellStyle name="Normal 8 4 6 2" xfId="4030" xr:uid="{00000000-0005-0000-0000-0000151E0000}"/>
    <cellStyle name="Normal 8 4 6 2 2" xfId="8252" xr:uid="{00000000-0005-0000-0000-0000161E0000}"/>
    <cellStyle name="Normal 8 4 6 2 2 2" xfId="16702" xr:uid="{D3A45D3C-27F4-466F-ABD2-67F35D2C2B8E}"/>
    <cellStyle name="Normal 8 4 6 2 3" xfId="12484" xr:uid="{E17A7D46-58D8-48D1-A764-7BC1EF45E926}"/>
    <cellStyle name="Normal 8 4 6 3" xfId="6107" xr:uid="{00000000-0005-0000-0000-0000171E0000}"/>
    <cellStyle name="Normal 8 4 6 3 2" xfId="14557" xr:uid="{9403848E-5D9A-4BD3-83D6-C551FDF4550F}"/>
    <cellStyle name="Normal 8 4 6 4" xfId="10339" xr:uid="{7AD750A8-A779-41A3-859A-38C9EECC6705}"/>
    <cellStyle name="Normal 8 4 7" xfId="2214" xr:uid="{00000000-0005-0000-0000-0000181E0000}"/>
    <cellStyle name="Normal 8 4 7 2" xfId="4443" xr:uid="{00000000-0005-0000-0000-0000191E0000}"/>
    <cellStyle name="Normal 8 4 7 2 2" xfId="8665" xr:uid="{00000000-0005-0000-0000-00001A1E0000}"/>
    <cellStyle name="Normal 8 4 7 2 2 2" xfId="17115" xr:uid="{7D8A1EC6-5B15-4C99-A82D-6D772345463D}"/>
    <cellStyle name="Normal 8 4 7 2 3" xfId="12897" xr:uid="{B1EDEB69-C6E0-423A-82F0-BC5C15A4DCD4}"/>
    <cellStyle name="Normal 8 4 7 3" xfId="6520" xr:uid="{00000000-0005-0000-0000-00001B1E0000}"/>
    <cellStyle name="Normal 8 4 7 3 2" xfId="14970" xr:uid="{007FFBA4-42E5-412C-AD97-6D9AB719FEBC}"/>
    <cellStyle name="Normal 8 4 7 4" xfId="10752" xr:uid="{74986790-C176-43EC-B523-E0254372C374}"/>
    <cellStyle name="Normal 8 4 8" xfId="2650" xr:uid="{00000000-0005-0000-0000-00001C1E0000}"/>
    <cellStyle name="Normal 8 4 8 2" xfId="6933" xr:uid="{00000000-0005-0000-0000-00001D1E0000}"/>
    <cellStyle name="Normal 8 4 8 2 2" xfId="15383" xr:uid="{2515A919-79A9-4CCB-B97D-1E0B6E9F9017}"/>
    <cellStyle name="Normal 8 4 8 3" xfId="11165" xr:uid="{93F17F6C-8D97-4E20-9AB9-3FC5B6CDDC88}"/>
    <cellStyle name="Normal 8 4 9" xfId="4868" xr:uid="{00000000-0005-0000-0000-00001E1E0000}"/>
    <cellStyle name="Normal 8 4 9 2" xfId="13318" xr:uid="{329E6AF2-FF6D-408A-A2A4-21F848AAEE63}"/>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A06AC8A6-0302-4B8A-B80D-8B803F99A301}"/>
    <cellStyle name="Normal 8 5 2 2 2 3" xfId="11663" xr:uid="{C26D6717-940C-47F0-89C4-6F6F5E7BCBB7}"/>
    <cellStyle name="Normal 8 5 2 2 3" xfId="5286" xr:uid="{00000000-0005-0000-0000-0000241E0000}"/>
    <cellStyle name="Normal 8 5 2 2 3 2" xfId="13736" xr:uid="{6AC8332A-9ECD-4E11-A183-08AD3496B503}"/>
    <cellStyle name="Normal 8 5 2 2 4" xfId="9518" xr:uid="{95D82F8A-44B9-4CA0-A7C2-354A2ED38EA8}"/>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226B1544-A855-47F6-90A5-2066A8DA6F37}"/>
    <cellStyle name="Normal 8 5 2 3 2 3" xfId="12076" xr:uid="{1FC269D0-324C-487A-992B-CCD21F67DDF3}"/>
    <cellStyle name="Normal 8 5 2 3 3" xfId="5699" xr:uid="{00000000-0005-0000-0000-0000281E0000}"/>
    <cellStyle name="Normal 8 5 2 3 3 2" xfId="14149" xr:uid="{C036DFAD-205A-4EF7-83A5-25D8739EDF41}"/>
    <cellStyle name="Normal 8 5 2 3 4" xfId="9931" xr:uid="{A38141E0-EEE6-4634-9970-0B8CD9337EA6}"/>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C0505FBF-D83D-417D-AC30-04F18432A432}"/>
    <cellStyle name="Normal 8 5 2 4 2 3" xfId="12489" xr:uid="{7B00E998-7060-4187-BB5E-72DA35377874}"/>
    <cellStyle name="Normal 8 5 2 4 3" xfId="6112" xr:uid="{00000000-0005-0000-0000-00002C1E0000}"/>
    <cellStyle name="Normal 8 5 2 4 3 2" xfId="14562" xr:uid="{0F25ADBA-9D23-4053-948A-C0D79A0B227A}"/>
    <cellStyle name="Normal 8 5 2 4 4" xfId="10344" xr:uid="{A57ABD0F-6AE6-4603-B060-CA76A326CFF4}"/>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C5C7B7C2-E5AF-481E-B06D-05E5018605C8}"/>
    <cellStyle name="Normal 8 5 2 5 2 3" xfId="12902" xr:uid="{09E3D705-D43C-406A-AEC9-552616B51F3D}"/>
    <cellStyle name="Normal 8 5 2 5 3" xfId="6525" xr:uid="{00000000-0005-0000-0000-0000301E0000}"/>
    <cellStyle name="Normal 8 5 2 5 3 2" xfId="14975" xr:uid="{5E79963A-4695-4A36-9674-3ACB5F17AEAB}"/>
    <cellStyle name="Normal 8 5 2 5 4" xfId="10757" xr:uid="{145A8293-6003-40F9-91E7-9FC46F2473B3}"/>
    <cellStyle name="Normal 8 5 2 6" xfId="2655" xr:uid="{00000000-0005-0000-0000-0000311E0000}"/>
    <cellStyle name="Normal 8 5 2 6 2" xfId="6938" xr:uid="{00000000-0005-0000-0000-0000321E0000}"/>
    <cellStyle name="Normal 8 5 2 6 2 2" xfId="15388" xr:uid="{ABDD5789-B087-4ADD-8C41-E2F64F364CE0}"/>
    <cellStyle name="Normal 8 5 2 6 3" xfId="11170" xr:uid="{613342C6-E95F-4544-B626-D6DBACDE18D5}"/>
    <cellStyle name="Normal 8 5 2 7" xfId="4873" xr:uid="{00000000-0005-0000-0000-0000331E0000}"/>
    <cellStyle name="Normal 8 5 2 7 2" xfId="13323" xr:uid="{D04E36D9-1D6D-4076-BC50-1C03BDF72D7B}"/>
    <cellStyle name="Normal 8 5 2 8" xfId="9105" xr:uid="{BF493293-A002-4074-8C07-DB7B21F99077}"/>
    <cellStyle name="Normal 8 5 3" xfId="974" xr:uid="{00000000-0005-0000-0000-0000341E0000}"/>
    <cellStyle name="Normal 8 5 3 2" xfId="3208" xr:uid="{00000000-0005-0000-0000-0000351E0000}"/>
    <cellStyle name="Normal 8 5 3 2 2" xfId="7430" xr:uid="{00000000-0005-0000-0000-0000361E0000}"/>
    <cellStyle name="Normal 8 5 3 2 2 2" xfId="15880" xr:uid="{F6B50C07-A654-4D03-B670-25892C3C0982}"/>
    <cellStyle name="Normal 8 5 3 2 3" xfId="11662" xr:uid="{F56EEECB-2CF5-439A-B652-CE015FBD8D5A}"/>
    <cellStyle name="Normal 8 5 3 3" xfId="5285" xr:uid="{00000000-0005-0000-0000-0000371E0000}"/>
    <cellStyle name="Normal 8 5 3 3 2" xfId="13735" xr:uid="{678B3ED0-F017-4557-A8B2-C9DFC3CEE7A4}"/>
    <cellStyle name="Normal 8 5 3 4" xfId="9517" xr:uid="{DC4A02F4-C67D-49FA-B1E5-D615D22A95F1}"/>
    <cellStyle name="Normal 8 5 4" xfId="1391" xr:uid="{00000000-0005-0000-0000-0000381E0000}"/>
    <cellStyle name="Normal 8 5 4 2" xfId="3621" xr:uid="{00000000-0005-0000-0000-0000391E0000}"/>
    <cellStyle name="Normal 8 5 4 2 2" xfId="7843" xr:uid="{00000000-0005-0000-0000-00003A1E0000}"/>
    <cellStyle name="Normal 8 5 4 2 2 2" xfId="16293" xr:uid="{6B5EE95F-8310-45A3-96FA-3D3644F759C4}"/>
    <cellStyle name="Normal 8 5 4 2 3" xfId="12075" xr:uid="{742364F6-82D0-42DF-A688-F80F45DA3EA8}"/>
    <cellStyle name="Normal 8 5 4 3" xfId="5698" xr:uid="{00000000-0005-0000-0000-00003B1E0000}"/>
    <cellStyle name="Normal 8 5 4 3 2" xfId="14148" xr:uid="{BAA3A928-0540-482C-8831-75368F318F9D}"/>
    <cellStyle name="Normal 8 5 4 4" xfId="9930" xr:uid="{B191AD11-6087-4432-B905-C810F9AA6D09}"/>
    <cellStyle name="Normal 8 5 5" xfId="1804" xr:uid="{00000000-0005-0000-0000-00003C1E0000}"/>
    <cellStyle name="Normal 8 5 5 2" xfId="4034" xr:uid="{00000000-0005-0000-0000-00003D1E0000}"/>
    <cellStyle name="Normal 8 5 5 2 2" xfId="8256" xr:uid="{00000000-0005-0000-0000-00003E1E0000}"/>
    <cellStyle name="Normal 8 5 5 2 2 2" xfId="16706" xr:uid="{F7740F25-29C3-4B49-BCD1-74548843F271}"/>
    <cellStyle name="Normal 8 5 5 2 3" xfId="12488" xr:uid="{992D8146-2848-4955-AE9B-AF0BAF89DADF}"/>
    <cellStyle name="Normal 8 5 5 3" xfId="6111" xr:uid="{00000000-0005-0000-0000-00003F1E0000}"/>
    <cellStyle name="Normal 8 5 5 3 2" xfId="14561" xr:uid="{EA4E5CAF-2DF3-4683-AC4D-D167981744DE}"/>
    <cellStyle name="Normal 8 5 5 4" xfId="10343" xr:uid="{70A00153-3A7A-44A9-B334-E9DA06ABC923}"/>
    <cellStyle name="Normal 8 5 6" xfId="2218" xr:uid="{00000000-0005-0000-0000-0000401E0000}"/>
    <cellStyle name="Normal 8 5 6 2" xfId="4447" xr:uid="{00000000-0005-0000-0000-0000411E0000}"/>
    <cellStyle name="Normal 8 5 6 2 2" xfId="8669" xr:uid="{00000000-0005-0000-0000-0000421E0000}"/>
    <cellStyle name="Normal 8 5 6 2 2 2" xfId="17119" xr:uid="{EF257076-99E2-4C05-AFE0-4D024DB9D456}"/>
    <cellStyle name="Normal 8 5 6 2 3" xfId="12901" xr:uid="{386253D3-240A-4C69-A8E6-6A9F8C8FAAE1}"/>
    <cellStyle name="Normal 8 5 6 3" xfId="6524" xr:uid="{00000000-0005-0000-0000-0000431E0000}"/>
    <cellStyle name="Normal 8 5 6 3 2" xfId="14974" xr:uid="{1E9CF027-3111-4E37-AF5B-E40DF35B03D3}"/>
    <cellStyle name="Normal 8 5 6 4" xfId="10756" xr:uid="{433AC272-26B3-41EC-BBBC-E1729EEDEBBC}"/>
    <cellStyle name="Normal 8 5 7" xfId="2654" xr:uid="{00000000-0005-0000-0000-0000441E0000}"/>
    <cellStyle name="Normal 8 5 7 2" xfId="6937" xr:uid="{00000000-0005-0000-0000-0000451E0000}"/>
    <cellStyle name="Normal 8 5 7 2 2" xfId="15387" xr:uid="{C8520205-52D8-441F-AB0D-3EF42A476842}"/>
    <cellStyle name="Normal 8 5 7 3" xfId="11169" xr:uid="{5C8A4FED-8A02-4B50-828C-A457EC9E68D0}"/>
    <cellStyle name="Normal 8 5 8" xfId="4872" xr:uid="{00000000-0005-0000-0000-0000461E0000}"/>
    <cellStyle name="Normal 8 5 8 2" xfId="13322" xr:uid="{F5B8D5DF-FCDB-4C94-8F36-14B4D0819CE5}"/>
    <cellStyle name="Normal 8 5 9" xfId="9104" xr:uid="{73EDDC4E-4500-48C7-B66C-368351DC6FE6}"/>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EC25B630-30C2-4C6D-B022-21628DBE0726}"/>
    <cellStyle name="Normal 8 6 2 2 3" xfId="11664" xr:uid="{270158AF-0C48-4A70-BCE0-705A40D80240}"/>
    <cellStyle name="Normal 8 6 2 3" xfId="5287" xr:uid="{00000000-0005-0000-0000-00004B1E0000}"/>
    <cellStyle name="Normal 8 6 2 3 2" xfId="13737" xr:uid="{2A6D6286-5F38-46FF-9BEC-02825D4FFB85}"/>
    <cellStyle name="Normal 8 6 2 4" xfId="9519" xr:uid="{F0F84553-93AB-4503-89F5-0F9E0F25617B}"/>
    <cellStyle name="Normal 8 6 3" xfId="1393" xr:uid="{00000000-0005-0000-0000-00004C1E0000}"/>
    <cellStyle name="Normal 8 6 3 2" xfId="3623" xr:uid="{00000000-0005-0000-0000-00004D1E0000}"/>
    <cellStyle name="Normal 8 6 3 2 2" xfId="7845" xr:uid="{00000000-0005-0000-0000-00004E1E0000}"/>
    <cellStyle name="Normal 8 6 3 2 2 2" xfId="16295" xr:uid="{069DC2B5-7AB3-4255-9175-D81B952ABE7C}"/>
    <cellStyle name="Normal 8 6 3 2 3" xfId="12077" xr:uid="{2CE18B25-0459-4385-BF30-F8FE0B5AE490}"/>
    <cellStyle name="Normal 8 6 3 3" xfId="5700" xr:uid="{00000000-0005-0000-0000-00004F1E0000}"/>
    <cellStyle name="Normal 8 6 3 3 2" xfId="14150" xr:uid="{46D7E370-07AB-4054-ACFF-9D10975284E6}"/>
    <cellStyle name="Normal 8 6 3 4" xfId="9932" xr:uid="{D4EC99D7-D988-468D-B6E2-75841BEC2D4D}"/>
    <cellStyle name="Normal 8 6 4" xfId="1806" xr:uid="{00000000-0005-0000-0000-0000501E0000}"/>
    <cellStyle name="Normal 8 6 4 2" xfId="4036" xr:uid="{00000000-0005-0000-0000-0000511E0000}"/>
    <cellStyle name="Normal 8 6 4 2 2" xfId="8258" xr:uid="{00000000-0005-0000-0000-0000521E0000}"/>
    <cellStyle name="Normal 8 6 4 2 2 2" xfId="16708" xr:uid="{6F618414-4417-4E82-AC89-E3D8D7273D32}"/>
    <cellStyle name="Normal 8 6 4 2 3" xfId="12490" xr:uid="{0E550AAB-7DBE-4041-A1DB-9D7E58B1FDCF}"/>
    <cellStyle name="Normal 8 6 4 3" xfId="6113" xr:uid="{00000000-0005-0000-0000-0000531E0000}"/>
    <cellStyle name="Normal 8 6 4 3 2" xfId="14563" xr:uid="{158DD1DD-2A4E-4FFF-8E85-9C1F6E915F26}"/>
    <cellStyle name="Normal 8 6 4 4" xfId="10345" xr:uid="{F2342600-C47D-4CD5-849C-2673C93E515E}"/>
    <cellStyle name="Normal 8 6 5" xfId="2220" xr:uid="{00000000-0005-0000-0000-0000541E0000}"/>
    <cellStyle name="Normal 8 6 5 2" xfId="4449" xr:uid="{00000000-0005-0000-0000-0000551E0000}"/>
    <cellStyle name="Normal 8 6 5 2 2" xfId="8671" xr:uid="{00000000-0005-0000-0000-0000561E0000}"/>
    <cellStyle name="Normal 8 6 5 2 2 2" xfId="17121" xr:uid="{424A95B2-BD5A-4E86-8DF5-CFB13DDE8B58}"/>
    <cellStyle name="Normal 8 6 5 2 3" xfId="12903" xr:uid="{12B3E0C7-CF9E-4218-955B-5CB39FFAEA9F}"/>
    <cellStyle name="Normal 8 6 5 3" xfId="6526" xr:uid="{00000000-0005-0000-0000-0000571E0000}"/>
    <cellStyle name="Normal 8 6 5 3 2" xfId="14976" xr:uid="{8FB9E839-08C2-4D6E-BB8B-571E71BF695D}"/>
    <cellStyle name="Normal 8 6 5 4" xfId="10758" xr:uid="{5BED7339-5E59-48D3-A10B-8966DFAD5131}"/>
    <cellStyle name="Normal 8 6 6" xfId="2656" xr:uid="{00000000-0005-0000-0000-0000581E0000}"/>
    <cellStyle name="Normal 8 6 6 2" xfId="6939" xr:uid="{00000000-0005-0000-0000-0000591E0000}"/>
    <cellStyle name="Normal 8 6 6 2 2" xfId="15389" xr:uid="{8360068B-B4E5-44C9-89BA-6859A4B83618}"/>
    <cellStyle name="Normal 8 6 6 3" xfId="11171" xr:uid="{743CABA4-5056-4527-9F40-5E9E16841E53}"/>
    <cellStyle name="Normal 8 6 7" xfId="4874" xr:uid="{00000000-0005-0000-0000-00005A1E0000}"/>
    <cellStyle name="Normal 8 6 7 2" xfId="13324" xr:uid="{71AF5BB6-CB57-4C79-AFA9-66B02785F828}"/>
    <cellStyle name="Normal 8 6 8" xfId="9106" xr:uid="{B24B58B1-CDA3-4021-AA84-A2748301B617}"/>
    <cellStyle name="Normal 8 7" xfId="945" xr:uid="{00000000-0005-0000-0000-00005B1E0000}"/>
    <cellStyle name="Normal 8 7 2" xfId="3179" xr:uid="{00000000-0005-0000-0000-00005C1E0000}"/>
    <cellStyle name="Normal 8 7 2 2" xfId="7401" xr:uid="{00000000-0005-0000-0000-00005D1E0000}"/>
    <cellStyle name="Normal 8 7 2 2 2" xfId="15851" xr:uid="{8EF3BDEA-88E2-481F-911A-C845B662E381}"/>
    <cellStyle name="Normal 8 7 2 3" xfId="11633" xr:uid="{A390103A-7704-46EE-B5A5-112204310261}"/>
    <cellStyle name="Normal 8 7 3" xfId="5256" xr:uid="{00000000-0005-0000-0000-00005E1E0000}"/>
    <cellStyle name="Normal 8 7 3 2" xfId="13706" xr:uid="{2BD59ADD-8112-4846-979B-65E55CE33EC9}"/>
    <cellStyle name="Normal 8 7 4" xfId="9488" xr:uid="{6E370CC7-6E33-4F85-A9AF-3F382E6A03A9}"/>
    <cellStyle name="Normal 8 8" xfId="1362" xr:uid="{00000000-0005-0000-0000-00005F1E0000}"/>
    <cellStyle name="Normal 8 8 2" xfId="3592" xr:uid="{00000000-0005-0000-0000-0000601E0000}"/>
    <cellStyle name="Normal 8 8 2 2" xfId="7814" xr:uid="{00000000-0005-0000-0000-0000611E0000}"/>
    <cellStyle name="Normal 8 8 2 2 2" xfId="16264" xr:uid="{70C26F16-43EA-4FFD-ADD0-CB4ABB53D428}"/>
    <cellStyle name="Normal 8 8 2 3" xfId="12046" xr:uid="{2C37C123-6D31-41A4-A6C8-B396202730F0}"/>
    <cellStyle name="Normal 8 8 3" xfId="5669" xr:uid="{00000000-0005-0000-0000-0000621E0000}"/>
    <cellStyle name="Normal 8 8 3 2" xfId="14119" xr:uid="{2C603F21-9DB3-4156-9CAF-9501AAD06706}"/>
    <cellStyle name="Normal 8 8 4" xfId="9901" xr:uid="{B1541D76-7DAD-4CB7-8F6E-2A28854FE9AB}"/>
    <cellStyle name="Normal 8 9" xfId="1775" xr:uid="{00000000-0005-0000-0000-0000631E0000}"/>
    <cellStyle name="Normal 8 9 2" xfId="4005" xr:uid="{00000000-0005-0000-0000-0000641E0000}"/>
    <cellStyle name="Normal 8 9 2 2" xfId="8227" xr:uid="{00000000-0005-0000-0000-0000651E0000}"/>
    <cellStyle name="Normal 8 9 2 2 2" xfId="16677" xr:uid="{599B7127-C59B-4573-9899-45585DCE72C7}"/>
    <cellStyle name="Normal 8 9 2 3" xfId="12459" xr:uid="{9CE715A7-2A0C-461D-8AEA-FB6E41471198}"/>
    <cellStyle name="Normal 8 9 3" xfId="6082" xr:uid="{00000000-0005-0000-0000-0000661E0000}"/>
    <cellStyle name="Normal 8 9 3 2" xfId="14532" xr:uid="{D3EBC18A-E6D4-43A0-8DE8-EFE8F77DD07B}"/>
    <cellStyle name="Normal 8 9 4" xfId="10314" xr:uid="{84EDEBFA-0F52-47A2-9723-6C5E756E598A}"/>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8575C7E9-837D-4F7A-A59E-AD86EAFC61B3}"/>
    <cellStyle name="Normal 9 2 10 3" xfId="11172" xr:uid="{7EE1E27E-5027-4243-B9B0-71C53807E18F}"/>
    <cellStyle name="Normal 9 2 11" xfId="4875" xr:uid="{00000000-0005-0000-0000-00006B1E0000}"/>
    <cellStyle name="Normal 9 2 11 2" xfId="13325" xr:uid="{E73EBA7E-42F8-4A76-B161-DDC48AEE2B98}"/>
    <cellStyle name="Normal 9 2 12" xfId="9107" xr:uid="{237255B3-D998-4405-A0BA-E62FA57983C5}"/>
    <cellStyle name="Normal 9 2 2" xfId="512" xr:uid="{00000000-0005-0000-0000-00006C1E0000}"/>
    <cellStyle name="Normal 9 2 2 10" xfId="4876" xr:uid="{00000000-0005-0000-0000-00006D1E0000}"/>
    <cellStyle name="Normal 9 2 2 10 2" xfId="13326" xr:uid="{6224E9C8-445F-4FFE-A0E8-BE990F3A2CB7}"/>
    <cellStyle name="Normal 9 2 2 11" xfId="9108" xr:uid="{8831B4A1-3A23-41A7-B8EC-9F24D6D569F3}"/>
    <cellStyle name="Normal 9 2 2 2" xfId="513" xr:uid="{00000000-0005-0000-0000-00006E1E0000}"/>
    <cellStyle name="Normal 9 2 2 2 10" xfId="9109" xr:uid="{56C7DA03-A37A-442D-AE4C-0F3B6124B9BA}"/>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1C304DD3-E40C-4720-9AC3-AC5049AA7C24}"/>
    <cellStyle name="Normal 9 2 2 2 2 2 2 2 3" xfId="11669" xr:uid="{6852FE6C-7D6C-41E5-BF41-E75CFDC77FC8}"/>
    <cellStyle name="Normal 9 2 2 2 2 2 2 3" xfId="5292" xr:uid="{00000000-0005-0000-0000-0000741E0000}"/>
    <cellStyle name="Normal 9 2 2 2 2 2 2 3 2" xfId="13742" xr:uid="{736C09F5-68FF-497A-B5DF-4EA074CF1E03}"/>
    <cellStyle name="Normal 9 2 2 2 2 2 2 4" xfId="9524" xr:uid="{D10BEB71-F35E-4D6D-8086-4941F09A04A2}"/>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C848CA80-7CF5-4F5E-8598-5FCBDC9077D4}"/>
    <cellStyle name="Normal 9 2 2 2 2 2 3 2 3" xfId="12082" xr:uid="{330A8E2D-BB29-4168-AD67-CAB168B0FB55}"/>
    <cellStyle name="Normal 9 2 2 2 2 2 3 3" xfId="5705" xr:uid="{00000000-0005-0000-0000-0000781E0000}"/>
    <cellStyle name="Normal 9 2 2 2 2 2 3 3 2" xfId="14155" xr:uid="{522F6AB9-111C-4960-9D46-31F6FBDAE128}"/>
    <cellStyle name="Normal 9 2 2 2 2 2 3 4" xfId="9937" xr:uid="{B4FF4527-D0F1-4BBC-AF50-15CCE5647C17}"/>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E9B67810-C951-40BD-A88F-EA8F9A339A2C}"/>
    <cellStyle name="Normal 9 2 2 2 2 2 4 2 3" xfId="12495" xr:uid="{0D7ACD56-78E5-451F-B211-78788511C7E7}"/>
    <cellStyle name="Normal 9 2 2 2 2 2 4 3" xfId="6118" xr:uid="{00000000-0005-0000-0000-00007C1E0000}"/>
    <cellStyle name="Normal 9 2 2 2 2 2 4 3 2" xfId="14568" xr:uid="{3FBB4C2E-DC04-4750-A290-01C028380AE9}"/>
    <cellStyle name="Normal 9 2 2 2 2 2 4 4" xfId="10350" xr:uid="{FD980D4D-56B3-4B8F-84FA-E4F4F4FCBF6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949FA0D6-06C9-415D-B27C-317A430E140E}"/>
    <cellStyle name="Normal 9 2 2 2 2 2 5 2 3" xfId="12908" xr:uid="{C3B06E39-7A58-4BD2-A064-9F91CC4B9E74}"/>
    <cellStyle name="Normal 9 2 2 2 2 2 5 3" xfId="6531" xr:uid="{00000000-0005-0000-0000-0000801E0000}"/>
    <cellStyle name="Normal 9 2 2 2 2 2 5 3 2" xfId="14981" xr:uid="{06E14489-FB3A-4BF8-8C00-615605EC2601}"/>
    <cellStyle name="Normal 9 2 2 2 2 2 5 4" xfId="10763" xr:uid="{AF5EB660-3D93-417C-9BFB-A447E34E7D91}"/>
    <cellStyle name="Normal 9 2 2 2 2 2 6" xfId="2661" xr:uid="{00000000-0005-0000-0000-0000811E0000}"/>
    <cellStyle name="Normal 9 2 2 2 2 2 6 2" xfId="6944" xr:uid="{00000000-0005-0000-0000-0000821E0000}"/>
    <cellStyle name="Normal 9 2 2 2 2 2 6 2 2" xfId="15394" xr:uid="{C7D91F74-67EE-4092-8FDA-64BB0F55755C}"/>
    <cellStyle name="Normal 9 2 2 2 2 2 6 3" xfId="11176" xr:uid="{B75F8836-10F6-4508-B8A6-B5247311ABEE}"/>
    <cellStyle name="Normal 9 2 2 2 2 2 7" xfId="4879" xr:uid="{00000000-0005-0000-0000-0000831E0000}"/>
    <cellStyle name="Normal 9 2 2 2 2 2 7 2" xfId="13329" xr:uid="{BC844E32-ED44-4A27-B425-3901F8DE9B1A}"/>
    <cellStyle name="Normal 9 2 2 2 2 2 8" xfId="9111" xr:uid="{D68C1673-4A3A-4BD5-ADC2-467CEC44D048}"/>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67A1C394-7BF0-437B-8A61-502B6D27CB2F}"/>
    <cellStyle name="Normal 9 2 2 2 2 3 2 3" xfId="11668" xr:uid="{4FC67F0F-C1B2-4950-9D2B-A302EF930927}"/>
    <cellStyle name="Normal 9 2 2 2 2 3 3" xfId="5291" xr:uid="{00000000-0005-0000-0000-0000871E0000}"/>
    <cellStyle name="Normal 9 2 2 2 2 3 3 2" xfId="13741" xr:uid="{4806F780-8E76-4C62-B432-1FA75B3F4C73}"/>
    <cellStyle name="Normal 9 2 2 2 2 3 4" xfId="9523" xr:uid="{A722C20C-7930-4B21-82D5-733522AB845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40B1FB85-9CBC-4F2A-B9E4-C570EDCF9CB3}"/>
    <cellStyle name="Normal 9 2 2 2 2 4 2 3" xfId="12081" xr:uid="{A40EC34C-04D8-443A-9295-AE39921AFA54}"/>
    <cellStyle name="Normal 9 2 2 2 2 4 3" xfId="5704" xr:uid="{00000000-0005-0000-0000-00008B1E0000}"/>
    <cellStyle name="Normal 9 2 2 2 2 4 3 2" xfId="14154" xr:uid="{B7B8C3AA-E7AA-4CD3-8FFD-02E09C6F844B}"/>
    <cellStyle name="Normal 9 2 2 2 2 4 4" xfId="9936" xr:uid="{710AD2C2-879E-43E1-99FE-783107A3E418}"/>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22BCD609-B257-45D3-899E-6F51DA1F356E}"/>
    <cellStyle name="Normal 9 2 2 2 2 5 2 3" xfId="12494" xr:uid="{32A5F82D-A952-4708-BAC8-1ADC4B2386D8}"/>
    <cellStyle name="Normal 9 2 2 2 2 5 3" xfId="6117" xr:uid="{00000000-0005-0000-0000-00008F1E0000}"/>
    <cellStyle name="Normal 9 2 2 2 2 5 3 2" xfId="14567" xr:uid="{7893D30C-F46D-4E81-AC34-0BCB3E8BCA26}"/>
    <cellStyle name="Normal 9 2 2 2 2 5 4" xfId="10349" xr:uid="{18E3D2D5-1C34-46BA-A810-4BA43F43CBB2}"/>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4230F70B-D86D-4702-BF9F-E0CBB40F725D}"/>
    <cellStyle name="Normal 9 2 2 2 2 6 2 3" xfId="12907" xr:uid="{AF13E4C3-2B26-4C24-8AFC-6CBED3ABAEEB}"/>
    <cellStyle name="Normal 9 2 2 2 2 6 3" xfId="6530" xr:uid="{00000000-0005-0000-0000-0000931E0000}"/>
    <cellStyle name="Normal 9 2 2 2 2 6 3 2" xfId="14980" xr:uid="{79F5D1CF-0B69-4ACB-B01B-B028BA46FB86}"/>
    <cellStyle name="Normal 9 2 2 2 2 6 4" xfId="10762" xr:uid="{682F12E8-76C5-4165-B11C-57B7EDD9436D}"/>
    <cellStyle name="Normal 9 2 2 2 2 7" xfId="2660" xr:uid="{00000000-0005-0000-0000-0000941E0000}"/>
    <cellStyle name="Normal 9 2 2 2 2 7 2" xfId="6943" xr:uid="{00000000-0005-0000-0000-0000951E0000}"/>
    <cellStyle name="Normal 9 2 2 2 2 7 2 2" xfId="15393" xr:uid="{BC30F258-C057-416C-B6F4-A0BE42546E64}"/>
    <cellStyle name="Normal 9 2 2 2 2 7 3" xfId="11175" xr:uid="{17E8FDF1-6026-411C-9C4C-84DA19D6F390}"/>
    <cellStyle name="Normal 9 2 2 2 2 8" xfId="4878" xr:uid="{00000000-0005-0000-0000-0000961E0000}"/>
    <cellStyle name="Normal 9 2 2 2 2 8 2" xfId="13328" xr:uid="{6C410127-E4AB-4BEA-BAF9-4B349A99B4A5}"/>
    <cellStyle name="Normal 9 2 2 2 2 9" xfId="9110" xr:uid="{C3D7A708-5D31-4EAC-AFDE-0A30AF813A18}"/>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E5ECD46A-DE0F-4DAF-93CD-0667DD19CC35}"/>
    <cellStyle name="Normal 9 2 2 2 3 2 2 3" xfId="11670" xr:uid="{A521BC58-2233-4A3D-86E0-B7B8D2CE383B}"/>
    <cellStyle name="Normal 9 2 2 2 3 2 3" xfId="5293" xr:uid="{00000000-0005-0000-0000-00009B1E0000}"/>
    <cellStyle name="Normal 9 2 2 2 3 2 3 2" xfId="13743" xr:uid="{A9FEBFB5-D9B8-43A6-8BD1-7A9A5C53DD48}"/>
    <cellStyle name="Normal 9 2 2 2 3 2 4" xfId="9525" xr:uid="{0202A611-2335-471E-B924-8355B502002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211753BB-85B5-4484-9D23-885A8D0ED014}"/>
    <cellStyle name="Normal 9 2 2 2 3 3 2 3" xfId="12083" xr:uid="{DE5FFB29-F2DB-4DEF-AF25-1DA609ED78EF}"/>
    <cellStyle name="Normal 9 2 2 2 3 3 3" xfId="5706" xr:uid="{00000000-0005-0000-0000-00009F1E0000}"/>
    <cellStyle name="Normal 9 2 2 2 3 3 3 2" xfId="14156" xr:uid="{5B8F51B0-C339-492F-986C-7BE6A8582D45}"/>
    <cellStyle name="Normal 9 2 2 2 3 3 4" xfId="9938" xr:uid="{BAA5A50D-E9DE-4634-A2ED-17F244F7034B}"/>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87E9E757-2387-4527-8DE3-3D6FA641B2B7}"/>
    <cellStyle name="Normal 9 2 2 2 3 4 2 3" xfId="12496" xr:uid="{5403215F-C0D4-4427-8434-CE4A2E10E61E}"/>
    <cellStyle name="Normal 9 2 2 2 3 4 3" xfId="6119" xr:uid="{00000000-0005-0000-0000-0000A31E0000}"/>
    <cellStyle name="Normal 9 2 2 2 3 4 3 2" xfId="14569" xr:uid="{98C2A6CE-988C-44BE-88F9-1A1BEAC2F0AE}"/>
    <cellStyle name="Normal 9 2 2 2 3 4 4" xfId="10351" xr:uid="{F564EBA8-A61A-437B-BE46-D81E9DFE8088}"/>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05C53DDA-9018-4E34-9149-A4CE29F96137}"/>
    <cellStyle name="Normal 9 2 2 2 3 5 2 3" xfId="12909" xr:uid="{AD9551E2-4370-436D-843A-0CA6D5D10DEB}"/>
    <cellStyle name="Normal 9 2 2 2 3 5 3" xfId="6532" xr:uid="{00000000-0005-0000-0000-0000A71E0000}"/>
    <cellStyle name="Normal 9 2 2 2 3 5 3 2" xfId="14982" xr:uid="{BFC60B35-6769-4E35-9A6C-E8A433422A32}"/>
    <cellStyle name="Normal 9 2 2 2 3 5 4" xfId="10764" xr:uid="{4BDF8908-D599-4351-AE91-3929353ED0AA}"/>
    <cellStyle name="Normal 9 2 2 2 3 6" xfId="2662" xr:uid="{00000000-0005-0000-0000-0000A81E0000}"/>
    <cellStyle name="Normal 9 2 2 2 3 6 2" xfId="6945" xr:uid="{00000000-0005-0000-0000-0000A91E0000}"/>
    <cellStyle name="Normal 9 2 2 2 3 6 2 2" xfId="15395" xr:uid="{69137BEF-986F-4F23-ADDF-547165F13704}"/>
    <cellStyle name="Normal 9 2 2 2 3 6 3" xfId="11177" xr:uid="{0721D60F-4A52-4454-8FB0-E0CF3168832F}"/>
    <cellStyle name="Normal 9 2 2 2 3 7" xfId="4880" xr:uid="{00000000-0005-0000-0000-0000AA1E0000}"/>
    <cellStyle name="Normal 9 2 2 2 3 7 2" xfId="13330" xr:uid="{38AB60B4-9278-46A7-B79F-A36726087099}"/>
    <cellStyle name="Normal 9 2 2 2 3 8" xfId="9112" xr:uid="{D6E8BF21-6132-4FDB-AB1A-3AECB7FC7802}"/>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34C5FB7A-474F-4021-BA1C-702390358497}"/>
    <cellStyle name="Normal 9 2 2 2 4 2 3" xfId="11667" xr:uid="{5225B87A-2515-491C-8B12-9EB869E5E598}"/>
    <cellStyle name="Normal 9 2 2 2 4 3" xfId="5290" xr:uid="{00000000-0005-0000-0000-0000AE1E0000}"/>
    <cellStyle name="Normal 9 2 2 2 4 3 2" xfId="13740" xr:uid="{F71EA205-0F63-49F5-B87E-D6DCF8F1490F}"/>
    <cellStyle name="Normal 9 2 2 2 4 4" xfId="9522" xr:uid="{DCC252B8-C8B3-4089-8B1F-AD11863487C1}"/>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9423F769-C60B-442C-B563-C0E80801BCC9}"/>
    <cellStyle name="Normal 9 2 2 2 5 2 3" xfId="12080" xr:uid="{6236CF6A-AC62-46F5-A3BA-A4AA2A1E0224}"/>
    <cellStyle name="Normal 9 2 2 2 5 3" xfId="5703" xr:uid="{00000000-0005-0000-0000-0000B21E0000}"/>
    <cellStyle name="Normal 9 2 2 2 5 3 2" xfId="14153" xr:uid="{895A620B-BEF8-4C20-AE55-EE1C1037BCA5}"/>
    <cellStyle name="Normal 9 2 2 2 5 4" xfId="9935" xr:uid="{BFAAD778-74F3-47B0-A1E9-F506DD02FA0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8FE23F4D-C12C-47A0-8C27-221EF220834D}"/>
    <cellStyle name="Normal 9 2 2 2 6 2 3" xfId="12493" xr:uid="{6A7B84E3-9346-41B3-9832-BB8166A48C23}"/>
    <cellStyle name="Normal 9 2 2 2 6 3" xfId="6116" xr:uid="{00000000-0005-0000-0000-0000B61E0000}"/>
    <cellStyle name="Normal 9 2 2 2 6 3 2" xfId="14566" xr:uid="{0FB7B846-3210-4F61-88E7-DFD71A4098AD}"/>
    <cellStyle name="Normal 9 2 2 2 6 4" xfId="10348" xr:uid="{384A38F2-0310-4CE5-B460-558298A7B012}"/>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C22DB8BF-374B-4B0A-8BEA-90EA01D81D13}"/>
    <cellStyle name="Normal 9 2 2 2 7 2 3" xfId="12906" xr:uid="{86A905AA-1D72-4F8C-8C01-95ACC2A6AFFE}"/>
    <cellStyle name="Normal 9 2 2 2 7 3" xfId="6529" xr:uid="{00000000-0005-0000-0000-0000BA1E0000}"/>
    <cellStyle name="Normal 9 2 2 2 7 3 2" xfId="14979" xr:uid="{E2B8AC09-4D34-4F0D-A21F-A2B0806D8363}"/>
    <cellStyle name="Normal 9 2 2 2 7 4" xfId="10761" xr:uid="{ED6C3AAA-7713-4D2A-A9FA-8E276AEBC4B1}"/>
    <cellStyle name="Normal 9 2 2 2 8" xfId="2659" xr:uid="{00000000-0005-0000-0000-0000BB1E0000}"/>
    <cellStyle name="Normal 9 2 2 2 8 2" xfId="6942" xr:uid="{00000000-0005-0000-0000-0000BC1E0000}"/>
    <cellStyle name="Normal 9 2 2 2 8 2 2" xfId="15392" xr:uid="{DAAB6FD2-4D89-400B-820B-26145DE8BB63}"/>
    <cellStyle name="Normal 9 2 2 2 8 3" xfId="11174" xr:uid="{51D82845-D23D-4031-B15B-EBB2B22AB32F}"/>
    <cellStyle name="Normal 9 2 2 2 9" xfId="4877" xr:uid="{00000000-0005-0000-0000-0000BD1E0000}"/>
    <cellStyle name="Normal 9 2 2 2 9 2" xfId="13327" xr:uid="{81399369-BDE4-4C8A-B546-5B637F386B78}"/>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08A00B90-8A13-435D-8B50-6657C31BC888}"/>
    <cellStyle name="Normal 9 2 2 3 2 2 2 3" xfId="11672" xr:uid="{C06FA6EA-3C87-4C17-AB47-B32B54B4C056}"/>
    <cellStyle name="Normal 9 2 2 3 2 2 3" xfId="5295" xr:uid="{00000000-0005-0000-0000-0000C31E0000}"/>
    <cellStyle name="Normal 9 2 2 3 2 2 3 2" xfId="13745" xr:uid="{E42447D8-BBBA-4769-B1CA-F863F21CA5F3}"/>
    <cellStyle name="Normal 9 2 2 3 2 2 4" xfId="9527" xr:uid="{F92B6420-5F2F-4109-95F9-DC10757FECEE}"/>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24C373BE-5C41-4437-A990-A18126E8FE35}"/>
    <cellStyle name="Normal 9 2 2 3 2 3 2 3" xfId="12085" xr:uid="{95F5442B-450E-4595-9180-3AA62294FCC3}"/>
    <cellStyle name="Normal 9 2 2 3 2 3 3" xfId="5708" xr:uid="{00000000-0005-0000-0000-0000C71E0000}"/>
    <cellStyle name="Normal 9 2 2 3 2 3 3 2" xfId="14158" xr:uid="{410C7A48-F46B-4E08-A45E-E5BC2783826F}"/>
    <cellStyle name="Normal 9 2 2 3 2 3 4" xfId="9940" xr:uid="{41BB7FFC-4A6E-4CA1-A620-4F0CD7B8167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4A9F0D3A-B5D2-4D0B-BFD9-EFB4607888BA}"/>
    <cellStyle name="Normal 9 2 2 3 2 4 2 3" xfId="12498" xr:uid="{1F40B2D7-7D8D-4FC7-B717-823F62F94DA3}"/>
    <cellStyle name="Normal 9 2 2 3 2 4 3" xfId="6121" xr:uid="{00000000-0005-0000-0000-0000CB1E0000}"/>
    <cellStyle name="Normal 9 2 2 3 2 4 3 2" xfId="14571" xr:uid="{5C6639A0-4704-4C7E-967D-7E16892DDC6B}"/>
    <cellStyle name="Normal 9 2 2 3 2 4 4" xfId="10353" xr:uid="{B2350B67-F047-41D2-AAEA-B23B6A95680C}"/>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7287B2D5-2708-407B-8D93-186154F36917}"/>
    <cellStyle name="Normal 9 2 2 3 2 5 2 3" xfId="12911" xr:uid="{18EAB239-D96A-4302-B1D3-123F0E0C7D22}"/>
    <cellStyle name="Normal 9 2 2 3 2 5 3" xfId="6534" xr:uid="{00000000-0005-0000-0000-0000CF1E0000}"/>
    <cellStyle name="Normal 9 2 2 3 2 5 3 2" xfId="14984" xr:uid="{E105939E-1239-470C-8232-9B9321E74D59}"/>
    <cellStyle name="Normal 9 2 2 3 2 5 4" xfId="10766" xr:uid="{5BE00199-1C43-4F86-B5C3-E8FC3FCF4838}"/>
    <cellStyle name="Normal 9 2 2 3 2 6" xfId="2664" xr:uid="{00000000-0005-0000-0000-0000D01E0000}"/>
    <cellStyle name="Normal 9 2 2 3 2 6 2" xfId="6947" xr:uid="{00000000-0005-0000-0000-0000D11E0000}"/>
    <cellStyle name="Normal 9 2 2 3 2 6 2 2" xfId="15397" xr:uid="{AD4CA05D-05B9-4B7A-AFE9-CE812E5C767E}"/>
    <cellStyle name="Normal 9 2 2 3 2 6 3" xfId="11179" xr:uid="{B065C702-15B8-429F-AD1E-F4F06B542E87}"/>
    <cellStyle name="Normal 9 2 2 3 2 7" xfId="4882" xr:uid="{00000000-0005-0000-0000-0000D21E0000}"/>
    <cellStyle name="Normal 9 2 2 3 2 7 2" xfId="13332" xr:uid="{09FA60B3-8B9D-4097-BBF4-BD30AD7B1DD9}"/>
    <cellStyle name="Normal 9 2 2 3 2 8" xfId="9114" xr:uid="{B254B242-49B0-47DD-97CC-9647B5E2424A}"/>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B887A19F-0F1B-4A18-A29F-1D45BE4B4B61}"/>
    <cellStyle name="Normal 9 2 2 3 3 2 3" xfId="11671" xr:uid="{F24F5BF0-AC57-48A1-ADB3-639ED3FC8C41}"/>
    <cellStyle name="Normal 9 2 2 3 3 3" xfId="5294" xr:uid="{00000000-0005-0000-0000-0000D61E0000}"/>
    <cellStyle name="Normal 9 2 2 3 3 3 2" xfId="13744" xr:uid="{7F3FDF7E-29BD-48D7-965C-893460A774D9}"/>
    <cellStyle name="Normal 9 2 2 3 3 4" xfId="9526" xr:uid="{4E79B776-CB07-4C7C-BFD2-91B20D5C93B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2C201AAB-137B-4165-9EA2-A66C4B8EBFE9}"/>
    <cellStyle name="Normal 9 2 2 3 4 2 3" xfId="12084" xr:uid="{1273AF67-D4F9-48A9-ACF2-A78DC1B99673}"/>
    <cellStyle name="Normal 9 2 2 3 4 3" xfId="5707" xr:uid="{00000000-0005-0000-0000-0000DA1E0000}"/>
    <cellStyle name="Normal 9 2 2 3 4 3 2" xfId="14157" xr:uid="{56DA2766-A006-41AA-9C25-F25FCB8EC844}"/>
    <cellStyle name="Normal 9 2 2 3 4 4" xfId="9939" xr:uid="{41BD0D85-5F6B-4367-AA41-6D0436A4ABDD}"/>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54C7D84-914A-4467-BD9B-4F4CDF472D87}"/>
    <cellStyle name="Normal 9 2 2 3 5 2 3" xfId="12497" xr:uid="{27B5DBB5-160D-4D44-958A-94380C692A26}"/>
    <cellStyle name="Normal 9 2 2 3 5 3" xfId="6120" xr:uid="{00000000-0005-0000-0000-0000DE1E0000}"/>
    <cellStyle name="Normal 9 2 2 3 5 3 2" xfId="14570" xr:uid="{90F795A7-FBD6-4111-9EC3-E2629E68539F}"/>
    <cellStyle name="Normal 9 2 2 3 5 4" xfId="10352" xr:uid="{9E0DC740-E61A-43F0-BB5A-0222F52AD1FA}"/>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7D14227B-A357-428B-828B-14DB638A1820}"/>
    <cellStyle name="Normal 9 2 2 3 6 2 3" xfId="12910" xr:uid="{45439EC8-29B4-4C39-A461-344F6E9ADECC}"/>
    <cellStyle name="Normal 9 2 2 3 6 3" xfId="6533" xr:uid="{00000000-0005-0000-0000-0000E21E0000}"/>
    <cellStyle name="Normal 9 2 2 3 6 3 2" xfId="14983" xr:uid="{0FE4BE3A-A340-4ABB-9A52-205467C685B8}"/>
    <cellStyle name="Normal 9 2 2 3 6 4" xfId="10765" xr:uid="{67644FCB-6426-4B17-90F5-5A6EBC5B545A}"/>
    <cellStyle name="Normal 9 2 2 3 7" xfId="2663" xr:uid="{00000000-0005-0000-0000-0000E31E0000}"/>
    <cellStyle name="Normal 9 2 2 3 7 2" xfId="6946" xr:uid="{00000000-0005-0000-0000-0000E41E0000}"/>
    <cellStyle name="Normal 9 2 2 3 7 2 2" xfId="15396" xr:uid="{D066EF85-9F10-4DDD-94DC-E1EF3117734B}"/>
    <cellStyle name="Normal 9 2 2 3 7 3" xfId="11178" xr:uid="{F94CC5AD-FD5B-4DCF-9270-252491CF0F05}"/>
    <cellStyle name="Normal 9 2 2 3 8" xfId="4881" xr:uid="{00000000-0005-0000-0000-0000E51E0000}"/>
    <cellStyle name="Normal 9 2 2 3 8 2" xfId="13331" xr:uid="{D165A959-BE42-418A-AB70-9ED9FBFBC700}"/>
    <cellStyle name="Normal 9 2 2 3 9" xfId="9113" xr:uid="{64FDC68A-8B3B-4B3A-B340-97DA071055D7}"/>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288B613D-AA5C-414E-A08F-7AB69FE27DA5}"/>
    <cellStyle name="Normal 9 2 2 4 2 2 3" xfId="11673" xr:uid="{9AFDA128-FA17-4BCB-9487-13E5A2BFC748}"/>
    <cellStyle name="Normal 9 2 2 4 2 3" xfId="5296" xr:uid="{00000000-0005-0000-0000-0000EA1E0000}"/>
    <cellStyle name="Normal 9 2 2 4 2 3 2" xfId="13746" xr:uid="{3383736E-6CDA-4349-9A68-D134817FC68D}"/>
    <cellStyle name="Normal 9 2 2 4 2 4" xfId="9528" xr:uid="{C5D07ABF-8E33-4348-A1F4-E17F023ECC1A}"/>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87ACD8C6-4439-48B3-A782-4D0D7870263B}"/>
    <cellStyle name="Normal 9 2 2 4 3 2 3" xfId="12086" xr:uid="{73F4CBEF-95FA-4132-BC38-E2EC191EC587}"/>
    <cellStyle name="Normal 9 2 2 4 3 3" xfId="5709" xr:uid="{00000000-0005-0000-0000-0000EE1E0000}"/>
    <cellStyle name="Normal 9 2 2 4 3 3 2" xfId="14159" xr:uid="{E8DFB8F5-0CDF-4BB6-9FCD-6247E5F406E3}"/>
    <cellStyle name="Normal 9 2 2 4 3 4" xfId="9941" xr:uid="{65FE0FAD-5E31-49C3-9D8E-9F727EEAD6A3}"/>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B9A97DB0-1B32-4935-B5F6-EC59DA82E246}"/>
    <cellStyle name="Normal 9 2 2 4 4 2 3" xfId="12499" xr:uid="{7253F7CF-5BBA-4677-A8CA-41323E81C4D7}"/>
    <cellStyle name="Normal 9 2 2 4 4 3" xfId="6122" xr:uid="{00000000-0005-0000-0000-0000F21E0000}"/>
    <cellStyle name="Normal 9 2 2 4 4 3 2" xfId="14572" xr:uid="{2AC06C3B-67C0-41A6-9904-B5ED3BC99F1F}"/>
    <cellStyle name="Normal 9 2 2 4 4 4" xfId="10354" xr:uid="{4B1CA1BD-3622-4501-BD54-879576B678B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8A532E5B-516E-4DDF-A231-E46A7319B198}"/>
    <cellStyle name="Normal 9 2 2 4 5 2 3" xfId="12912" xr:uid="{EE8B8577-08FB-4258-81DB-F8126BBFC10E}"/>
    <cellStyle name="Normal 9 2 2 4 5 3" xfId="6535" xr:uid="{00000000-0005-0000-0000-0000F61E0000}"/>
    <cellStyle name="Normal 9 2 2 4 5 3 2" xfId="14985" xr:uid="{3BB1D921-0921-4B7F-8E78-A1009F7F6AA2}"/>
    <cellStyle name="Normal 9 2 2 4 5 4" xfId="10767" xr:uid="{747880FF-189E-4C96-AEFC-52256DEC4EA6}"/>
    <cellStyle name="Normal 9 2 2 4 6" xfId="2665" xr:uid="{00000000-0005-0000-0000-0000F71E0000}"/>
    <cellStyle name="Normal 9 2 2 4 6 2" xfId="6948" xr:uid="{00000000-0005-0000-0000-0000F81E0000}"/>
    <cellStyle name="Normal 9 2 2 4 6 2 2" xfId="15398" xr:uid="{26B503CE-F96C-4920-A119-1649D5705BAD}"/>
    <cellStyle name="Normal 9 2 2 4 6 3" xfId="11180" xr:uid="{8C8022BB-39DC-4435-A0F0-839DD9DD3A33}"/>
    <cellStyle name="Normal 9 2 2 4 7" xfId="4883" xr:uid="{00000000-0005-0000-0000-0000F91E0000}"/>
    <cellStyle name="Normal 9 2 2 4 7 2" xfId="13333" xr:uid="{0F2BDEDC-03F3-44BB-A4E6-BEE98B2430D2}"/>
    <cellStyle name="Normal 9 2 2 4 8" xfId="9115" xr:uid="{BF738E1F-5127-4435-8D17-AED3923331B3}"/>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E6EB5533-905F-4B3A-B1A4-274B14536098}"/>
    <cellStyle name="Normal 9 2 2 5 2 3" xfId="11666" xr:uid="{4B74686D-3A38-446B-87BB-6F5E9BF38055}"/>
    <cellStyle name="Normal 9 2 2 5 3" xfId="5289" xr:uid="{00000000-0005-0000-0000-0000FD1E0000}"/>
    <cellStyle name="Normal 9 2 2 5 3 2" xfId="13739" xr:uid="{C940E158-8A6F-40DE-9E14-4EAF0D8E9253}"/>
    <cellStyle name="Normal 9 2 2 5 4" xfId="9521" xr:uid="{5B2222C0-D0FA-4B06-8A2F-DABF63665F69}"/>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E13C203F-AD94-4774-B63C-F9D35E24A995}"/>
    <cellStyle name="Normal 9 2 2 6 2 3" xfId="12079" xr:uid="{318B4B4B-FF2B-44B3-9E56-E5C1DBAFD9C7}"/>
    <cellStyle name="Normal 9 2 2 6 3" xfId="5702" xr:uid="{00000000-0005-0000-0000-0000011F0000}"/>
    <cellStyle name="Normal 9 2 2 6 3 2" xfId="14152" xr:uid="{E1642869-5ABF-4D74-BAD4-5AE881FEF2B0}"/>
    <cellStyle name="Normal 9 2 2 6 4" xfId="9934" xr:uid="{FD208CF6-D96D-470F-8369-5956720EFB08}"/>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4043F598-9D85-4647-95EA-24CD4FEE9AAF}"/>
    <cellStyle name="Normal 9 2 2 7 2 3" xfId="12492" xr:uid="{E1AA4AEE-F6DE-40B3-AB5C-59132C726695}"/>
    <cellStyle name="Normal 9 2 2 7 3" xfId="6115" xr:uid="{00000000-0005-0000-0000-0000051F0000}"/>
    <cellStyle name="Normal 9 2 2 7 3 2" xfId="14565" xr:uid="{1CF192C4-B883-422A-8C04-7CB3AC3B9F35}"/>
    <cellStyle name="Normal 9 2 2 7 4" xfId="10347" xr:uid="{7C6BD7A7-835F-451E-B1D8-6B6AC5CBA330}"/>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8220C8A8-7D30-421E-8DB9-054176B7A7C7}"/>
    <cellStyle name="Normal 9 2 2 8 2 3" xfId="12905" xr:uid="{762F290C-42AE-4832-AF43-E3E31596F60B}"/>
    <cellStyle name="Normal 9 2 2 8 3" xfId="6528" xr:uid="{00000000-0005-0000-0000-0000091F0000}"/>
    <cellStyle name="Normal 9 2 2 8 3 2" xfId="14978" xr:uid="{8513EA0F-0580-4265-A62C-6DFA7E64D0AB}"/>
    <cellStyle name="Normal 9 2 2 8 4" xfId="10760" xr:uid="{96BF7926-F054-4F8D-AD80-5E96DCE347C4}"/>
    <cellStyle name="Normal 9 2 2 9" xfId="2658" xr:uid="{00000000-0005-0000-0000-00000A1F0000}"/>
    <cellStyle name="Normal 9 2 2 9 2" xfId="6941" xr:uid="{00000000-0005-0000-0000-00000B1F0000}"/>
    <cellStyle name="Normal 9 2 2 9 2 2" xfId="15391" xr:uid="{D117DD0B-2055-4A89-A2FD-12303B1F5488}"/>
    <cellStyle name="Normal 9 2 2 9 3" xfId="11173" xr:uid="{0079D671-EFBF-4411-BB79-33C8096F4034}"/>
    <cellStyle name="Normal 9 2 3" xfId="520" xr:uid="{00000000-0005-0000-0000-00000C1F0000}"/>
    <cellStyle name="Normal 9 2 3 10" xfId="9116" xr:uid="{16BAE178-5B92-4A38-9CC2-68737D8C558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D3AB85F3-B9E6-40F9-A16D-854068B8A4FB}"/>
    <cellStyle name="Normal 9 2 3 2 2 2 2 3" xfId="11676" xr:uid="{A69F9162-4126-4860-A49A-2EEA64A9DE27}"/>
    <cellStyle name="Normal 9 2 3 2 2 2 3" xfId="5299" xr:uid="{00000000-0005-0000-0000-0000121F0000}"/>
    <cellStyle name="Normal 9 2 3 2 2 2 3 2" xfId="13749" xr:uid="{AFDAA741-9801-4614-9698-93597196FAEC}"/>
    <cellStyle name="Normal 9 2 3 2 2 2 4" xfId="9531" xr:uid="{AB4CD662-4E44-4EDF-887D-765804C5460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866CD2CD-D59B-443A-85CE-A514B20A6E7F}"/>
    <cellStyle name="Normal 9 2 3 2 2 3 2 3" xfId="12089" xr:uid="{67F6179C-DC73-4EF4-AD56-6D991CDE80CC}"/>
    <cellStyle name="Normal 9 2 3 2 2 3 3" xfId="5712" xr:uid="{00000000-0005-0000-0000-0000161F0000}"/>
    <cellStyle name="Normal 9 2 3 2 2 3 3 2" xfId="14162" xr:uid="{AD580C42-9578-49A5-9A86-B53ABF926E42}"/>
    <cellStyle name="Normal 9 2 3 2 2 3 4" xfId="9944" xr:uid="{367F2A63-1931-49A1-B743-E561CB1839C7}"/>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1FCD9C41-610D-4D0A-8F3E-33ABF13117FC}"/>
    <cellStyle name="Normal 9 2 3 2 2 4 2 3" xfId="12502" xr:uid="{76D89AFC-42D8-43E6-A8D6-13130AE57DF2}"/>
    <cellStyle name="Normal 9 2 3 2 2 4 3" xfId="6125" xr:uid="{00000000-0005-0000-0000-00001A1F0000}"/>
    <cellStyle name="Normal 9 2 3 2 2 4 3 2" xfId="14575" xr:uid="{76FD0015-3D4B-450A-9BD7-2397F20E8BB4}"/>
    <cellStyle name="Normal 9 2 3 2 2 4 4" xfId="10357" xr:uid="{026EAD86-6338-4638-ADB8-AA838A87909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FF21D8F9-DA20-40B2-AA2C-5259E281ADE7}"/>
    <cellStyle name="Normal 9 2 3 2 2 5 2 3" xfId="12915" xr:uid="{F018394D-9133-4DD3-AD22-6F7419137D51}"/>
    <cellStyle name="Normal 9 2 3 2 2 5 3" xfId="6538" xr:uid="{00000000-0005-0000-0000-00001E1F0000}"/>
    <cellStyle name="Normal 9 2 3 2 2 5 3 2" xfId="14988" xr:uid="{6108F0E7-8315-41BC-B246-0C24F267485F}"/>
    <cellStyle name="Normal 9 2 3 2 2 5 4" xfId="10770" xr:uid="{07582D73-7B22-44AF-B646-CCF47838044D}"/>
    <cellStyle name="Normal 9 2 3 2 2 6" xfId="2668" xr:uid="{00000000-0005-0000-0000-00001F1F0000}"/>
    <cellStyle name="Normal 9 2 3 2 2 6 2" xfId="6951" xr:uid="{00000000-0005-0000-0000-0000201F0000}"/>
    <cellStyle name="Normal 9 2 3 2 2 6 2 2" xfId="15401" xr:uid="{3405B7AA-E559-4BC0-9A9F-EAC413F58740}"/>
    <cellStyle name="Normal 9 2 3 2 2 6 3" xfId="11183" xr:uid="{211DE060-A60F-43FC-B024-655DF9EA13EF}"/>
    <cellStyle name="Normal 9 2 3 2 2 7" xfId="4886" xr:uid="{00000000-0005-0000-0000-0000211F0000}"/>
    <cellStyle name="Normal 9 2 3 2 2 7 2" xfId="13336" xr:uid="{C57E3EDF-2DDD-4EEF-A5C9-6FE51B308047}"/>
    <cellStyle name="Normal 9 2 3 2 2 8" xfId="9118" xr:uid="{AE7010ED-DEFA-4284-8874-049517F235A2}"/>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30D646E5-4EDA-4628-9687-B59AE7AB760D}"/>
    <cellStyle name="Normal 9 2 3 2 3 2 3" xfId="11675" xr:uid="{1A0CE02D-AB6B-4A6F-9E7B-416080D00502}"/>
    <cellStyle name="Normal 9 2 3 2 3 3" xfId="5298" xr:uid="{00000000-0005-0000-0000-0000251F0000}"/>
    <cellStyle name="Normal 9 2 3 2 3 3 2" xfId="13748" xr:uid="{240A3E87-979A-4C77-9913-4D3B196F4618}"/>
    <cellStyle name="Normal 9 2 3 2 3 4" xfId="9530" xr:uid="{CF2BCCE5-627B-4029-841C-C4FC393F5CFC}"/>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6A6F050E-FA60-4EFC-B2A5-963ACD8BAF78}"/>
    <cellStyle name="Normal 9 2 3 2 4 2 3" xfId="12088" xr:uid="{5D32F650-8DA6-4B17-AB22-7D3C9A33D8C3}"/>
    <cellStyle name="Normal 9 2 3 2 4 3" xfId="5711" xr:uid="{00000000-0005-0000-0000-0000291F0000}"/>
    <cellStyle name="Normal 9 2 3 2 4 3 2" xfId="14161" xr:uid="{3B41D173-F012-473B-987B-50BBD5CBCAF8}"/>
    <cellStyle name="Normal 9 2 3 2 4 4" xfId="9943" xr:uid="{6B067D48-F069-450B-AB76-6E54DCFEBC70}"/>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D33C1FE1-1C45-44B5-89E6-A8E67739DA21}"/>
    <cellStyle name="Normal 9 2 3 2 5 2 3" xfId="12501" xr:uid="{8B8398D1-058F-4DC2-94AE-A105359CB8E7}"/>
    <cellStyle name="Normal 9 2 3 2 5 3" xfId="6124" xr:uid="{00000000-0005-0000-0000-00002D1F0000}"/>
    <cellStyle name="Normal 9 2 3 2 5 3 2" xfId="14574" xr:uid="{2DFDFD3C-0233-4D27-9E62-FA29C0F7F27B}"/>
    <cellStyle name="Normal 9 2 3 2 5 4" xfId="10356" xr:uid="{8C1942C5-6BC2-445A-8F71-B53ACB7902C8}"/>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23C9C4AA-FAC3-4690-A958-8DF26D7A7E1B}"/>
    <cellStyle name="Normal 9 2 3 2 6 2 3" xfId="12914" xr:uid="{F8B54052-908F-4E65-8974-DEE8B1CF10DF}"/>
    <cellStyle name="Normal 9 2 3 2 6 3" xfId="6537" xr:uid="{00000000-0005-0000-0000-0000311F0000}"/>
    <cellStyle name="Normal 9 2 3 2 6 3 2" xfId="14987" xr:uid="{FFE214D7-C48D-46BA-A934-D259B603F8E2}"/>
    <cellStyle name="Normal 9 2 3 2 6 4" xfId="10769" xr:uid="{B91B27A8-046D-4F8D-8004-C8F3F04B1524}"/>
    <cellStyle name="Normal 9 2 3 2 7" xfId="2667" xr:uid="{00000000-0005-0000-0000-0000321F0000}"/>
    <cellStyle name="Normal 9 2 3 2 7 2" xfId="6950" xr:uid="{00000000-0005-0000-0000-0000331F0000}"/>
    <cellStyle name="Normal 9 2 3 2 7 2 2" xfId="15400" xr:uid="{512B3CA9-3484-4390-AF4E-2A2659E5169D}"/>
    <cellStyle name="Normal 9 2 3 2 7 3" xfId="11182" xr:uid="{3DF9F709-00E1-47A5-A08D-D4F7B7B02D80}"/>
    <cellStyle name="Normal 9 2 3 2 8" xfId="4885" xr:uid="{00000000-0005-0000-0000-0000341F0000}"/>
    <cellStyle name="Normal 9 2 3 2 8 2" xfId="13335" xr:uid="{395ACEA6-4894-4298-AE02-FA147994737A}"/>
    <cellStyle name="Normal 9 2 3 2 9" xfId="9117" xr:uid="{102B8DC7-1FAD-4213-9A44-F404921EB1C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787F9633-BA67-4CA3-A339-2D80EA3BC516}"/>
    <cellStyle name="Normal 9 2 3 3 2 2 3" xfId="11677" xr:uid="{3EEB01E7-172C-4554-A875-2497CC62FB27}"/>
    <cellStyle name="Normal 9 2 3 3 2 3" xfId="5300" xr:uid="{00000000-0005-0000-0000-0000391F0000}"/>
    <cellStyle name="Normal 9 2 3 3 2 3 2" xfId="13750" xr:uid="{4F5F084F-386C-428B-A623-930006B1463A}"/>
    <cellStyle name="Normal 9 2 3 3 2 4" xfId="9532" xr:uid="{4445B04F-000C-42CE-9472-3E7C5F937496}"/>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1FF5F8F3-9C2B-452A-8016-B87B520443E7}"/>
    <cellStyle name="Normal 9 2 3 3 3 2 3" xfId="12090" xr:uid="{89C00E8F-36BE-48CF-B749-4FB573294F0F}"/>
    <cellStyle name="Normal 9 2 3 3 3 3" xfId="5713" xr:uid="{00000000-0005-0000-0000-00003D1F0000}"/>
    <cellStyle name="Normal 9 2 3 3 3 3 2" xfId="14163" xr:uid="{F4FB09FE-0AAA-4032-B27C-1385021CDB38}"/>
    <cellStyle name="Normal 9 2 3 3 3 4" xfId="9945" xr:uid="{8A8F4C19-0D97-4253-A6AD-EF26B11F1CF0}"/>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11D68702-518B-4F31-BF08-6E0B6184389A}"/>
    <cellStyle name="Normal 9 2 3 3 4 2 3" xfId="12503" xr:uid="{6FECD20B-9A97-4CE5-9066-CE379C946E5C}"/>
    <cellStyle name="Normal 9 2 3 3 4 3" xfId="6126" xr:uid="{00000000-0005-0000-0000-0000411F0000}"/>
    <cellStyle name="Normal 9 2 3 3 4 3 2" xfId="14576" xr:uid="{E7727FFE-2602-4BC1-BB48-D65E80CCB0AE}"/>
    <cellStyle name="Normal 9 2 3 3 4 4" xfId="10358" xr:uid="{252D2768-69E2-40A4-9D7D-33DF3A740D4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866846A2-4E1D-47D7-8AC0-F045C92BA607}"/>
    <cellStyle name="Normal 9 2 3 3 5 2 3" xfId="12916" xr:uid="{2352A675-0652-424B-8D75-EABD2CD82142}"/>
    <cellStyle name="Normal 9 2 3 3 5 3" xfId="6539" xr:uid="{00000000-0005-0000-0000-0000451F0000}"/>
    <cellStyle name="Normal 9 2 3 3 5 3 2" xfId="14989" xr:uid="{65BCD8D8-9D90-47D6-A08D-79160447933A}"/>
    <cellStyle name="Normal 9 2 3 3 5 4" xfId="10771" xr:uid="{72CAA699-C3A4-43E4-9045-0E8A833D8626}"/>
    <cellStyle name="Normal 9 2 3 3 6" xfId="2669" xr:uid="{00000000-0005-0000-0000-0000461F0000}"/>
    <cellStyle name="Normal 9 2 3 3 6 2" xfId="6952" xr:uid="{00000000-0005-0000-0000-0000471F0000}"/>
    <cellStyle name="Normal 9 2 3 3 6 2 2" xfId="15402" xr:uid="{3C409167-8FF4-4C72-AAE4-AF7BD7B1570F}"/>
    <cellStyle name="Normal 9 2 3 3 6 3" xfId="11184" xr:uid="{E4321E6C-B7A5-4155-87C3-2F66B5F1A85A}"/>
    <cellStyle name="Normal 9 2 3 3 7" xfId="4887" xr:uid="{00000000-0005-0000-0000-0000481F0000}"/>
    <cellStyle name="Normal 9 2 3 3 7 2" xfId="13337" xr:uid="{B5E691C3-87AE-4DDF-B4A1-C79CE1CBC5F5}"/>
    <cellStyle name="Normal 9 2 3 3 8" xfId="9119" xr:uid="{6CA57DF2-B0CD-4921-B729-6D7E3CCB815A}"/>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F5415745-2DB6-47C9-BADC-8EE30F810A19}"/>
    <cellStyle name="Normal 9 2 3 4 2 3" xfId="11674" xr:uid="{CA576AD8-4AC9-4EA4-9283-6950CF3E1E8F}"/>
    <cellStyle name="Normal 9 2 3 4 3" xfId="5297" xr:uid="{00000000-0005-0000-0000-00004C1F0000}"/>
    <cellStyle name="Normal 9 2 3 4 3 2" xfId="13747" xr:uid="{0EA0635F-472B-434C-A81F-020FE432806C}"/>
    <cellStyle name="Normal 9 2 3 4 4" xfId="9529" xr:uid="{0F75EBE6-68DC-4FE5-BED4-089A9028192E}"/>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647527AC-5A6C-411B-964D-A2EA611684B9}"/>
    <cellStyle name="Normal 9 2 3 5 2 3" xfId="12087" xr:uid="{C6DD7222-399E-4300-8B03-52A540EB0202}"/>
    <cellStyle name="Normal 9 2 3 5 3" xfId="5710" xr:uid="{00000000-0005-0000-0000-0000501F0000}"/>
    <cellStyle name="Normal 9 2 3 5 3 2" xfId="14160" xr:uid="{E6EE240A-A7E3-4887-A59F-E8E05EEB2FEB}"/>
    <cellStyle name="Normal 9 2 3 5 4" xfId="9942" xr:uid="{D67CEBB4-D1FA-4FD4-9329-3D678A1A6687}"/>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6708A048-FBD5-4639-9E6E-636680D931BB}"/>
    <cellStyle name="Normal 9 2 3 6 2 3" xfId="12500" xr:uid="{8C960171-C016-4226-9097-837C3CCF3037}"/>
    <cellStyle name="Normal 9 2 3 6 3" xfId="6123" xr:uid="{00000000-0005-0000-0000-0000541F0000}"/>
    <cellStyle name="Normal 9 2 3 6 3 2" xfId="14573" xr:uid="{1A736BE2-C433-44DD-83B7-25D8A54E7B2C}"/>
    <cellStyle name="Normal 9 2 3 6 4" xfId="10355" xr:uid="{EDA32757-D1B7-49B2-824D-216F14C83C09}"/>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82973C1C-AFD0-4BC4-9661-FBE75BF880AA}"/>
    <cellStyle name="Normal 9 2 3 7 2 3" xfId="12913" xr:uid="{A2328D65-797A-4CAA-91D8-FF885C4C468F}"/>
    <cellStyle name="Normal 9 2 3 7 3" xfId="6536" xr:uid="{00000000-0005-0000-0000-0000581F0000}"/>
    <cellStyle name="Normal 9 2 3 7 3 2" xfId="14986" xr:uid="{7BF3657F-9DF2-4C4D-A984-688427A4D439}"/>
    <cellStyle name="Normal 9 2 3 7 4" xfId="10768" xr:uid="{BD57964F-4A14-4880-B29A-6F24595A3857}"/>
    <cellStyle name="Normal 9 2 3 8" xfId="2666" xr:uid="{00000000-0005-0000-0000-0000591F0000}"/>
    <cellStyle name="Normal 9 2 3 8 2" xfId="6949" xr:uid="{00000000-0005-0000-0000-00005A1F0000}"/>
    <cellStyle name="Normal 9 2 3 8 2 2" xfId="15399" xr:uid="{B42B8F7C-2942-4B42-851E-EC2EECCCA278}"/>
    <cellStyle name="Normal 9 2 3 8 3" xfId="11181" xr:uid="{BEDF3254-ACAD-4EEC-AAC7-76C493F7ADEF}"/>
    <cellStyle name="Normal 9 2 3 9" xfId="4884" xr:uid="{00000000-0005-0000-0000-00005B1F0000}"/>
    <cellStyle name="Normal 9 2 3 9 2" xfId="13334" xr:uid="{B1EE438B-E0B5-40CB-9C03-767B5F5B8CA5}"/>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31F47164-477A-4015-9592-E793A1A39D08}"/>
    <cellStyle name="Normal 9 2 4 2 2 2 3" xfId="11679" xr:uid="{D4F9F0F1-8172-4ABA-9D69-BD5A136A45F8}"/>
    <cellStyle name="Normal 9 2 4 2 2 3" xfId="5302" xr:uid="{00000000-0005-0000-0000-0000611F0000}"/>
    <cellStyle name="Normal 9 2 4 2 2 3 2" xfId="13752" xr:uid="{9D1FD4CB-5AF1-4549-9E12-7506C47AC469}"/>
    <cellStyle name="Normal 9 2 4 2 2 4" xfId="9534" xr:uid="{86FAA556-0755-48FD-B288-5AF13C3EF9C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BF5B7D98-3338-4636-AB65-17E5E74A5F25}"/>
    <cellStyle name="Normal 9 2 4 2 3 2 3" xfId="12092" xr:uid="{20A62DC0-2FB0-4B00-9623-9315847F5BE8}"/>
    <cellStyle name="Normal 9 2 4 2 3 3" xfId="5715" xr:uid="{00000000-0005-0000-0000-0000651F0000}"/>
    <cellStyle name="Normal 9 2 4 2 3 3 2" xfId="14165" xr:uid="{28C9025F-A258-48B4-87C3-837ECDE33DC7}"/>
    <cellStyle name="Normal 9 2 4 2 3 4" xfId="9947" xr:uid="{F832A8A9-38F8-47C7-97F7-70E92E5816C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A5A93B3A-9947-4B92-BB1F-53B98719B2CF}"/>
    <cellStyle name="Normal 9 2 4 2 4 2 3" xfId="12505" xr:uid="{1CFDE2A2-7C72-40D1-A217-458BE86CA2B2}"/>
    <cellStyle name="Normal 9 2 4 2 4 3" xfId="6128" xr:uid="{00000000-0005-0000-0000-0000691F0000}"/>
    <cellStyle name="Normal 9 2 4 2 4 3 2" xfId="14578" xr:uid="{D3FCD838-2167-46A9-80D8-2C8A3A1AF4DB}"/>
    <cellStyle name="Normal 9 2 4 2 4 4" xfId="10360" xr:uid="{5E95F5AC-FE1F-464E-BAB0-422BF87D457E}"/>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BD38B9C1-ECF5-48DF-A188-F66739BD761E}"/>
    <cellStyle name="Normal 9 2 4 2 5 2 3" xfId="12918" xr:uid="{291B5819-E444-455E-8786-B4C7AD226AF5}"/>
    <cellStyle name="Normal 9 2 4 2 5 3" xfId="6541" xr:uid="{00000000-0005-0000-0000-00006D1F0000}"/>
    <cellStyle name="Normal 9 2 4 2 5 3 2" xfId="14991" xr:uid="{0AF3B4E8-0702-48C2-A5CB-852873C5563A}"/>
    <cellStyle name="Normal 9 2 4 2 5 4" xfId="10773" xr:uid="{53CF16B4-9FDF-460C-B90D-6F0D7AABBD2B}"/>
    <cellStyle name="Normal 9 2 4 2 6" xfId="2671" xr:uid="{00000000-0005-0000-0000-00006E1F0000}"/>
    <cellStyle name="Normal 9 2 4 2 6 2" xfId="6954" xr:uid="{00000000-0005-0000-0000-00006F1F0000}"/>
    <cellStyle name="Normal 9 2 4 2 6 2 2" xfId="15404" xr:uid="{CED08C5F-6D69-45C0-A0CB-F8D9258109DE}"/>
    <cellStyle name="Normal 9 2 4 2 6 3" xfId="11186" xr:uid="{C1CF2D16-CBD5-4E2D-985C-D8247F1C0BC1}"/>
    <cellStyle name="Normal 9 2 4 2 7" xfId="4889" xr:uid="{00000000-0005-0000-0000-0000701F0000}"/>
    <cellStyle name="Normal 9 2 4 2 7 2" xfId="13339" xr:uid="{7C7C8906-A474-4655-BBC6-A70F35E27B2E}"/>
    <cellStyle name="Normal 9 2 4 2 8" xfId="9121" xr:uid="{0E6AF510-F039-4EAF-8B16-F1552670F7F1}"/>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19EF568B-E372-46E6-B7A4-4B7D2699DB91}"/>
    <cellStyle name="Normal 9 2 4 3 2 3" xfId="11678" xr:uid="{16BBCB5F-4193-4051-874D-F01EBC3E7ABE}"/>
    <cellStyle name="Normal 9 2 4 3 3" xfId="5301" xr:uid="{00000000-0005-0000-0000-0000741F0000}"/>
    <cellStyle name="Normal 9 2 4 3 3 2" xfId="13751" xr:uid="{F643DE29-C37A-4C41-A2EB-5DC84786A106}"/>
    <cellStyle name="Normal 9 2 4 3 4" xfId="9533" xr:uid="{D714A16C-679A-44BD-B501-62C562817378}"/>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A4312699-59D2-49C8-955E-8205E00283CA}"/>
    <cellStyle name="Normal 9 2 4 4 2 3" xfId="12091" xr:uid="{857927A4-0B8E-4646-B935-56F7D384FFBB}"/>
    <cellStyle name="Normal 9 2 4 4 3" xfId="5714" xr:uid="{00000000-0005-0000-0000-0000781F0000}"/>
    <cellStyle name="Normal 9 2 4 4 3 2" xfId="14164" xr:uid="{5FA5CD34-5D35-4866-9230-7D29AA90B153}"/>
    <cellStyle name="Normal 9 2 4 4 4" xfId="9946" xr:uid="{9B22B6C0-D110-4816-B33A-16610A0464F5}"/>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FD5704E2-4973-4099-A0BD-33E2BCC123BE}"/>
    <cellStyle name="Normal 9 2 4 5 2 3" xfId="12504" xr:uid="{E78471E0-F06C-47DC-BB92-DD6A2AF0C20C}"/>
    <cellStyle name="Normal 9 2 4 5 3" xfId="6127" xr:uid="{00000000-0005-0000-0000-00007C1F0000}"/>
    <cellStyle name="Normal 9 2 4 5 3 2" xfId="14577" xr:uid="{8FF94636-6FF4-47BB-9624-6F69AE7743C8}"/>
    <cellStyle name="Normal 9 2 4 5 4" xfId="10359" xr:uid="{BF727F3D-BA5D-44C6-9D87-AAD8636096B2}"/>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9C7799A9-8020-46F1-B515-8295E49980E4}"/>
    <cellStyle name="Normal 9 2 4 6 2 3" xfId="12917" xr:uid="{4731EE8C-488A-4D7B-B68E-8DA2AAE523C6}"/>
    <cellStyle name="Normal 9 2 4 6 3" xfId="6540" xr:uid="{00000000-0005-0000-0000-0000801F0000}"/>
    <cellStyle name="Normal 9 2 4 6 3 2" xfId="14990" xr:uid="{902CC5E5-6649-45E5-9D73-B55A1FDC19CC}"/>
    <cellStyle name="Normal 9 2 4 6 4" xfId="10772" xr:uid="{5EEBEB23-E7D8-405D-B306-076EE17529FF}"/>
    <cellStyle name="Normal 9 2 4 7" xfId="2670" xr:uid="{00000000-0005-0000-0000-0000811F0000}"/>
    <cellStyle name="Normal 9 2 4 7 2" xfId="6953" xr:uid="{00000000-0005-0000-0000-0000821F0000}"/>
    <cellStyle name="Normal 9 2 4 7 2 2" xfId="15403" xr:uid="{688F2604-8CAC-4BF8-8B46-AFBE300FD72E}"/>
    <cellStyle name="Normal 9 2 4 7 3" xfId="11185" xr:uid="{1C807E94-0FCD-4AD4-97CE-944B8A79092D}"/>
    <cellStyle name="Normal 9 2 4 8" xfId="4888" xr:uid="{00000000-0005-0000-0000-0000831F0000}"/>
    <cellStyle name="Normal 9 2 4 8 2" xfId="13338" xr:uid="{8C22A1B9-FC16-4F79-B6E8-52D44144F0CF}"/>
    <cellStyle name="Normal 9 2 4 9" xfId="9120" xr:uid="{153208B6-43C8-448C-8667-67C7AF0686B8}"/>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9176285F-1F84-4E64-94F5-2B9F2F5040F6}"/>
    <cellStyle name="Normal 9 2 5 2 2 3" xfId="11680" xr:uid="{14996B86-21D7-4577-AA46-5B702613E7E5}"/>
    <cellStyle name="Normal 9 2 5 2 3" xfId="5303" xr:uid="{00000000-0005-0000-0000-0000881F0000}"/>
    <cellStyle name="Normal 9 2 5 2 3 2" xfId="13753" xr:uid="{831C1C6D-F36A-4BB4-8AFB-F77405C85D5C}"/>
    <cellStyle name="Normal 9 2 5 2 4" xfId="9535" xr:uid="{6FCABE51-37C7-4867-A42A-3AA65D164568}"/>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47486688-32A2-477B-9B26-D5E73C9511A4}"/>
    <cellStyle name="Normal 9 2 5 3 2 3" xfId="12093" xr:uid="{C7CFB268-71AD-488A-A01D-B49AA96FF6C5}"/>
    <cellStyle name="Normal 9 2 5 3 3" xfId="5716" xr:uid="{00000000-0005-0000-0000-00008C1F0000}"/>
    <cellStyle name="Normal 9 2 5 3 3 2" xfId="14166" xr:uid="{669AF7EE-5619-4288-9CFE-CD758E2928EB}"/>
    <cellStyle name="Normal 9 2 5 3 4" xfId="9948" xr:uid="{13681237-8256-4B3E-8429-150A7EF3D13F}"/>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C9191869-62FF-45E4-B495-63A0F545247B}"/>
    <cellStyle name="Normal 9 2 5 4 2 3" xfId="12506" xr:uid="{31E5AE22-2FCC-4F00-A702-13A6F68BDFEC}"/>
    <cellStyle name="Normal 9 2 5 4 3" xfId="6129" xr:uid="{00000000-0005-0000-0000-0000901F0000}"/>
    <cellStyle name="Normal 9 2 5 4 3 2" xfId="14579" xr:uid="{22427EA3-8A57-46F3-BA98-3AEBA90A2385}"/>
    <cellStyle name="Normal 9 2 5 4 4" xfId="10361" xr:uid="{17FA817F-66C3-4D37-B43D-D7C47ABDF5EC}"/>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E18E277C-B994-4A60-8B74-AE84567B6B60}"/>
    <cellStyle name="Normal 9 2 5 5 2 3" xfId="12919" xr:uid="{A1F6521A-11FA-4D9B-9D6F-01B808612071}"/>
    <cellStyle name="Normal 9 2 5 5 3" xfId="6542" xr:uid="{00000000-0005-0000-0000-0000941F0000}"/>
    <cellStyle name="Normal 9 2 5 5 3 2" xfId="14992" xr:uid="{E92B2641-994B-4176-8F33-83E8AAE54744}"/>
    <cellStyle name="Normal 9 2 5 5 4" xfId="10774" xr:uid="{BAACA8ED-2426-423A-90C2-3ADFF7D8AACD}"/>
    <cellStyle name="Normal 9 2 5 6" xfId="2672" xr:uid="{00000000-0005-0000-0000-0000951F0000}"/>
    <cellStyle name="Normal 9 2 5 6 2" xfId="6955" xr:uid="{00000000-0005-0000-0000-0000961F0000}"/>
    <cellStyle name="Normal 9 2 5 6 2 2" xfId="15405" xr:uid="{659F6985-08A2-48BB-8674-05916AC6D765}"/>
    <cellStyle name="Normal 9 2 5 6 3" xfId="11187" xr:uid="{A13EBDA8-4CF9-4BF9-AC93-D8A592E183FF}"/>
    <cellStyle name="Normal 9 2 5 7" xfId="4890" xr:uid="{00000000-0005-0000-0000-0000971F0000}"/>
    <cellStyle name="Normal 9 2 5 7 2" xfId="13340" xr:uid="{31A7B501-5213-4780-8CDB-CD4F6AED9252}"/>
    <cellStyle name="Normal 9 2 5 8" xfId="9122" xr:uid="{1FEEAC04-95D7-4FE8-B5B5-68D675AA7B4A}"/>
    <cellStyle name="Normal 9 2 6" xfId="978" xr:uid="{00000000-0005-0000-0000-0000981F0000}"/>
    <cellStyle name="Normal 9 2 6 2" xfId="3211" xr:uid="{00000000-0005-0000-0000-0000991F0000}"/>
    <cellStyle name="Normal 9 2 6 2 2" xfId="7433" xr:uid="{00000000-0005-0000-0000-00009A1F0000}"/>
    <cellStyle name="Normal 9 2 6 2 2 2" xfId="15883" xr:uid="{B9278FF4-ABD2-4CD3-864C-36630C2E6BD8}"/>
    <cellStyle name="Normal 9 2 6 2 3" xfId="11665" xr:uid="{9A6DBA7D-CD9E-43D1-82B1-81108CCF91FC}"/>
    <cellStyle name="Normal 9 2 6 3" xfId="5288" xr:uid="{00000000-0005-0000-0000-00009B1F0000}"/>
    <cellStyle name="Normal 9 2 6 3 2" xfId="13738" xr:uid="{8382E061-1A46-467C-8913-56DFE81BF409}"/>
    <cellStyle name="Normal 9 2 6 4" xfId="9520" xr:uid="{9760DA76-D58D-4B3C-97F3-5C42F9DADF3B}"/>
    <cellStyle name="Normal 9 2 7" xfId="1394" xr:uid="{00000000-0005-0000-0000-00009C1F0000}"/>
    <cellStyle name="Normal 9 2 7 2" xfId="3624" xr:uid="{00000000-0005-0000-0000-00009D1F0000}"/>
    <cellStyle name="Normal 9 2 7 2 2" xfId="7846" xr:uid="{00000000-0005-0000-0000-00009E1F0000}"/>
    <cellStyle name="Normal 9 2 7 2 2 2" xfId="16296" xr:uid="{294DE2B7-72E8-47FE-ABC3-865DEDE320F2}"/>
    <cellStyle name="Normal 9 2 7 2 3" xfId="12078" xr:uid="{225C7CEF-8284-4779-9DE5-3FC95167BB18}"/>
    <cellStyle name="Normal 9 2 7 3" xfId="5701" xr:uid="{00000000-0005-0000-0000-00009F1F0000}"/>
    <cellStyle name="Normal 9 2 7 3 2" xfId="14151" xr:uid="{B03344D2-281A-4BC4-A428-775DD41CA79B}"/>
    <cellStyle name="Normal 9 2 7 4" xfId="9933" xr:uid="{4A14A53F-DF3A-4426-8DFC-DBAD0417DDC4}"/>
    <cellStyle name="Normal 9 2 8" xfId="1807" xr:uid="{00000000-0005-0000-0000-0000A01F0000}"/>
    <cellStyle name="Normal 9 2 8 2" xfId="4037" xr:uid="{00000000-0005-0000-0000-0000A11F0000}"/>
    <cellStyle name="Normal 9 2 8 2 2" xfId="8259" xr:uid="{00000000-0005-0000-0000-0000A21F0000}"/>
    <cellStyle name="Normal 9 2 8 2 2 2" xfId="16709" xr:uid="{26F66301-F655-4970-AA53-EE957979DD07}"/>
    <cellStyle name="Normal 9 2 8 2 3" xfId="12491" xr:uid="{DECDD8F5-27E0-4E55-B083-1A80127870DE}"/>
    <cellStyle name="Normal 9 2 8 3" xfId="6114" xr:uid="{00000000-0005-0000-0000-0000A31F0000}"/>
    <cellStyle name="Normal 9 2 8 3 2" xfId="14564" xr:uid="{AB02C4D4-EDEB-4250-B718-3DB1414F18C6}"/>
    <cellStyle name="Normal 9 2 8 4" xfId="10346" xr:uid="{1EF069FC-76F9-49BF-B5D3-A95CC3E1340F}"/>
    <cellStyle name="Normal 9 2 9" xfId="2221" xr:uid="{00000000-0005-0000-0000-0000A41F0000}"/>
    <cellStyle name="Normal 9 2 9 2" xfId="4450" xr:uid="{00000000-0005-0000-0000-0000A51F0000}"/>
    <cellStyle name="Normal 9 2 9 2 2" xfId="8672" xr:uid="{00000000-0005-0000-0000-0000A61F0000}"/>
    <cellStyle name="Normal 9 2 9 2 2 2" xfId="17122" xr:uid="{182E2EF7-E217-497C-BCA1-A6DF912611E0}"/>
    <cellStyle name="Normal 9 2 9 2 3" xfId="12904" xr:uid="{DB5C5C99-0131-46ED-8F5C-65C417629A60}"/>
    <cellStyle name="Normal 9 2 9 3" xfId="6527" xr:uid="{00000000-0005-0000-0000-0000A71F0000}"/>
    <cellStyle name="Normal 9 2 9 3 2" xfId="14977" xr:uid="{9CDEE2A9-6763-4A28-A4EA-8C6CA6965110}"/>
    <cellStyle name="Normal 9 2 9 4" xfId="10759" xr:uid="{79935864-1115-482A-ABC1-7BBC4F224708}"/>
    <cellStyle name="Normal 9 3" xfId="527" xr:uid="{00000000-0005-0000-0000-0000A81F0000}"/>
    <cellStyle name="Normal 9 3 10" xfId="4891" xr:uid="{00000000-0005-0000-0000-0000A91F0000}"/>
    <cellStyle name="Normal 9 3 10 2" xfId="13341" xr:uid="{AF1DC100-0B2B-4EDE-98FD-E86D6F3E889D}"/>
    <cellStyle name="Normal 9 3 11" xfId="9123" xr:uid="{8B8CE57A-4044-418A-A357-E1386D5ED98F}"/>
    <cellStyle name="Normal 9 3 2" xfId="528" xr:uid="{00000000-0005-0000-0000-0000AA1F0000}"/>
    <cellStyle name="Normal 9 3 2 10" xfId="9124" xr:uid="{AE2382AA-7BDF-4AA5-B1E4-C41AC224F6F1}"/>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1177B720-7C4B-4EE7-A78A-5F74BA4698C0}"/>
    <cellStyle name="Normal 9 3 2 2 2 2 2 3" xfId="11684" xr:uid="{A5894A9B-59A7-476B-8CC5-2C8EAEDE5332}"/>
    <cellStyle name="Normal 9 3 2 2 2 2 3" xfId="5307" xr:uid="{00000000-0005-0000-0000-0000B01F0000}"/>
    <cellStyle name="Normal 9 3 2 2 2 2 3 2" xfId="13757" xr:uid="{60041D18-534E-4C99-BE3D-9F50261CD4B7}"/>
    <cellStyle name="Normal 9 3 2 2 2 2 4" xfId="9539" xr:uid="{73B54B32-F78A-487F-9C47-E59E4A1ABA0E}"/>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0F8AB69A-076B-4679-B896-C21EAB4C3E1C}"/>
    <cellStyle name="Normal 9 3 2 2 2 3 2 3" xfId="12097" xr:uid="{1565EF9E-ACA3-409A-A807-0DA536ECE688}"/>
    <cellStyle name="Normal 9 3 2 2 2 3 3" xfId="5720" xr:uid="{00000000-0005-0000-0000-0000B41F0000}"/>
    <cellStyle name="Normal 9 3 2 2 2 3 3 2" xfId="14170" xr:uid="{E2CF17E5-C5E6-4E5D-834D-7D9B3166CCB5}"/>
    <cellStyle name="Normal 9 3 2 2 2 3 4" xfId="9952" xr:uid="{7F2EF084-BD69-41F3-8B1F-3149D99DBD7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B321FB06-1682-437E-ACEC-96DED7348E6D}"/>
    <cellStyle name="Normal 9 3 2 2 2 4 2 3" xfId="12510" xr:uid="{00DDD655-B2AF-43BF-A4FF-7220D394E929}"/>
    <cellStyle name="Normal 9 3 2 2 2 4 3" xfId="6133" xr:uid="{00000000-0005-0000-0000-0000B81F0000}"/>
    <cellStyle name="Normal 9 3 2 2 2 4 3 2" xfId="14583" xr:uid="{0E44CFB8-A178-435C-A495-25E3905EE0E7}"/>
    <cellStyle name="Normal 9 3 2 2 2 4 4" xfId="10365" xr:uid="{8DF9AECC-E450-4CCA-A74A-6ABA1A058BFB}"/>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FF5AEDCA-BE8D-4193-A468-752C2DE971B2}"/>
    <cellStyle name="Normal 9 3 2 2 2 5 2 3" xfId="12923" xr:uid="{A5AEE8DF-A054-441F-AC45-2EB9EA418625}"/>
    <cellStyle name="Normal 9 3 2 2 2 5 3" xfId="6546" xr:uid="{00000000-0005-0000-0000-0000BC1F0000}"/>
    <cellStyle name="Normal 9 3 2 2 2 5 3 2" xfId="14996" xr:uid="{4BAC41F3-FDB0-404C-9613-C4D32749A5A3}"/>
    <cellStyle name="Normal 9 3 2 2 2 5 4" xfId="10778" xr:uid="{9CBCB65E-9DB2-4F49-ACBA-9A411F68124C}"/>
    <cellStyle name="Normal 9 3 2 2 2 6" xfId="2676" xr:uid="{00000000-0005-0000-0000-0000BD1F0000}"/>
    <cellStyle name="Normal 9 3 2 2 2 6 2" xfId="6959" xr:uid="{00000000-0005-0000-0000-0000BE1F0000}"/>
    <cellStyle name="Normal 9 3 2 2 2 6 2 2" xfId="15409" xr:uid="{73AA4980-23F3-44B3-B6AE-28C677D31DF1}"/>
    <cellStyle name="Normal 9 3 2 2 2 6 3" xfId="11191" xr:uid="{15FE5439-959F-4BB7-B7B5-C99B4F11FC02}"/>
    <cellStyle name="Normal 9 3 2 2 2 7" xfId="4894" xr:uid="{00000000-0005-0000-0000-0000BF1F0000}"/>
    <cellStyle name="Normal 9 3 2 2 2 7 2" xfId="13344" xr:uid="{969BE951-469B-45C4-882B-4739B2F63011}"/>
    <cellStyle name="Normal 9 3 2 2 2 8" xfId="9126" xr:uid="{FFC2A2C8-2441-432D-9845-973CA54B9BF0}"/>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35AECCA2-C628-48A7-A1F4-9BEDD7FF719E}"/>
    <cellStyle name="Normal 9 3 2 2 3 2 3" xfId="11683" xr:uid="{5920F73E-2937-4D50-BCAE-63DA3EFF11A8}"/>
    <cellStyle name="Normal 9 3 2 2 3 3" xfId="5306" xr:uid="{00000000-0005-0000-0000-0000C31F0000}"/>
    <cellStyle name="Normal 9 3 2 2 3 3 2" xfId="13756" xr:uid="{22AED41E-84F0-4325-A7F8-BB76D609AF40}"/>
    <cellStyle name="Normal 9 3 2 2 3 4" xfId="9538" xr:uid="{D30A6372-FADD-4A7F-B7FD-5241E2A6A07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FBC1A3A9-5920-4902-891B-13261CB131B6}"/>
    <cellStyle name="Normal 9 3 2 2 4 2 3" xfId="12096" xr:uid="{449CE1BD-1061-4769-A902-D24D41E93CDD}"/>
    <cellStyle name="Normal 9 3 2 2 4 3" xfId="5719" xr:uid="{00000000-0005-0000-0000-0000C71F0000}"/>
    <cellStyle name="Normal 9 3 2 2 4 3 2" xfId="14169" xr:uid="{AA570C53-0E7E-4D71-AF46-CD8675F6B67D}"/>
    <cellStyle name="Normal 9 3 2 2 4 4" xfId="9951" xr:uid="{3FADBCC8-D034-4DE3-95B8-E08C37B38C2F}"/>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FAEB65C5-DF53-4C17-8AC4-4DC828F80133}"/>
    <cellStyle name="Normal 9 3 2 2 5 2 3" xfId="12509" xr:uid="{5C38F15D-FC94-4B5D-AD76-E87F50330509}"/>
    <cellStyle name="Normal 9 3 2 2 5 3" xfId="6132" xr:uid="{00000000-0005-0000-0000-0000CB1F0000}"/>
    <cellStyle name="Normal 9 3 2 2 5 3 2" xfId="14582" xr:uid="{4B51BF3B-8148-495D-A222-E8D953BC1373}"/>
    <cellStyle name="Normal 9 3 2 2 5 4" xfId="10364" xr:uid="{F7789250-EC58-48CC-B8ED-5097105B51B2}"/>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FA6A31BE-A637-4306-B3E5-661903A171C0}"/>
    <cellStyle name="Normal 9 3 2 2 6 2 3" xfId="12922" xr:uid="{DA4320D4-E4E9-4CCD-805E-2736D9C57BE1}"/>
    <cellStyle name="Normal 9 3 2 2 6 3" xfId="6545" xr:uid="{00000000-0005-0000-0000-0000CF1F0000}"/>
    <cellStyle name="Normal 9 3 2 2 6 3 2" xfId="14995" xr:uid="{3112573A-C101-4C6A-B338-64B4082A40AC}"/>
    <cellStyle name="Normal 9 3 2 2 6 4" xfId="10777" xr:uid="{5F35127C-AEA6-4299-A9E3-1A082540CE3B}"/>
    <cellStyle name="Normal 9 3 2 2 7" xfId="2675" xr:uid="{00000000-0005-0000-0000-0000D01F0000}"/>
    <cellStyle name="Normal 9 3 2 2 7 2" xfId="6958" xr:uid="{00000000-0005-0000-0000-0000D11F0000}"/>
    <cellStyle name="Normal 9 3 2 2 7 2 2" xfId="15408" xr:uid="{9554C562-606D-4068-BB0A-E44589469B7E}"/>
    <cellStyle name="Normal 9 3 2 2 7 3" xfId="11190" xr:uid="{A034FBEE-729D-4BC1-AC72-D893FE7B3127}"/>
    <cellStyle name="Normal 9 3 2 2 8" xfId="4893" xr:uid="{00000000-0005-0000-0000-0000D21F0000}"/>
    <cellStyle name="Normal 9 3 2 2 8 2" xfId="13343" xr:uid="{E12A13B5-E45F-4AC3-ADB2-5EBFEFDC1BDD}"/>
    <cellStyle name="Normal 9 3 2 2 9" xfId="9125" xr:uid="{481B272C-400D-4461-9462-6EB2F3C4C6F7}"/>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0C371806-59C0-45AC-A010-97C9887980BF}"/>
    <cellStyle name="Normal 9 3 2 3 2 2 3" xfId="11685" xr:uid="{2443579C-C677-491D-9C0D-4AC398A44698}"/>
    <cellStyle name="Normal 9 3 2 3 2 3" xfId="5308" xr:uid="{00000000-0005-0000-0000-0000D71F0000}"/>
    <cellStyle name="Normal 9 3 2 3 2 3 2" xfId="13758" xr:uid="{773A5EB1-F552-449F-9F10-251714888591}"/>
    <cellStyle name="Normal 9 3 2 3 2 4" xfId="9540" xr:uid="{A2C841FB-21FE-44DF-A1D6-AA0D3853695A}"/>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12E2D7E6-7DD4-4937-8BF8-FB18A3942338}"/>
    <cellStyle name="Normal 9 3 2 3 3 2 3" xfId="12098" xr:uid="{831B3178-FA7F-4541-8ED8-1ADED2A04A5B}"/>
    <cellStyle name="Normal 9 3 2 3 3 3" xfId="5721" xr:uid="{00000000-0005-0000-0000-0000DB1F0000}"/>
    <cellStyle name="Normal 9 3 2 3 3 3 2" xfId="14171" xr:uid="{517E4E85-1D3E-4A3E-A500-46A19183E834}"/>
    <cellStyle name="Normal 9 3 2 3 3 4" xfId="9953" xr:uid="{8D929265-9404-4DF3-9151-B8F8719712F1}"/>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81D5E381-6A09-4E2F-825A-E3AE53A0082E}"/>
    <cellStyle name="Normal 9 3 2 3 4 2 3" xfId="12511" xr:uid="{8F72738B-2B8D-4A4F-B1CC-034C498C9B7A}"/>
    <cellStyle name="Normal 9 3 2 3 4 3" xfId="6134" xr:uid="{00000000-0005-0000-0000-0000DF1F0000}"/>
    <cellStyle name="Normal 9 3 2 3 4 3 2" xfId="14584" xr:uid="{D06CE750-0249-4DE1-96E1-14F6B1F1E9C4}"/>
    <cellStyle name="Normal 9 3 2 3 4 4" xfId="10366" xr:uid="{697CE213-8E7F-4E40-90AD-08ADF6F4B7C1}"/>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1463F892-4254-4299-9BD5-E56BA9D8CE48}"/>
    <cellStyle name="Normal 9 3 2 3 5 2 3" xfId="12924" xr:uid="{2759868C-956B-4867-AFE8-3C69DCB900BE}"/>
    <cellStyle name="Normal 9 3 2 3 5 3" xfId="6547" xr:uid="{00000000-0005-0000-0000-0000E31F0000}"/>
    <cellStyle name="Normal 9 3 2 3 5 3 2" xfId="14997" xr:uid="{3D7F2F48-E05D-444D-9F7F-4FA05EAE4DD8}"/>
    <cellStyle name="Normal 9 3 2 3 5 4" xfId="10779" xr:uid="{D9C96D56-4EB4-42E5-AC26-0486C01BDDB6}"/>
    <cellStyle name="Normal 9 3 2 3 6" xfId="2677" xr:uid="{00000000-0005-0000-0000-0000E41F0000}"/>
    <cellStyle name="Normal 9 3 2 3 6 2" xfId="6960" xr:uid="{00000000-0005-0000-0000-0000E51F0000}"/>
    <cellStyle name="Normal 9 3 2 3 6 2 2" xfId="15410" xr:uid="{49489C38-8096-4927-8D93-ABC6F2E24716}"/>
    <cellStyle name="Normal 9 3 2 3 6 3" xfId="11192" xr:uid="{64D2DD8E-2595-4A26-BB5D-94B63BBC206E}"/>
    <cellStyle name="Normal 9 3 2 3 7" xfId="4895" xr:uid="{00000000-0005-0000-0000-0000E61F0000}"/>
    <cellStyle name="Normal 9 3 2 3 7 2" xfId="13345" xr:uid="{9513FEC1-5F5A-4DF5-A204-1C252C942362}"/>
    <cellStyle name="Normal 9 3 2 3 8" xfId="9127" xr:uid="{D6C81A32-68B7-4D42-8E0A-305FD82B395C}"/>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2A7EE32E-5B7A-4250-9B00-F9923A6AD6B7}"/>
    <cellStyle name="Normal 9 3 2 4 2 3" xfId="11682" xr:uid="{30C74149-C990-4FF7-B9CB-931005169E3F}"/>
    <cellStyle name="Normal 9 3 2 4 3" xfId="5305" xr:uid="{00000000-0005-0000-0000-0000EA1F0000}"/>
    <cellStyle name="Normal 9 3 2 4 3 2" xfId="13755" xr:uid="{E36A0C54-A15E-49FA-A8CD-D4F9104BDC8B}"/>
    <cellStyle name="Normal 9 3 2 4 4" xfId="9537" xr:uid="{FDDD2A4D-0398-4E29-A1F4-61B1AAF0BE64}"/>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42C851E8-4D31-45E6-B811-5649778D66B5}"/>
    <cellStyle name="Normal 9 3 2 5 2 3" xfId="12095" xr:uid="{9C00958F-C59C-451B-B2E0-80E588F88B6C}"/>
    <cellStyle name="Normal 9 3 2 5 3" xfId="5718" xr:uid="{00000000-0005-0000-0000-0000EE1F0000}"/>
    <cellStyle name="Normal 9 3 2 5 3 2" xfId="14168" xr:uid="{34D0B413-8334-4721-932D-A442992A4C22}"/>
    <cellStyle name="Normal 9 3 2 5 4" xfId="9950" xr:uid="{122E2A73-ED99-4ECB-B8EC-8B46DA6E3E1A}"/>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8766C1DC-17C6-44BB-BDC2-12FA1AC6E1B3}"/>
    <cellStyle name="Normal 9 3 2 6 2 3" xfId="12508" xr:uid="{A68BCCB3-5512-44C1-8053-8CF50D725A4E}"/>
    <cellStyle name="Normal 9 3 2 6 3" xfId="6131" xr:uid="{00000000-0005-0000-0000-0000F21F0000}"/>
    <cellStyle name="Normal 9 3 2 6 3 2" xfId="14581" xr:uid="{BBF8A814-0B5B-4778-A2C0-A35803209D3B}"/>
    <cellStyle name="Normal 9 3 2 6 4" xfId="10363" xr:uid="{379E9D83-7A0A-4592-B164-AD997ED34004}"/>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48530F0C-220D-4C3B-91DA-64CAC524E006}"/>
    <cellStyle name="Normal 9 3 2 7 2 3" xfId="12921" xr:uid="{A04F3C0A-D02E-414A-9787-8FE61849A1F1}"/>
    <cellStyle name="Normal 9 3 2 7 3" xfId="6544" xr:uid="{00000000-0005-0000-0000-0000F61F0000}"/>
    <cellStyle name="Normal 9 3 2 7 3 2" xfId="14994" xr:uid="{186755CC-CF9C-415B-974B-BA2B133194A0}"/>
    <cellStyle name="Normal 9 3 2 7 4" xfId="10776" xr:uid="{BB91C938-C085-4CDD-AF0E-BCA30C3FC58B}"/>
    <cellStyle name="Normal 9 3 2 8" xfId="2674" xr:uid="{00000000-0005-0000-0000-0000F71F0000}"/>
    <cellStyle name="Normal 9 3 2 8 2" xfId="6957" xr:uid="{00000000-0005-0000-0000-0000F81F0000}"/>
    <cellStyle name="Normal 9 3 2 8 2 2" xfId="15407" xr:uid="{B171243A-959C-46B6-8820-777E7D1C7BAA}"/>
    <cellStyle name="Normal 9 3 2 8 3" xfId="11189" xr:uid="{0AD6383D-6261-4451-BB1C-9C1D2B8A8CFB}"/>
    <cellStyle name="Normal 9 3 2 9" xfId="4892" xr:uid="{00000000-0005-0000-0000-0000F91F0000}"/>
    <cellStyle name="Normal 9 3 2 9 2" xfId="13342" xr:uid="{0BC322C1-1834-4DBA-94CC-B692C823BCD6}"/>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01803A86-4738-42A2-B112-810BAA5795E3}"/>
    <cellStyle name="Normal 9 3 3 2 2 2 3" xfId="11687" xr:uid="{790D5300-2A69-4C52-BB85-4CAA2C72F3E8}"/>
    <cellStyle name="Normal 9 3 3 2 2 3" xfId="5310" xr:uid="{00000000-0005-0000-0000-0000FF1F0000}"/>
    <cellStyle name="Normal 9 3 3 2 2 3 2" xfId="13760" xr:uid="{FF61BB1A-3AB4-4EE2-A6D0-EEEDB849B62C}"/>
    <cellStyle name="Normal 9 3 3 2 2 4" xfId="9542" xr:uid="{AE6EE16F-0D7D-43CD-974F-3F16BEAEAE1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A2E8B74B-FC9C-4DAA-A30F-93C9EF8097D4}"/>
    <cellStyle name="Normal 9 3 3 2 3 2 3" xfId="12100" xr:uid="{FCC6F5DD-2E50-43F8-A993-078A59544BA0}"/>
    <cellStyle name="Normal 9 3 3 2 3 3" xfId="5723" xr:uid="{00000000-0005-0000-0000-000003200000}"/>
    <cellStyle name="Normal 9 3 3 2 3 3 2" xfId="14173" xr:uid="{C2152CCE-D14D-4DFE-9CF4-7FFF4A017174}"/>
    <cellStyle name="Normal 9 3 3 2 3 4" xfId="9955" xr:uid="{9826206A-B8D4-496C-B5A9-5C2E27A9BB66}"/>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9518A6F2-3830-41FD-ADA9-6264DE811143}"/>
    <cellStyle name="Normal 9 3 3 2 4 2 3" xfId="12513" xr:uid="{43BCBC44-CAA0-48AA-8C7A-D6A47C3491A3}"/>
    <cellStyle name="Normal 9 3 3 2 4 3" xfId="6136" xr:uid="{00000000-0005-0000-0000-000007200000}"/>
    <cellStyle name="Normal 9 3 3 2 4 3 2" xfId="14586" xr:uid="{A75F4A88-3938-4395-9987-8337C43ADD81}"/>
    <cellStyle name="Normal 9 3 3 2 4 4" xfId="10368" xr:uid="{D7CD9774-6A6B-4D15-B3F3-E22FC29689CD}"/>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FC1EB649-CD16-473C-8D8C-628429011C4F}"/>
    <cellStyle name="Normal 9 3 3 2 5 2 3" xfId="12926" xr:uid="{653B4B85-4454-45A4-A051-BD4AAC2AC3D2}"/>
    <cellStyle name="Normal 9 3 3 2 5 3" xfId="6549" xr:uid="{00000000-0005-0000-0000-00000B200000}"/>
    <cellStyle name="Normal 9 3 3 2 5 3 2" xfId="14999" xr:uid="{86850A94-DDDE-4FAB-B52C-0EE995E4B423}"/>
    <cellStyle name="Normal 9 3 3 2 5 4" xfId="10781" xr:uid="{9E1A72B8-065C-4740-AA87-D55F81EC3EEC}"/>
    <cellStyle name="Normal 9 3 3 2 6" xfId="2679" xr:uid="{00000000-0005-0000-0000-00000C200000}"/>
    <cellStyle name="Normal 9 3 3 2 6 2" xfId="6962" xr:uid="{00000000-0005-0000-0000-00000D200000}"/>
    <cellStyle name="Normal 9 3 3 2 6 2 2" xfId="15412" xr:uid="{EC69D49B-5424-4AB4-835B-94A61EB0846C}"/>
    <cellStyle name="Normal 9 3 3 2 6 3" xfId="11194" xr:uid="{3DBCE3AB-5EDB-4D4A-9676-010D9EFA7B5E}"/>
    <cellStyle name="Normal 9 3 3 2 7" xfId="4897" xr:uid="{00000000-0005-0000-0000-00000E200000}"/>
    <cellStyle name="Normal 9 3 3 2 7 2" xfId="13347" xr:uid="{AAB58118-F002-45C9-A1B3-FCACAE949504}"/>
    <cellStyle name="Normal 9 3 3 2 8" xfId="9129" xr:uid="{054EF944-C79C-4CCC-A4DC-1EDCB39940EC}"/>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71056BCD-D0DF-4508-81DA-DE412A20AD4B}"/>
    <cellStyle name="Normal 9 3 3 3 2 3" xfId="11686" xr:uid="{EC144DD1-AFFE-4E6E-BF22-778AE2D3285F}"/>
    <cellStyle name="Normal 9 3 3 3 3" xfId="5309" xr:uid="{00000000-0005-0000-0000-000012200000}"/>
    <cellStyle name="Normal 9 3 3 3 3 2" xfId="13759" xr:uid="{E73C6008-A819-4B22-AABF-0B93474614BC}"/>
    <cellStyle name="Normal 9 3 3 3 4" xfId="9541" xr:uid="{EF5A0031-5C01-4888-BB1B-508260AF6A77}"/>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661FBFEA-DD0B-4CF8-9BB3-6EE0AAD7B661}"/>
    <cellStyle name="Normal 9 3 3 4 2 3" xfId="12099" xr:uid="{91FFE11D-E4EA-4C4B-A703-0A3258C99404}"/>
    <cellStyle name="Normal 9 3 3 4 3" xfId="5722" xr:uid="{00000000-0005-0000-0000-000016200000}"/>
    <cellStyle name="Normal 9 3 3 4 3 2" xfId="14172" xr:uid="{93ED5075-AE95-4A48-A6B9-2EA61CF4DD5D}"/>
    <cellStyle name="Normal 9 3 3 4 4" xfId="9954" xr:uid="{12309ABE-A67E-488A-A111-E8A57E7CECB9}"/>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0AB8152F-F79E-49FE-A4B4-16B9DCABCF12}"/>
    <cellStyle name="Normal 9 3 3 5 2 3" xfId="12512" xr:uid="{4DDAF5B8-727D-4481-94C5-7965095A6606}"/>
    <cellStyle name="Normal 9 3 3 5 3" xfId="6135" xr:uid="{00000000-0005-0000-0000-00001A200000}"/>
    <cellStyle name="Normal 9 3 3 5 3 2" xfId="14585" xr:uid="{E1D3C1DC-C15F-4024-86A1-21B5B9578DD0}"/>
    <cellStyle name="Normal 9 3 3 5 4" xfId="10367" xr:uid="{F2922118-8DD1-42EA-851C-58729CCB36C6}"/>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E70ABDC6-7FC0-4FF3-BDCB-2C98AAEBD863}"/>
    <cellStyle name="Normal 9 3 3 6 2 3" xfId="12925" xr:uid="{8B6E66E2-682C-4B0E-916C-A08DA854610F}"/>
    <cellStyle name="Normal 9 3 3 6 3" xfId="6548" xr:uid="{00000000-0005-0000-0000-00001E200000}"/>
    <cellStyle name="Normal 9 3 3 6 3 2" xfId="14998" xr:uid="{DF174935-FCF8-44B1-9068-BF7024A7149C}"/>
    <cellStyle name="Normal 9 3 3 6 4" xfId="10780" xr:uid="{2AE6734F-6C02-4E06-AEA0-F7F625984287}"/>
    <cellStyle name="Normal 9 3 3 7" xfId="2678" xr:uid="{00000000-0005-0000-0000-00001F200000}"/>
    <cellStyle name="Normal 9 3 3 7 2" xfId="6961" xr:uid="{00000000-0005-0000-0000-000020200000}"/>
    <cellStyle name="Normal 9 3 3 7 2 2" xfId="15411" xr:uid="{953E4C39-9C4E-48A0-BB62-75F89BD2CF23}"/>
    <cellStyle name="Normal 9 3 3 7 3" xfId="11193" xr:uid="{80F27BC7-2F86-465B-855D-09C3C88A0147}"/>
    <cellStyle name="Normal 9 3 3 8" xfId="4896" xr:uid="{00000000-0005-0000-0000-000021200000}"/>
    <cellStyle name="Normal 9 3 3 8 2" xfId="13346" xr:uid="{0E6CFB13-AA10-45B5-B09A-93E3747553F1}"/>
    <cellStyle name="Normal 9 3 3 9" xfId="9128" xr:uid="{5A708B18-AEC0-4A8F-99DD-35A568EBB505}"/>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C0C542EF-3F45-4C8C-98AC-15BFCA9B3361}"/>
    <cellStyle name="Normal 9 3 4 2 2 3" xfId="11688" xr:uid="{5E0C8E8B-A3BE-4F21-86B2-4ED9873F3031}"/>
    <cellStyle name="Normal 9 3 4 2 3" xfId="5311" xr:uid="{00000000-0005-0000-0000-000026200000}"/>
    <cellStyle name="Normal 9 3 4 2 3 2" xfId="13761" xr:uid="{60C1796C-468A-464C-B8AB-6A436834D069}"/>
    <cellStyle name="Normal 9 3 4 2 4" xfId="9543" xr:uid="{F72E6E6B-AC96-4EB2-AB31-859300C24F6C}"/>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7F92D88D-2B6B-4BBA-82C9-FB09292DDB93}"/>
    <cellStyle name="Normal 9 3 4 3 2 3" xfId="12101" xr:uid="{95278D0A-C7F1-40F3-9692-C784CA30E2D3}"/>
    <cellStyle name="Normal 9 3 4 3 3" xfId="5724" xr:uid="{00000000-0005-0000-0000-00002A200000}"/>
    <cellStyle name="Normal 9 3 4 3 3 2" xfId="14174" xr:uid="{33738FF2-770D-480F-BB93-9E6C6132B58A}"/>
    <cellStyle name="Normal 9 3 4 3 4" xfId="9956" xr:uid="{1403CEE4-7BDA-4A48-8939-A134AF3B6B78}"/>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A653C3BB-FD89-4F3E-A58E-92556EB0CD4F}"/>
    <cellStyle name="Normal 9 3 4 4 2 3" xfId="12514" xr:uid="{C487EC21-1EE2-4AD9-B257-4499CF58822B}"/>
    <cellStyle name="Normal 9 3 4 4 3" xfId="6137" xr:uid="{00000000-0005-0000-0000-00002E200000}"/>
    <cellStyle name="Normal 9 3 4 4 3 2" xfId="14587" xr:uid="{B3723D42-DF83-4BCD-A7A0-E2F4C692EEFC}"/>
    <cellStyle name="Normal 9 3 4 4 4" xfId="10369" xr:uid="{65AA1974-C1AE-4364-A061-74D46BA4A580}"/>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DC5367D6-F7F2-47A1-A842-499736D8742B}"/>
    <cellStyle name="Normal 9 3 4 5 2 3" xfId="12927" xr:uid="{731B5392-E4F3-4E7F-80A3-0336E9997928}"/>
    <cellStyle name="Normal 9 3 4 5 3" xfId="6550" xr:uid="{00000000-0005-0000-0000-000032200000}"/>
    <cellStyle name="Normal 9 3 4 5 3 2" xfId="15000" xr:uid="{F538CDFC-315C-423E-A99A-3271C9970438}"/>
    <cellStyle name="Normal 9 3 4 5 4" xfId="10782" xr:uid="{E67F42DA-B098-4112-9DFD-1CEC5EF7FE60}"/>
    <cellStyle name="Normal 9 3 4 6" xfId="2680" xr:uid="{00000000-0005-0000-0000-000033200000}"/>
    <cellStyle name="Normal 9 3 4 6 2" xfId="6963" xr:uid="{00000000-0005-0000-0000-000034200000}"/>
    <cellStyle name="Normal 9 3 4 6 2 2" xfId="15413" xr:uid="{CA27C495-83B9-4D1B-9700-5D65022749A1}"/>
    <cellStyle name="Normal 9 3 4 6 3" xfId="11195" xr:uid="{9D127281-5B7C-4B50-B026-5FDE66C1BE21}"/>
    <cellStyle name="Normal 9 3 4 7" xfId="4898" xr:uid="{00000000-0005-0000-0000-000035200000}"/>
    <cellStyle name="Normal 9 3 4 7 2" xfId="13348" xr:uid="{005CF2D4-05D0-4291-8AAE-EAA7C7CACF3A}"/>
    <cellStyle name="Normal 9 3 4 8" xfId="9130" xr:uid="{66AF5FE4-A4CB-499B-B7EF-15027735B066}"/>
    <cellStyle name="Normal 9 3 5" xfId="994" xr:uid="{00000000-0005-0000-0000-000036200000}"/>
    <cellStyle name="Normal 9 3 5 2" xfId="3227" xr:uid="{00000000-0005-0000-0000-000037200000}"/>
    <cellStyle name="Normal 9 3 5 2 2" xfId="7449" xr:uid="{00000000-0005-0000-0000-000038200000}"/>
    <cellStyle name="Normal 9 3 5 2 2 2" xfId="15899" xr:uid="{70ADDEB8-87D8-499B-BC71-8291807E5359}"/>
    <cellStyle name="Normal 9 3 5 2 3" xfId="11681" xr:uid="{33C119D0-5E8B-49AF-8A52-44128B17BDCE}"/>
    <cellStyle name="Normal 9 3 5 3" xfId="5304" xr:uid="{00000000-0005-0000-0000-000039200000}"/>
    <cellStyle name="Normal 9 3 5 3 2" xfId="13754" xr:uid="{F2557643-C1FA-4B32-B517-D4BC7DE3118C}"/>
    <cellStyle name="Normal 9 3 5 4" xfId="9536" xr:uid="{DB3FB2B8-DA2D-421A-B10E-EFBD6A99D41B}"/>
    <cellStyle name="Normal 9 3 6" xfId="1410" xr:uid="{00000000-0005-0000-0000-00003A200000}"/>
    <cellStyle name="Normal 9 3 6 2" xfId="3640" xr:uid="{00000000-0005-0000-0000-00003B200000}"/>
    <cellStyle name="Normal 9 3 6 2 2" xfId="7862" xr:uid="{00000000-0005-0000-0000-00003C200000}"/>
    <cellStyle name="Normal 9 3 6 2 2 2" xfId="16312" xr:uid="{AB9028C9-C110-4BB0-AD7C-33A1DD815A2C}"/>
    <cellStyle name="Normal 9 3 6 2 3" xfId="12094" xr:uid="{2A6BE15D-E731-4248-A592-2C10C77FD7B5}"/>
    <cellStyle name="Normal 9 3 6 3" xfId="5717" xr:uid="{00000000-0005-0000-0000-00003D200000}"/>
    <cellStyle name="Normal 9 3 6 3 2" xfId="14167" xr:uid="{9A97DE9F-B2F7-4FAB-A6B9-93109F509F85}"/>
    <cellStyle name="Normal 9 3 6 4" xfId="9949" xr:uid="{647BB698-0152-460B-9080-16F7CECD844C}"/>
    <cellStyle name="Normal 9 3 7" xfId="1823" xr:uid="{00000000-0005-0000-0000-00003E200000}"/>
    <cellStyle name="Normal 9 3 7 2" xfId="4053" xr:uid="{00000000-0005-0000-0000-00003F200000}"/>
    <cellStyle name="Normal 9 3 7 2 2" xfId="8275" xr:uid="{00000000-0005-0000-0000-000040200000}"/>
    <cellStyle name="Normal 9 3 7 2 2 2" xfId="16725" xr:uid="{AF7F0D00-D4C1-4813-992C-DDC211CC2F46}"/>
    <cellStyle name="Normal 9 3 7 2 3" xfId="12507" xr:uid="{130B9A25-0959-40D2-AEF4-A880599B4999}"/>
    <cellStyle name="Normal 9 3 7 3" xfId="6130" xr:uid="{00000000-0005-0000-0000-000041200000}"/>
    <cellStyle name="Normal 9 3 7 3 2" xfId="14580" xr:uid="{BCE11031-1F93-420A-B664-B8CE67E23D4C}"/>
    <cellStyle name="Normal 9 3 7 4" xfId="10362" xr:uid="{9877FD29-6335-4309-8D4C-8F6D4C93433D}"/>
    <cellStyle name="Normal 9 3 8" xfId="2237" xr:uid="{00000000-0005-0000-0000-000042200000}"/>
    <cellStyle name="Normal 9 3 8 2" xfId="4466" xr:uid="{00000000-0005-0000-0000-000043200000}"/>
    <cellStyle name="Normal 9 3 8 2 2" xfId="8688" xr:uid="{00000000-0005-0000-0000-000044200000}"/>
    <cellStyle name="Normal 9 3 8 2 2 2" xfId="17138" xr:uid="{B7E75C1F-627C-4109-8D60-171CFC0114FD}"/>
    <cellStyle name="Normal 9 3 8 2 3" xfId="12920" xr:uid="{605E7464-D546-48D5-8E8D-A11BB247E446}"/>
    <cellStyle name="Normal 9 3 8 3" xfId="6543" xr:uid="{00000000-0005-0000-0000-000045200000}"/>
    <cellStyle name="Normal 9 3 8 3 2" xfId="14993" xr:uid="{7BAE0117-4735-40A9-AF90-DC4883D0E465}"/>
    <cellStyle name="Normal 9 3 8 4" xfId="10775" xr:uid="{F31B3B19-21B5-4203-BE41-836C02CBD03A}"/>
    <cellStyle name="Normal 9 3 9" xfId="2673" xr:uid="{00000000-0005-0000-0000-000046200000}"/>
    <cellStyle name="Normal 9 3 9 2" xfId="6956" xr:uid="{00000000-0005-0000-0000-000047200000}"/>
    <cellStyle name="Normal 9 3 9 2 2" xfId="15406" xr:uid="{46E11F16-F41E-4241-B74E-B3EE6965CDD4}"/>
    <cellStyle name="Normal 9 3 9 3" xfId="11188" xr:uid="{021D946A-B1E5-4F80-B707-8BC868241F7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ADBEC21F-87CF-44D6-BF06-6D637AD3B2FE}"/>
    <cellStyle name="Normal 9 5 2 2 2 3" xfId="11690" xr:uid="{488A66B1-612B-423B-8957-0D9E138EFE5B}"/>
    <cellStyle name="Normal 9 5 2 2 3" xfId="5313" xr:uid="{00000000-0005-0000-0000-00004F200000}"/>
    <cellStyle name="Normal 9 5 2 2 3 2" xfId="13763" xr:uid="{0F8390FA-FA32-4991-85E7-340061CD4BBB}"/>
    <cellStyle name="Normal 9 5 2 2 4" xfId="9545" xr:uid="{0B2C4BAA-E6FA-44EF-BDF8-A92804C74E68}"/>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AF329D6D-D7EF-41B9-99B7-0FD227D1DC43}"/>
    <cellStyle name="Normal 9 5 2 3 2 3" xfId="12103" xr:uid="{D25DB81F-F043-4C4E-890C-6014068C2A13}"/>
    <cellStyle name="Normal 9 5 2 3 3" xfId="5726" xr:uid="{00000000-0005-0000-0000-000053200000}"/>
    <cellStyle name="Normal 9 5 2 3 3 2" xfId="14176" xr:uid="{25A48864-FF1A-4253-8504-FFBC9D40C025}"/>
    <cellStyle name="Normal 9 5 2 3 4" xfId="9958" xr:uid="{43E5F7F6-8E98-4EB2-A9D1-95051D1A8A63}"/>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12AEB4F9-9296-4463-9E41-1B696B377B07}"/>
    <cellStyle name="Normal 9 5 2 4 2 3" xfId="12516" xr:uid="{F949C6C2-E37F-4AAA-8F76-FECBA601EE28}"/>
    <cellStyle name="Normal 9 5 2 4 3" xfId="6139" xr:uid="{00000000-0005-0000-0000-000057200000}"/>
    <cellStyle name="Normal 9 5 2 4 3 2" xfId="14589" xr:uid="{29F20CD9-B012-4321-943A-0DE34B3A1E02}"/>
    <cellStyle name="Normal 9 5 2 4 4" xfId="10371" xr:uid="{21C39BAC-2FF5-4ACD-A2E1-2EE2BD7F770C}"/>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0F144818-16AC-4A98-9A52-2BCF75908F96}"/>
    <cellStyle name="Normal 9 5 2 5 2 3" xfId="12929" xr:uid="{14FD3E55-1E33-474D-BF37-30618602FC8F}"/>
    <cellStyle name="Normal 9 5 2 5 3" xfId="6552" xr:uid="{00000000-0005-0000-0000-00005B200000}"/>
    <cellStyle name="Normal 9 5 2 5 3 2" xfId="15002" xr:uid="{B20578CE-5DF0-4C29-91F1-ECD723F7790B}"/>
    <cellStyle name="Normal 9 5 2 5 4" xfId="10784" xr:uid="{D8736022-EC47-4960-8EB6-D76404BD09B3}"/>
    <cellStyle name="Normal 9 5 2 6" xfId="2682" xr:uid="{00000000-0005-0000-0000-00005C200000}"/>
    <cellStyle name="Normal 9 5 2 6 2" xfId="6965" xr:uid="{00000000-0005-0000-0000-00005D200000}"/>
    <cellStyle name="Normal 9 5 2 6 2 2" xfId="15415" xr:uid="{26E93708-0562-4141-BF6D-1E789A6E6AA1}"/>
    <cellStyle name="Normal 9 5 2 6 3" xfId="11197" xr:uid="{B63292E8-A875-4FE3-92BD-B0D32D3C044D}"/>
    <cellStyle name="Normal 9 5 2 7" xfId="4900" xr:uid="{00000000-0005-0000-0000-00005E200000}"/>
    <cellStyle name="Normal 9 5 2 7 2" xfId="13350" xr:uid="{D51D2C58-8525-490D-8731-384BECFC9E63}"/>
    <cellStyle name="Normal 9 5 2 8" xfId="9132" xr:uid="{D2E379EA-A819-4BDC-BA88-D867CE2C560C}"/>
    <cellStyle name="Normal 9 5 3" xfId="1003" xr:uid="{00000000-0005-0000-0000-00005F200000}"/>
    <cellStyle name="Normal 9 5 3 2" xfId="3235" xr:uid="{00000000-0005-0000-0000-000060200000}"/>
    <cellStyle name="Normal 9 5 3 2 2" xfId="7457" xr:uid="{00000000-0005-0000-0000-000061200000}"/>
    <cellStyle name="Normal 9 5 3 2 2 2" xfId="15907" xr:uid="{612717F5-B7B7-4C06-BD2A-594888DB9E92}"/>
    <cellStyle name="Normal 9 5 3 2 3" xfId="11689" xr:uid="{B307CB8A-4674-4AFB-803A-2FAAE9086902}"/>
    <cellStyle name="Normal 9 5 3 3" xfId="5312" xr:uid="{00000000-0005-0000-0000-000062200000}"/>
    <cellStyle name="Normal 9 5 3 3 2" xfId="13762" xr:uid="{C98FCE74-2E41-44C4-B78A-FF4910A5664C}"/>
    <cellStyle name="Normal 9 5 3 4" xfId="9544" xr:uid="{E95F328E-9373-4913-8C53-F1693C45EE63}"/>
    <cellStyle name="Normal 9 5 4" xfId="1418" xr:uid="{00000000-0005-0000-0000-000063200000}"/>
    <cellStyle name="Normal 9 5 4 2" xfId="3648" xr:uid="{00000000-0005-0000-0000-000064200000}"/>
    <cellStyle name="Normal 9 5 4 2 2" xfId="7870" xr:uid="{00000000-0005-0000-0000-000065200000}"/>
    <cellStyle name="Normal 9 5 4 2 2 2" xfId="16320" xr:uid="{B858AC99-EDDC-47A1-97F2-15830EE70126}"/>
    <cellStyle name="Normal 9 5 4 2 3" xfId="12102" xr:uid="{491987AB-41FD-4FF5-A85C-5CF4D00668DA}"/>
    <cellStyle name="Normal 9 5 4 3" xfId="5725" xr:uid="{00000000-0005-0000-0000-000066200000}"/>
    <cellStyle name="Normal 9 5 4 3 2" xfId="14175" xr:uid="{FBE70412-570C-4E74-B900-0CDDA3A98602}"/>
    <cellStyle name="Normal 9 5 4 4" xfId="9957" xr:uid="{E6825A63-1A21-4E75-AF44-E81FAF816338}"/>
    <cellStyle name="Normal 9 5 5" xfId="1831" xr:uid="{00000000-0005-0000-0000-000067200000}"/>
    <cellStyle name="Normal 9 5 5 2" xfId="4061" xr:uid="{00000000-0005-0000-0000-000068200000}"/>
    <cellStyle name="Normal 9 5 5 2 2" xfId="8283" xr:uid="{00000000-0005-0000-0000-000069200000}"/>
    <cellStyle name="Normal 9 5 5 2 2 2" xfId="16733" xr:uid="{FA909AE0-BFBD-460C-9877-823B7B642F5D}"/>
    <cellStyle name="Normal 9 5 5 2 3" xfId="12515" xr:uid="{5737DA1F-CF9A-4633-AF08-D07368941E1C}"/>
    <cellStyle name="Normal 9 5 5 3" xfId="6138" xr:uid="{00000000-0005-0000-0000-00006A200000}"/>
    <cellStyle name="Normal 9 5 5 3 2" xfId="14588" xr:uid="{F741F6D1-7A40-4A1B-B6C6-84149677CFE1}"/>
    <cellStyle name="Normal 9 5 5 4" xfId="10370" xr:uid="{5DC99015-7173-4F8C-8166-D125582F883B}"/>
    <cellStyle name="Normal 9 5 6" xfId="2245" xr:uid="{00000000-0005-0000-0000-00006B200000}"/>
    <cellStyle name="Normal 9 5 6 2" xfId="4474" xr:uid="{00000000-0005-0000-0000-00006C200000}"/>
    <cellStyle name="Normal 9 5 6 2 2" xfId="8696" xr:uid="{00000000-0005-0000-0000-00006D200000}"/>
    <cellStyle name="Normal 9 5 6 2 2 2" xfId="17146" xr:uid="{2E7FB35C-DC85-4C1C-BCA9-3C981A241A1E}"/>
    <cellStyle name="Normal 9 5 6 2 3" xfId="12928" xr:uid="{C35FEE24-D100-4B9A-A2A7-F7DB1C58AA8A}"/>
    <cellStyle name="Normal 9 5 6 3" xfId="6551" xr:uid="{00000000-0005-0000-0000-00006E200000}"/>
    <cellStyle name="Normal 9 5 6 3 2" xfId="15001" xr:uid="{654D922E-F832-4D85-B085-0D81C77E7508}"/>
    <cellStyle name="Normal 9 5 6 4" xfId="10783" xr:uid="{C7B87391-F46F-430A-9885-CCD626336E93}"/>
    <cellStyle name="Normal 9 5 7" xfId="2681" xr:uid="{00000000-0005-0000-0000-00006F200000}"/>
    <cellStyle name="Normal 9 5 7 2" xfId="6964" xr:uid="{00000000-0005-0000-0000-000070200000}"/>
    <cellStyle name="Normal 9 5 7 2 2" xfId="15414" xr:uid="{8AA09983-BD4E-4D19-A3F6-C470BEBEE0D1}"/>
    <cellStyle name="Normal 9 5 7 3" xfId="11196" xr:uid="{AAB8A50F-0C47-4290-B26A-AF4CD5602A4D}"/>
    <cellStyle name="Normal 9 5 8" xfId="4899" xr:uid="{00000000-0005-0000-0000-000071200000}"/>
    <cellStyle name="Normal 9 5 8 2" xfId="13349" xr:uid="{E69C6568-2C36-4F65-8A6E-0C078F2A9072}"/>
    <cellStyle name="Normal 9 5 9" xfId="9131" xr:uid="{70EABC61-69D8-497C-9D73-45BC7CA3804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9E7EE714-A3A4-40F0-A7C9-4AA1FE0E7CD7}"/>
    <cellStyle name="Normal 9 6 2 2 3" xfId="11691" xr:uid="{B7B3FFB3-5980-4125-9045-4427633DFCF2}"/>
    <cellStyle name="Normal 9 6 2 3" xfId="5314" xr:uid="{00000000-0005-0000-0000-000076200000}"/>
    <cellStyle name="Normal 9 6 2 3 2" xfId="13764" xr:uid="{181AD0EF-6F81-4FC8-B051-78309421F0D4}"/>
    <cellStyle name="Normal 9 6 2 4" xfId="9546" xr:uid="{89A7CB1A-E9EB-43FD-9CC6-64B9D2A2B040}"/>
    <cellStyle name="Normal 9 6 3" xfId="1420" xr:uid="{00000000-0005-0000-0000-000077200000}"/>
    <cellStyle name="Normal 9 6 3 2" xfId="3650" xr:uid="{00000000-0005-0000-0000-000078200000}"/>
    <cellStyle name="Normal 9 6 3 2 2" xfId="7872" xr:uid="{00000000-0005-0000-0000-000079200000}"/>
    <cellStyle name="Normal 9 6 3 2 2 2" xfId="16322" xr:uid="{289F7088-71B3-407A-8F9A-230C690472A4}"/>
    <cellStyle name="Normal 9 6 3 2 3" xfId="12104" xr:uid="{A358CFA7-D9FA-4B73-9C12-05E94136C2C5}"/>
    <cellStyle name="Normal 9 6 3 3" xfId="5727" xr:uid="{00000000-0005-0000-0000-00007A200000}"/>
    <cellStyle name="Normal 9 6 3 3 2" xfId="14177" xr:uid="{F9AEAD23-297F-479B-8D22-8FB48A4A4233}"/>
    <cellStyle name="Normal 9 6 3 4" xfId="9959" xr:uid="{147A5354-5885-47F0-B379-4233084C8080}"/>
    <cellStyle name="Normal 9 6 4" xfId="1833" xr:uid="{00000000-0005-0000-0000-00007B200000}"/>
    <cellStyle name="Normal 9 6 4 2" xfId="4063" xr:uid="{00000000-0005-0000-0000-00007C200000}"/>
    <cellStyle name="Normal 9 6 4 2 2" xfId="8285" xr:uid="{00000000-0005-0000-0000-00007D200000}"/>
    <cellStyle name="Normal 9 6 4 2 2 2" xfId="16735" xr:uid="{6BA6E48F-DD51-4E3D-B6C1-AED76697B9FC}"/>
    <cellStyle name="Normal 9 6 4 2 3" xfId="12517" xr:uid="{3723B8C9-DD6B-4DB8-9B0C-C48C1AA21BD8}"/>
    <cellStyle name="Normal 9 6 4 3" xfId="6140" xr:uid="{00000000-0005-0000-0000-00007E200000}"/>
    <cellStyle name="Normal 9 6 4 3 2" xfId="14590" xr:uid="{38C80F5A-48DF-4B74-A5C9-764EE12A5D3D}"/>
    <cellStyle name="Normal 9 6 4 4" xfId="10372" xr:uid="{964DA1E4-BC93-4DDC-BE6D-0E31C547EFA9}"/>
    <cellStyle name="Normal 9 6 5" xfId="2247" xr:uid="{00000000-0005-0000-0000-00007F200000}"/>
    <cellStyle name="Normal 9 6 5 2" xfId="4476" xr:uid="{00000000-0005-0000-0000-000080200000}"/>
    <cellStyle name="Normal 9 6 5 2 2" xfId="8698" xr:uid="{00000000-0005-0000-0000-000081200000}"/>
    <cellStyle name="Normal 9 6 5 2 2 2" xfId="17148" xr:uid="{E7D1336C-0636-42F3-B94F-2836F086ABB7}"/>
    <cellStyle name="Normal 9 6 5 2 3" xfId="12930" xr:uid="{ADA7AD24-DC42-49FC-ABE0-60A6DC849EDB}"/>
    <cellStyle name="Normal 9 6 5 3" xfId="6553" xr:uid="{00000000-0005-0000-0000-000082200000}"/>
    <cellStyle name="Normal 9 6 5 3 2" xfId="15003" xr:uid="{BD0A11F3-EEBF-4BBE-BBA8-87BA0BEE2D3B}"/>
    <cellStyle name="Normal 9 6 5 4" xfId="10785" xr:uid="{735F8C23-36EC-4948-9692-D361F341BDD2}"/>
    <cellStyle name="Normal 9 6 6" xfId="2683" xr:uid="{00000000-0005-0000-0000-000083200000}"/>
    <cellStyle name="Normal 9 6 6 2" xfId="6966" xr:uid="{00000000-0005-0000-0000-000084200000}"/>
    <cellStyle name="Normal 9 6 6 2 2" xfId="15416" xr:uid="{1AB26EB4-8A3A-4CBE-B911-2D5A9276AA3D}"/>
    <cellStyle name="Normal 9 6 6 3" xfId="11198" xr:uid="{40E58961-F132-49F7-87B8-F00D7B3F2C1E}"/>
    <cellStyle name="Normal 9 6 7" xfId="4901" xr:uid="{00000000-0005-0000-0000-000085200000}"/>
    <cellStyle name="Normal 9 6 7 2" xfId="13351" xr:uid="{E7D22CD1-1424-48C9-9ADF-6C1E39F01439}"/>
    <cellStyle name="Normal 9 6 8" xfId="9133" xr:uid="{BC0762DC-26B3-456F-9E21-5BC50FC58B3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5E80B675-7D62-4978-84AC-B6E64802A645}"/>
    <cellStyle name="Note 2 2 10 3" xfId="11279" xr:uid="{0C6DF6BF-CC07-4FB6-A2AA-B9ED77ADB13E}"/>
    <cellStyle name="Note 2 2 11" xfId="4902" xr:uid="{00000000-0005-0000-0000-000094200000}"/>
    <cellStyle name="Note 2 2 11 2" xfId="13352" xr:uid="{922EC5B5-9D24-4ED9-B779-827A61809725}"/>
    <cellStyle name="Note 2 2 12" xfId="9134" xr:uid="{142A91A1-5319-428F-99A6-628BA8AABD46}"/>
    <cellStyle name="Note 2 2 2" xfId="546" xr:uid="{00000000-0005-0000-0000-000095200000}"/>
    <cellStyle name="Note 2 2 2 10" xfId="4903" xr:uid="{00000000-0005-0000-0000-000096200000}"/>
    <cellStyle name="Note 2 2 2 10 2" xfId="13353" xr:uid="{F9E4D6CA-BBCC-41D3-A817-F345CF1EBBB9}"/>
    <cellStyle name="Note 2 2 2 11" xfId="9135" xr:uid="{58FD88D9-417A-40CC-B747-3D11F398DCC8}"/>
    <cellStyle name="Note 2 2 2 2" xfId="547" xr:uid="{00000000-0005-0000-0000-000097200000}"/>
    <cellStyle name="Note 2 2 2 2 10" xfId="9136" xr:uid="{6698F41D-66B8-4466-8B19-8415CFA8D260}"/>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AAB1D83A-D051-4AFB-8AD6-753D24A39C0E}"/>
    <cellStyle name="Note 2 2 2 2 2 2 3" xfId="11694" xr:uid="{05F7DAF0-56A2-4D99-B3BC-B0E2BC1C168A}"/>
    <cellStyle name="Note 2 2 2 2 2 3" xfId="5317" xr:uid="{00000000-0005-0000-0000-00009B200000}"/>
    <cellStyle name="Note 2 2 2 2 2 3 2" xfId="13767" xr:uid="{288FC86D-AC0C-4E24-B1DD-9C953D6C2144}"/>
    <cellStyle name="Note 2 2 2 2 2 4" xfId="9549" xr:uid="{DD7A0200-D879-4322-AC57-830FE20EB8A2}"/>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C8FA1C20-6BF1-4493-86F7-CE26A4C3633D}"/>
    <cellStyle name="Note 2 2 2 2 3 2 3" xfId="12107" xr:uid="{5AD2C96C-A349-4EFB-8049-99771DBC35E3}"/>
    <cellStyle name="Note 2 2 2 2 3 3" xfId="5730" xr:uid="{00000000-0005-0000-0000-00009F200000}"/>
    <cellStyle name="Note 2 2 2 2 3 3 2" xfId="14180" xr:uid="{19F02F56-0681-4AC8-A3A8-41A59351365C}"/>
    <cellStyle name="Note 2 2 2 2 3 4" xfId="9962" xr:uid="{F7D120E1-F99E-4293-AC47-63494625B60A}"/>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E7B12E00-5D39-40FF-87A9-E28ECFA399E5}"/>
    <cellStyle name="Note 2 2 2 2 4 2 3" xfId="12520" xr:uid="{507BF9D7-1569-484D-8C30-A9EB22B1D220}"/>
    <cellStyle name="Note 2 2 2 2 4 3" xfId="6143" xr:uid="{00000000-0005-0000-0000-0000A3200000}"/>
    <cellStyle name="Note 2 2 2 2 4 3 2" xfId="14593" xr:uid="{FF7EFBC4-D2C2-4637-9341-9305F2B5FA07}"/>
    <cellStyle name="Note 2 2 2 2 4 4" xfId="10375" xr:uid="{496C04E0-E109-440C-B545-26EB52B161F7}"/>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72D346B0-0E4C-4387-AFB4-41B21C6FE375}"/>
    <cellStyle name="Note 2 2 2 2 5 2 3" xfId="12933" xr:uid="{2C83923E-C9CF-461B-BB39-42BA747D5AA8}"/>
    <cellStyle name="Note 2 2 2 2 5 3" xfId="6556" xr:uid="{00000000-0005-0000-0000-0000A7200000}"/>
    <cellStyle name="Note 2 2 2 2 5 3 2" xfId="15006" xr:uid="{2E8626BB-ED03-4463-AD78-0B56D404079B}"/>
    <cellStyle name="Note 2 2 2 2 5 4" xfId="10788" xr:uid="{F3C937EC-52DC-4461-B893-1DE30FF204BF}"/>
    <cellStyle name="Note 2 2 2 2 6" xfId="2686" xr:uid="{00000000-0005-0000-0000-0000A8200000}"/>
    <cellStyle name="Note 2 2 2 2 6 2" xfId="6969" xr:uid="{00000000-0005-0000-0000-0000A9200000}"/>
    <cellStyle name="Note 2 2 2 2 6 2 2" xfId="15419" xr:uid="{56DB81CC-CDC9-4B91-8251-715203C4ECA3}"/>
    <cellStyle name="Note 2 2 2 2 6 3" xfId="11201" xr:uid="{371DC6CD-5A3B-4255-A38A-41E1446D0EFC}"/>
    <cellStyle name="Note 2 2 2 2 7" xfId="2745" xr:uid="{00000000-0005-0000-0000-0000AA200000}"/>
    <cellStyle name="Note 2 2 2 2 8" xfId="2826" xr:uid="{00000000-0005-0000-0000-0000AB200000}"/>
    <cellStyle name="Note 2 2 2 2 8 2" xfId="7049" xr:uid="{00000000-0005-0000-0000-0000AC200000}"/>
    <cellStyle name="Note 2 2 2 2 8 2 2" xfId="15499" xr:uid="{53F1194E-AE9D-4913-AC5F-39449F6A1703}"/>
    <cellStyle name="Note 2 2 2 2 8 3" xfId="11281" xr:uid="{38CCFE3C-3497-4150-A946-11C25A0F3270}"/>
    <cellStyle name="Note 2 2 2 2 9" xfId="4904" xr:uid="{00000000-0005-0000-0000-0000AD200000}"/>
    <cellStyle name="Note 2 2 2 2 9 2" xfId="13354" xr:uid="{A5E58625-1336-4C97-8335-5385938645D2}"/>
    <cellStyle name="Note 2 2 2 3" xfId="1007" xr:uid="{00000000-0005-0000-0000-0000AE200000}"/>
    <cellStyle name="Note 2 2 2 3 2" xfId="3239" xr:uid="{00000000-0005-0000-0000-0000AF200000}"/>
    <cellStyle name="Note 2 2 2 3 2 2" xfId="7461" xr:uid="{00000000-0005-0000-0000-0000B0200000}"/>
    <cellStyle name="Note 2 2 2 3 2 2 2" xfId="15911" xr:uid="{5AA84B68-ED78-4C37-8A0C-4B4A98D8E93C}"/>
    <cellStyle name="Note 2 2 2 3 2 3" xfId="11693" xr:uid="{DBB3F2A3-47F2-4360-9181-072E05671F00}"/>
    <cellStyle name="Note 2 2 2 3 3" xfId="5316" xr:uid="{00000000-0005-0000-0000-0000B1200000}"/>
    <cellStyle name="Note 2 2 2 3 3 2" xfId="13766" xr:uid="{7554D9EB-2230-4BA0-9B7A-5EF528EE837B}"/>
    <cellStyle name="Note 2 2 2 3 4" xfId="9548" xr:uid="{5E721F52-3CCA-461B-9F74-9C5B58343076}"/>
    <cellStyle name="Note 2 2 2 4" xfId="1422" xr:uid="{00000000-0005-0000-0000-0000B2200000}"/>
    <cellStyle name="Note 2 2 2 4 2" xfId="3652" xr:uid="{00000000-0005-0000-0000-0000B3200000}"/>
    <cellStyle name="Note 2 2 2 4 2 2" xfId="7874" xr:uid="{00000000-0005-0000-0000-0000B4200000}"/>
    <cellStyle name="Note 2 2 2 4 2 2 2" xfId="16324" xr:uid="{FDAB6A64-E888-4515-A617-86C8BFCBDE2F}"/>
    <cellStyle name="Note 2 2 2 4 2 3" xfId="12106" xr:uid="{EC911F71-B2CF-42C3-A3D6-0A6794A45DA2}"/>
    <cellStyle name="Note 2 2 2 4 3" xfId="5729" xr:uid="{00000000-0005-0000-0000-0000B5200000}"/>
    <cellStyle name="Note 2 2 2 4 3 2" xfId="14179" xr:uid="{B35CBD4E-4D21-42C2-AD24-CA4C86CB5D2F}"/>
    <cellStyle name="Note 2 2 2 4 4" xfId="9961" xr:uid="{594F9DB9-FD5A-4F90-AF00-8341A60A50ED}"/>
    <cellStyle name="Note 2 2 2 5" xfId="1836" xr:uid="{00000000-0005-0000-0000-0000B6200000}"/>
    <cellStyle name="Note 2 2 2 5 2" xfId="4065" xr:uid="{00000000-0005-0000-0000-0000B7200000}"/>
    <cellStyle name="Note 2 2 2 5 2 2" xfId="8287" xr:uid="{00000000-0005-0000-0000-0000B8200000}"/>
    <cellStyle name="Note 2 2 2 5 2 2 2" xfId="16737" xr:uid="{3ACACB8F-31E8-4C26-94B0-69D50951502A}"/>
    <cellStyle name="Note 2 2 2 5 2 3" xfId="12519" xr:uid="{9D3F8905-8F8F-4EE2-9172-BF89FEDE5360}"/>
    <cellStyle name="Note 2 2 2 5 3" xfId="6142" xr:uid="{00000000-0005-0000-0000-0000B9200000}"/>
    <cellStyle name="Note 2 2 2 5 3 2" xfId="14592" xr:uid="{93737020-4147-414F-918A-E4CECD55F3EC}"/>
    <cellStyle name="Note 2 2 2 5 4" xfId="10374" xr:uid="{AA348449-BEAB-483A-87E8-600188F365EB}"/>
    <cellStyle name="Note 2 2 2 6" xfId="2249" xr:uid="{00000000-0005-0000-0000-0000BA200000}"/>
    <cellStyle name="Note 2 2 2 6 2" xfId="4478" xr:uid="{00000000-0005-0000-0000-0000BB200000}"/>
    <cellStyle name="Note 2 2 2 6 2 2" xfId="8700" xr:uid="{00000000-0005-0000-0000-0000BC200000}"/>
    <cellStyle name="Note 2 2 2 6 2 2 2" xfId="17150" xr:uid="{AB0D30E6-0F33-4239-BBD7-AC00B4D52183}"/>
    <cellStyle name="Note 2 2 2 6 2 3" xfId="12932" xr:uid="{71FA6857-26A8-41C4-AAE7-06DBEE188429}"/>
    <cellStyle name="Note 2 2 2 6 3" xfId="6555" xr:uid="{00000000-0005-0000-0000-0000BD200000}"/>
    <cellStyle name="Note 2 2 2 6 3 2" xfId="15005" xr:uid="{AA8A0D38-DF04-41C8-8353-C737D19F1058}"/>
    <cellStyle name="Note 2 2 2 6 4" xfId="10787" xr:uid="{D946813B-F40B-4067-A482-1782B11266C4}"/>
    <cellStyle name="Note 2 2 2 7" xfId="2685" xr:uid="{00000000-0005-0000-0000-0000BE200000}"/>
    <cellStyle name="Note 2 2 2 7 2" xfId="6968" xr:uid="{00000000-0005-0000-0000-0000BF200000}"/>
    <cellStyle name="Note 2 2 2 7 2 2" xfId="15418" xr:uid="{EEC46AC3-2B08-4BBD-AA14-969F85C144CA}"/>
    <cellStyle name="Note 2 2 2 7 3" xfId="11200" xr:uid="{071211F4-7645-4140-9587-D13A7544790F}"/>
    <cellStyle name="Note 2 2 2 8" xfId="2744" xr:uid="{00000000-0005-0000-0000-0000C0200000}"/>
    <cellStyle name="Note 2 2 2 9" xfId="2825" xr:uid="{00000000-0005-0000-0000-0000C1200000}"/>
    <cellStyle name="Note 2 2 2 9 2" xfId="7048" xr:uid="{00000000-0005-0000-0000-0000C2200000}"/>
    <cellStyle name="Note 2 2 2 9 2 2" xfId="15498" xr:uid="{9833F972-2CCE-4A1F-B691-6597A5E8C668}"/>
    <cellStyle name="Note 2 2 2 9 3" xfId="11280" xr:uid="{AE50AB67-C36C-4A6F-A174-BE02239557DE}"/>
    <cellStyle name="Note 2 2 3" xfId="548" xr:uid="{00000000-0005-0000-0000-0000C3200000}"/>
    <cellStyle name="Note 2 2 3 10" xfId="9137" xr:uid="{0ECF25E9-CB02-40B7-A815-0D2FF8DCE1E0}"/>
    <cellStyle name="Note 2 2 3 2" xfId="1009" xr:uid="{00000000-0005-0000-0000-0000C4200000}"/>
    <cellStyle name="Note 2 2 3 2 2" xfId="3241" xr:uid="{00000000-0005-0000-0000-0000C5200000}"/>
    <cellStyle name="Note 2 2 3 2 2 2" xfId="7463" xr:uid="{00000000-0005-0000-0000-0000C6200000}"/>
    <cellStyle name="Note 2 2 3 2 2 2 2" xfId="15913" xr:uid="{789BD15C-309A-42C1-A9B3-06335EB6C191}"/>
    <cellStyle name="Note 2 2 3 2 2 3" xfId="11695" xr:uid="{F9DF81C5-F6B1-43B4-91F0-0203F8801F24}"/>
    <cellStyle name="Note 2 2 3 2 3" xfId="5318" xr:uid="{00000000-0005-0000-0000-0000C7200000}"/>
    <cellStyle name="Note 2 2 3 2 3 2" xfId="13768" xr:uid="{97A15421-9B93-4717-82A9-C6144EFF4A0E}"/>
    <cellStyle name="Note 2 2 3 2 4" xfId="9550" xr:uid="{7465C74E-EC18-4423-A928-429AEE125FF5}"/>
    <cellStyle name="Note 2 2 3 3" xfId="1424" xr:uid="{00000000-0005-0000-0000-0000C8200000}"/>
    <cellStyle name="Note 2 2 3 3 2" xfId="3654" xr:uid="{00000000-0005-0000-0000-0000C9200000}"/>
    <cellStyle name="Note 2 2 3 3 2 2" xfId="7876" xr:uid="{00000000-0005-0000-0000-0000CA200000}"/>
    <cellStyle name="Note 2 2 3 3 2 2 2" xfId="16326" xr:uid="{612E2F02-82AE-4780-80AE-9D87B46D66F4}"/>
    <cellStyle name="Note 2 2 3 3 2 3" xfId="12108" xr:uid="{B501CB07-7111-428A-BFFB-8F86E588563F}"/>
    <cellStyle name="Note 2 2 3 3 3" xfId="5731" xr:uid="{00000000-0005-0000-0000-0000CB200000}"/>
    <cellStyle name="Note 2 2 3 3 3 2" xfId="14181" xr:uid="{C197E73C-022C-4944-8F69-94756F482A4A}"/>
    <cellStyle name="Note 2 2 3 3 4" xfId="9963" xr:uid="{45DB8B77-8DE1-489E-B74B-520C4FCCE3FA}"/>
    <cellStyle name="Note 2 2 3 4" xfId="1838" xr:uid="{00000000-0005-0000-0000-0000CC200000}"/>
    <cellStyle name="Note 2 2 3 4 2" xfId="4067" xr:uid="{00000000-0005-0000-0000-0000CD200000}"/>
    <cellStyle name="Note 2 2 3 4 2 2" xfId="8289" xr:uid="{00000000-0005-0000-0000-0000CE200000}"/>
    <cellStyle name="Note 2 2 3 4 2 2 2" xfId="16739" xr:uid="{C6F4DE21-1944-43C6-B8CC-9C195DF04C52}"/>
    <cellStyle name="Note 2 2 3 4 2 3" xfId="12521" xr:uid="{BB55C0A9-C80A-4EA0-9C9B-BD6B38FF1E2F}"/>
    <cellStyle name="Note 2 2 3 4 3" xfId="6144" xr:uid="{00000000-0005-0000-0000-0000CF200000}"/>
    <cellStyle name="Note 2 2 3 4 3 2" xfId="14594" xr:uid="{EA4A4469-D056-4ED1-8944-F7B78A42318F}"/>
    <cellStyle name="Note 2 2 3 4 4" xfId="10376" xr:uid="{FACF68F8-62ED-41AE-87E9-1F1CD2A33296}"/>
    <cellStyle name="Note 2 2 3 5" xfId="2251" xr:uid="{00000000-0005-0000-0000-0000D0200000}"/>
    <cellStyle name="Note 2 2 3 5 2" xfId="4480" xr:uid="{00000000-0005-0000-0000-0000D1200000}"/>
    <cellStyle name="Note 2 2 3 5 2 2" xfId="8702" xr:uid="{00000000-0005-0000-0000-0000D2200000}"/>
    <cellStyle name="Note 2 2 3 5 2 2 2" xfId="17152" xr:uid="{C845685B-36B2-46A6-B7E5-52AB6184A54F}"/>
    <cellStyle name="Note 2 2 3 5 2 3" xfId="12934" xr:uid="{ED9D07DC-56FF-43E3-81CB-F50A1AE1295A}"/>
    <cellStyle name="Note 2 2 3 5 3" xfId="6557" xr:uid="{00000000-0005-0000-0000-0000D3200000}"/>
    <cellStyle name="Note 2 2 3 5 3 2" xfId="15007" xr:uid="{335EA37B-83D0-4E7F-810F-C9FAD339F8AA}"/>
    <cellStyle name="Note 2 2 3 5 4" xfId="10789" xr:uid="{F1D75F1A-A1DE-409A-A817-C63D95651607}"/>
    <cellStyle name="Note 2 2 3 6" xfId="2687" xr:uid="{00000000-0005-0000-0000-0000D4200000}"/>
    <cellStyle name="Note 2 2 3 6 2" xfId="6970" xr:uid="{00000000-0005-0000-0000-0000D5200000}"/>
    <cellStyle name="Note 2 2 3 6 2 2" xfId="15420" xr:uid="{D9DD85A8-2C87-4287-A74E-13BAF08220A8}"/>
    <cellStyle name="Note 2 2 3 6 3" xfId="11202" xr:uid="{65870546-5431-4C5A-B7BC-01D997D992B8}"/>
    <cellStyle name="Note 2 2 3 7" xfId="2746" xr:uid="{00000000-0005-0000-0000-0000D6200000}"/>
    <cellStyle name="Note 2 2 3 8" xfId="2827" xr:uid="{00000000-0005-0000-0000-0000D7200000}"/>
    <cellStyle name="Note 2 2 3 8 2" xfId="7050" xr:uid="{00000000-0005-0000-0000-0000D8200000}"/>
    <cellStyle name="Note 2 2 3 8 2 2" xfId="15500" xr:uid="{44E60D6C-3B8D-443A-92B4-EA46DE2E5D92}"/>
    <cellStyle name="Note 2 2 3 8 3" xfId="11282" xr:uid="{64B9D7E1-B9FD-4DAF-BCE0-C9E918D92000}"/>
    <cellStyle name="Note 2 2 3 9" xfId="4905" xr:uid="{00000000-0005-0000-0000-0000D9200000}"/>
    <cellStyle name="Note 2 2 3 9 2" xfId="13355" xr:uid="{E300877E-51C1-4724-B41E-659CCE4F8EB2}"/>
    <cellStyle name="Note 2 2 4" xfId="1006" xr:uid="{00000000-0005-0000-0000-0000DA200000}"/>
    <cellStyle name="Note 2 2 4 2" xfId="3238" xr:uid="{00000000-0005-0000-0000-0000DB200000}"/>
    <cellStyle name="Note 2 2 4 2 2" xfId="7460" xr:uid="{00000000-0005-0000-0000-0000DC200000}"/>
    <cellStyle name="Note 2 2 4 2 2 2" xfId="15910" xr:uid="{9F389ACA-4E23-469D-A722-14A3B21964FB}"/>
    <cellStyle name="Note 2 2 4 2 3" xfId="11692" xr:uid="{9E2AC19A-547E-4214-9259-654049C18D5A}"/>
    <cellStyle name="Note 2 2 4 3" xfId="5315" xr:uid="{00000000-0005-0000-0000-0000DD200000}"/>
    <cellStyle name="Note 2 2 4 3 2" xfId="13765" xr:uid="{D051AF8A-D7F7-4A8C-802E-74E7E0357550}"/>
    <cellStyle name="Note 2 2 4 4" xfId="9547" xr:uid="{8474DB0E-6CB9-4B72-AC17-9BCE4CF753C2}"/>
    <cellStyle name="Note 2 2 5" xfId="1421" xr:uid="{00000000-0005-0000-0000-0000DE200000}"/>
    <cellStyle name="Note 2 2 5 2" xfId="3651" xr:uid="{00000000-0005-0000-0000-0000DF200000}"/>
    <cellStyle name="Note 2 2 5 2 2" xfId="7873" xr:uid="{00000000-0005-0000-0000-0000E0200000}"/>
    <cellStyle name="Note 2 2 5 2 2 2" xfId="16323" xr:uid="{B58169A3-ACA9-4787-80F7-300D70666CEB}"/>
    <cellStyle name="Note 2 2 5 2 3" xfId="12105" xr:uid="{8BE8A78E-8774-440E-A2B1-1F8B860FEBE1}"/>
    <cellStyle name="Note 2 2 5 3" xfId="5728" xr:uid="{00000000-0005-0000-0000-0000E1200000}"/>
    <cellStyle name="Note 2 2 5 3 2" xfId="14178" xr:uid="{E0986D8E-7263-4F8D-BECF-BA5593475E6F}"/>
    <cellStyle name="Note 2 2 5 4" xfId="9960" xr:uid="{1DB23863-32C3-45E1-9901-CF2665AEF175}"/>
    <cellStyle name="Note 2 2 6" xfId="1835" xr:uid="{00000000-0005-0000-0000-0000E2200000}"/>
    <cellStyle name="Note 2 2 6 2" xfId="4064" xr:uid="{00000000-0005-0000-0000-0000E3200000}"/>
    <cellStyle name="Note 2 2 6 2 2" xfId="8286" xr:uid="{00000000-0005-0000-0000-0000E4200000}"/>
    <cellStyle name="Note 2 2 6 2 2 2" xfId="16736" xr:uid="{80C1BC0D-99E5-42AC-B54B-CB5C34F423A8}"/>
    <cellStyle name="Note 2 2 6 2 3" xfId="12518" xr:uid="{33C2D9BE-689E-402C-A816-75FD0CD92047}"/>
    <cellStyle name="Note 2 2 6 3" xfId="6141" xr:uid="{00000000-0005-0000-0000-0000E5200000}"/>
    <cellStyle name="Note 2 2 6 3 2" xfId="14591" xr:uid="{56F3407A-0862-4119-A199-F66BD3E5FEA9}"/>
    <cellStyle name="Note 2 2 6 4" xfId="10373" xr:uid="{1FD855BE-10B6-4B80-BD51-BE4A54114591}"/>
    <cellStyle name="Note 2 2 7" xfId="2248" xr:uid="{00000000-0005-0000-0000-0000E6200000}"/>
    <cellStyle name="Note 2 2 7 2" xfId="4477" xr:uid="{00000000-0005-0000-0000-0000E7200000}"/>
    <cellStyle name="Note 2 2 7 2 2" xfId="8699" xr:uid="{00000000-0005-0000-0000-0000E8200000}"/>
    <cellStyle name="Note 2 2 7 2 2 2" xfId="17149" xr:uid="{41E74A2C-7FA0-487B-9EF4-1D99CF08EA06}"/>
    <cellStyle name="Note 2 2 7 2 3" xfId="12931" xr:uid="{A649A3D4-0FBC-491D-952B-6DE27F4C8CC1}"/>
    <cellStyle name="Note 2 2 7 3" xfId="6554" xr:uid="{00000000-0005-0000-0000-0000E9200000}"/>
    <cellStyle name="Note 2 2 7 3 2" xfId="15004" xr:uid="{10DBC404-805B-4EC0-A4F1-05C73FC7FFF5}"/>
    <cellStyle name="Note 2 2 7 4" xfId="10786" xr:uid="{6317247D-A8CC-442D-B082-43F656CACA64}"/>
    <cellStyle name="Note 2 2 8" xfId="2684" xr:uid="{00000000-0005-0000-0000-0000EA200000}"/>
    <cellStyle name="Note 2 2 8 2" xfId="6967" xr:uid="{00000000-0005-0000-0000-0000EB200000}"/>
    <cellStyle name="Note 2 2 8 2 2" xfId="15417" xr:uid="{5CCA1A4A-AF33-4D2C-A127-6F7345476BF6}"/>
    <cellStyle name="Note 2 2 8 3" xfId="11199" xr:uid="{13BE4A1A-CD4D-433F-8A77-C7C9601541B6}"/>
    <cellStyle name="Note 2 2 9" xfId="2743" xr:uid="{00000000-0005-0000-0000-0000EC200000}"/>
    <cellStyle name="Note 2 3" xfId="549" xr:uid="{00000000-0005-0000-0000-0000ED200000}"/>
    <cellStyle name="Note 2 3 10" xfId="4906" xr:uid="{00000000-0005-0000-0000-0000EE200000}"/>
    <cellStyle name="Note 2 3 10 2" xfId="13356" xr:uid="{C1835B0D-B8CD-498F-847A-0CC7E5AC1088}"/>
    <cellStyle name="Note 2 3 11" xfId="9138" xr:uid="{A1B7307A-9509-48D6-9A03-0D00AD3F8249}"/>
    <cellStyle name="Note 2 3 2" xfId="550" xr:uid="{00000000-0005-0000-0000-0000EF200000}"/>
    <cellStyle name="Note 2 3 2 10" xfId="9139" xr:uid="{4C1A6C72-F7C0-42E1-9A37-ED1CCAAA81B6}"/>
    <cellStyle name="Note 2 3 2 2" xfId="1011" xr:uid="{00000000-0005-0000-0000-0000F0200000}"/>
    <cellStyle name="Note 2 3 2 2 2" xfId="3243" xr:uid="{00000000-0005-0000-0000-0000F1200000}"/>
    <cellStyle name="Note 2 3 2 2 2 2" xfId="7465" xr:uid="{00000000-0005-0000-0000-0000F2200000}"/>
    <cellStyle name="Note 2 3 2 2 2 2 2" xfId="15915" xr:uid="{6835AD2F-4AFC-4B5E-9CE1-87C4AF2A3AEC}"/>
    <cellStyle name="Note 2 3 2 2 2 3" xfId="11697" xr:uid="{DD18C5C3-BBCF-4A3B-9350-97846B58EA56}"/>
    <cellStyle name="Note 2 3 2 2 3" xfId="5320" xr:uid="{00000000-0005-0000-0000-0000F3200000}"/>
    <cellStyle name="Note 2 3 2 2 3 2" xfId="13770" xr:uid="{7F3B302D-CFDE-4ED4-99EC-233DB66248F9}"/>
    <cellStyle name="Note 2 3 2 2 4" xfId="9552" xr:uid="{5CDAD5C7-179C-428A-BBDE-3CC3C7A4BE68}"/>
    <cellStyle name="Note 2 3 2 3" xfId="1426" xr:uid="{00000000-0005-0000-0000-0000F4200000}"/>
    <cellStyle name="Note 2 3 2 3 2" xfId="3656" xr:uid="{00000000-0005-0000-0000-0000F5200000}"/>
    <cellStyle name="Note 2 3 2 3 2 2" xfId="7878" xr:uid="{00000000-0005-0000-0000-0000F6200000}"/>
    <cellStyle name="Note 2 3 2 3 2 2 2" xfId="16328" xr:uid="{BA1F1F28-BA2B-45F1-81E5-D0911364DFB5}"/>
    <cellStyle name="Note 2 3 2 3 2 3" xfId="12110" xr:uid="{D5044DE1-4400-4BA8-9833-A286ED103AA0}"/>
    <cellStyle name="Note 2 3 2 3 3" xfId="5733" xr:uid="{00000000-0005-0000-0000-0000F7200000}"/>
    <cellStyle name="Note 2 3 2 3 3 2" xfId="14183" xr:uid="{D4F537CF-F627-4E43-8809-60D11947AFF4}"/>
    <cellStyle name="Note 2 3 2 3 4" xfId="9965" xr:uid="{AC4B5F53-35C9-4E63-8A4F-8B2C81230389}"/>
    <cellStyle name="Note 2 3 2 4" xfId="1840" xr:uid="{00000000-0005-0000-0000-0000F8200000}"/>
    <cellStyle name="Note 2 3 2 4 2" xfId="4069" xr:uid="{00000000-0005-0000-0000-0000F9200000}"/>
    <cellStyle name="Note 2 3 2 4 2 2" xfId="8291" xr:uid="{00000000-0005-0000-0000-0000FA200000}"/>
    <cellStyle name="Note 2 3 2 4 2 2 2" xfId="16741" xr:uid="{8F8DCE42-51E6-46FA-9B1E-FA7DB245649D}"/>
    <cellStyle name="Note 2 3 2 4 2 3" xfId="12523" xr:uid="{C600053E-C6FB-4DDD-BB37-9384250EEC14}"/>
    <cellStyle name="Note 2 3 2 4 3" xfId="6146" xr:uid="{00000000-0005-0000-0000-0000FB200000}"/>
    <cellStyle name="Note 2 3 2 4 3 2" xfId="14596" xr:uid="{2EC12271-40E5-4A20-BAB3-47A6CC0F276C}"/>
    <cellStyle name="Note 2 3 2 4 4" xfId="10378" xr:uid="{69EAD46B-B280-4D00-BF2C-D89139C9A2E9}"/>
    <cellStyle name="Note 2 3 2 5" xfId="2253" xr:uid="{00000000-0005-0000-0000-0000FC200000}"/>
    <cellStyle name="Note 2 3 2 5 2" xfId="4482" xr:uid="{00000000-0005-0000-0000-0000FD200000}"/>
    <cellStyle name="Note 2 3 2 5 2 2" xfId="8704" xr:uid="{00000000-0005-0000-0000-0000FE200000}"/>
    <cellStyle name="Note 2 3 2 5 2 2 2" xfId="17154" xr:uid="{83EABC64-B8E0-42A6-A749-E2E66A7A50BD}"/>
    <cellStyle name="Note 2 3 2 5 2 3" xfId="12936" xr:uid="{7B632D6B-318A-491A-9001-7946EE1C08C7}"/>
    <cellStyle name="Note 2 3 2 5 3" xfId="6559" xr:uid="{00000000-0005-0000-0000-0000FF200000}"/>
    <cellStyle name="Note 2 3 2 5 3 2" xfId="15009" xr:uid="{3CA2827D-5CAB-4739-9B88-BE4EE864492B}"/>
    <cellStyle name="Note 2 3 2 5 4" xfId="10791" xr:uid="{42F3FB2A-749A-4770-ACEC-72495752515E}"/>
    <cellStyle name="Note 2 3 2 6" xfId="2689" xr:uid="{00000000-0005-0000-0000-000000210000}"/>
    <cellStyle name="Note 2 3 2 6 2" xfId="6972" xr:uid="{00000000-0005-0000-0000-000001210000}"/>
    <cellStyle name="Note 2 3 2 6 2 2" xfId="15422" xr:uid="{1ED13FF7-7D61-4904-9E10-5FBCEF54134D}"/>
    <cellStyle name="Note 2 3 2 6 3" xfId="11204" xr:uid="{BDD2B31E-B0D0-43D9-892F-B49A41317EE2}"/>
    <cellStyle name="Note 2 3 2 7" xfId="2748" xr:uid="{00000000-0005-0000-0000-000002210000}"/>
    <cellStyle name="Note 2 3 2 8" xfId="2829" xr:uid="{00000000-0005-0000-0000-000003210000}"/>
    <cellStyle name="Note 2 3 2 8 2" xfId="7052" xr:uid="{00000000-0005-0000-0000-000004210000}"/>
    <cellStyle name="Note 2 3 2 8 2 2" xfId="15502" xr:uid="{BEC35015-FBCC-4C28-A0C1-02D352B3E436}"/>
    <cellStyle name="Note 2 3 2 8 3" xfId="11284" xr:uid="{936DCC93-AEBA-4A8F-9DF8-3D6C4A0E4DDC}"/>
    <cellStyle name="Note 2 3 2 9" xfId="4907" xr:uid="{00000000-0005-0000-0000-000005210000}"/>
    <cellStyle name="Note 2 3 2 9 2" xfId="13357" xr:uid="{1A8A7AB9-7BD9-4AC4-A1BA-C7C960F88DCC}"/>
    <cellStyle name="Note 2 3 3" xfId="1010" xr:uid="{00000000-0005-0000-0000-000006210000}"/>
    <cellStyle name="Note 2 3 3 2" xfId="3242" xr:uid="{00000000-0005-0000-0000-000007210000}"/>
    <cellStyle name="Note 2 3 3 2 2" xfId="7464" xr:uid="{00000000-0005-0000-0000-000008210000}"/>
    <cellStyle name="Note 2 3 3 2 2 2" xfId="15914" xr:uid="{DFFB1004-E623-4F7C-8D9B-5E0517FA2338}"/>
    <cellStyle name="Note 2 3 3 2 3" xfId="11696" xr:uid="{A55FE575-D62C-4BDB-877E-5FB1ADF75D2C}"/>
    <cellStyle name="Note 2 3 3 3" xfId="5319" xr:uid="{00000000-0005-0000-0000-000009210000}"/>
    <cellStyle name="Note 2 3 3 3 2" xfId="13769" xr:uid="{4D6B6800-DBBB-42F0-921C-F59FBA058F6A}"/>
    <cellStyle name="Note 2 3 3 4" xfId="9551" xr:uid="{9D132E7A-9AE9-446D-A6D3-81B2CA7CB581}"/>
    <cellStyle name="Note 2 3 4" xfId="1425" xr:uid="{00000000-0005-0000-0000-00000A210000}"/>
    <cellStyle name="Note 2 3 4 2" xfId="3655" xr:uid="{00000000-0005-0000-0000-00000B210000}"/>
    <cellStyle name="Note 2 3 4 2 2" xfId="7877" xr:uid="{00000000-0005-0000-0000-00000C210000}"/>
    <cellStyle name="Note 2 3 4 2 2 2" xfId="16327" xr:uid="{DD8225DB-B66B-4274-8DBC-5645246D2C8D}"/>
    <cellStyle name="Note 2 3 4 2 3" xfId="12109" xr:uid="{C464B25C-C0C1-435E-BB37-E3D3FA676085}"/>
    <cellStyle name="Note 2 3 4 3" xfId="5732" xr:uid="{00000000-0005-0000-0000-00000D210000}"/>
    <cellStyle name="Note 2 3 4 3 2" xfId="14182" xr:uid="{30817D17-B424-4199-8775-90DE67FD0B67}"/>
    <cellStyle name="Note 2 3 4 4" xfId="9964" xr:uid="{EB216777-5E29-43E4-8152-73A8F62FBC88}"/>
    <cellStyle name="Note 2 3 5" xfId="1839" xr:uid="{00000000-0005-0000-0000-00000E210000}"/>
    <cellStyle name="Note 2 3 5 2" xfId="4068" xr:uid="{00000000-0005-0000-0000-00000F210000}"/>
    <cellStyle name="Note 2 3 5 2 2" xfId="8290" xr:uid="{00000000-0005-0000-0000-000010210000}"/>
    <cellStyle name="Note 2 3 5 2 2 2" xfId="16740" xr:uid="{BE369A5B-01F3-4EDF-9DDD-62DF078B3D64}"/>
    <cellStyle name="Note 2 3 5 2 3" xfId="12522" xr:uid="{312ADBAB-11E0-46F1-AD37-3139C0D3AD19}"/>
    <cellStyle name="Note 2 3 5 3" xfId="6145" xr:uid="{00000000-0005-0000-0000-000011210000}"/>
    <cellStyle name="Note 2 3 5 3 2" xfId="14595" xr:uid="{61F06549-D077-461C-B119-D26765960C29}"/>
    <cellStyle name="Note 2 3 5 4" xfId="10377" xr:uid="{18A31178-A036-40E3-AD5D-97417834F471}"/>
    <cellStyle name="Note 2 3 6" xfId="2252" xr:uid="{00000000-0005-0000-0000-000012210000}"/>
    <cellStyle name="Note 2 3 6 2" xfId="4481" xr:uid="{00000000-0005-0000-0000-000013210000}"/>
    <cellStyle name="Note 2 3 6 2 2" xfId="8703" xr:uid="{00000000-0005-0000-0000-000014210000}"/>
    <cellStyle name="Note 2 3 6 2 2 2" xfId="17153" xr:uid="{B916C0CD-387F-41C3-B45A-CA0978377F36}"/>
    <cellStyle name="Note 2 3 6 2 3" xfId="12935" xr:uid="{E13398FD-9D13-42F1-8BB2-87A4F3626F60}"/>
    <cellStyle name="Note 2 3 6 3" xfId="6558" xr:uid="{00000000-0005-0000-0000-000015210000}"/>
    <cellStyle name="Note 2 3 6 3 2" xfId="15008" xr:uid="{242EE325-1297-4AB6-8021-0DA13F49C187}"/>
    <cellStyle name="Note 2 3 6 4" xfId="10790" xr:uid="{B3A1AF93-1C0E-4B8E-818B-B145082AAD7C}"/>
    <cellStyle name="Note 2 3 7" xfId="2688" xr:uid="{00000000-0005-0000-0000-000016210000}"/>
    <cellStyle name="Note 2 3 7 2" xfId="6971" xr:uid="{00000000-0005-0000-0000-000017210000}"/>
    <cellStyle name="Note 2 3 7 2 2" xfId="15421" xr:uid="{265E8735-9563-4BE4-AF90-0B31A1D8CFE0}"/>
    <cellStyle name="Note 2 3 7 3" xfId="11203" xr:uid="{2DC55A87-1B86-419D-9069-955C239E5E48}"/>
    <cellStyle name="Note 2 3 8" xfId="2747" xr:uid="{00000000-0005-0000-0000-000018210000}"/>
    <cellStyle name="Note 2 3 9" xfId="2828" xr:uid="{00000000-0005-0000-0000-000019210000}"/>
    <cellStyle name="Note 2 3 9 2" xfId="7051" xr:uid="{00000000-0005-0000-0000-00001A210000}"/>
    <cellStyle name="Note 2 3 9 2 2" xfId="15501" xr:uid="{3DA06F86-B259-4D17-A6E7-BF6117E676CE}"/>
    <cellStyle name="Note 2 3 9 3" xfId="11283" xr:uid="{0C8BF081-81C3-4A91-982C-1E352B2C5508}"/>
    <cellStyle name="Note 2 4" xfId="551" xr:uid="{00000000-0005-0000-0000-00001B210000}"/>
    <cellStyle name="Note 2 4 10" xfId="9140" xr:uid="{22B7F632-757B-4DA0-97E4-8A36DD056E46}"/>
    <cellStyle name="Note 2 4 2" xfId="1012" xr:uid="{00000000-0005-0000-0000-00001C210000}"/>
    <cellStyle name="Note 2 4 2 2" xfId="3244" xr:uid="{00000000-0005-0000-0000-00001D210000}"/>
    <cellStyle name="Note 2 4 2 2 2" xfId="7466" xr:uid="{00000000-0005-0000-0000-00001E210000}"/>
    <cellStyle name="Note 2 4 2 2 2 2" xfId="15916" xr:uid="{79E596B0-F290-4C79-981C-B39518C6ED58}"/>
    <cellStyle name="Note 2 4 2 2 3" xfId="11698" xr:uid="{0264063F-E3AC-472B-ABD2-3E619F3FEB77}"/>
    <cellStyle name="Note 2 4 2 3" xfId="5321" xr:uid="{00000000-0005-0000-0000-00001F210000}"/>
    <cellStyle name="Note 2 4 2 3 2" xfId="13771" xr:uid="{E45C0230-DFF5-4A4C-BB79-6BE6E0863A88}"/>
    <cellStyle name="Note 2 4 2 4" xfId="9553" xr:uid="{BAE2BA90-5228-41DA-9C74-C6E7CC297070}"/>
    <cellStyle name="Note 2 4 3" xfId="1427" xr:uid="{00000000-0005-0000-0000-000020210000}"/>
    <cellStyle name="Note 2 4 3 2" xfId="3657" xr:uid="{00000000-0005-0000-0000-000021210000}"/>
    <cellStyle name="Note 2 4 3 2 2" xfId="7879" xr:uid="{00000000-0005-0000-0000-000022210000}"/>
    <cellStyle name="Note 2 4 3 2 2 2" xfId="16329" xr:uid="{9007D3E2-8666-4745-9D6A-F048F8A33B47}"/>
    <cellStyle name="Note 2 4 3 2 3" xfId="12111" xr:uid="{40B029EA-8AD5-4C20-89B7-6ABE58424220}"/>
    <cellStyle name="Note 2 4 3 3" xfId="5734" xr:uid="{00000000-0005-0000-0000-000023210000}"/>
    <cellStyle name="Note 2 4 3 3 2" xfId="14184" xr:uid="{DFDF8B1D-D4D9-4495-A81F-F88F13E4A884}"/>
    <cellStyle name="Note 2 4 3 4" xfId="9966" xr:uid="{1F9C8D6A-F226-4DB5-AFE2-3E2BD40288FF}"/>
    <cellStyle name="Note 2 4 4" xfId="1841" xr:uid="{00000000-0005-0000-0000-000024210000}"/>
    <cellStyle name="Note 2 4 4 2" xfId="4070" xr:uid="{00000000-0005-0000-0000-000025210000}"/>
    <cellStyle name="Note 2 4 4 2 2" xfId="8292" xr:uid="{00000000-0005-0000-0000-000026210000}"/>
    <cellStyle name="Note 2 4 4 2 2 2" xfId="16742" xr:uid="{F92A69AB-657C-4942-A3D1-3465AE52B634}"/>
    <cellStyle name="Note 2 4 4 2 3" xfId="12524" xr:uid="{CC35688C-2BF2-4ACA-BD6A-A41245424CAB}"/>
    <cellStyle name="Note 2 4 4 3" xfId="6147" xr:uid="{00000000-0005-0000-0000-000027210000}"/>
    <cellStyle name="Note 2 4 4 3 2" xfId="14597" xr:uid="{883330FF-46E7-40FB-BA57-BAB49BE2564D}"/>
    <cellStyle name="Note 2 4 4 4" xfId="10379" xr:uid="{13FAB03F-7D9D-436F-921D-8C765CA59629}"/>
    <cellStyle name="Note 2 4 5" xfId="2254" xr:uid="{00000000-0005-0000-0000-000028210000}"/>
    <cellStyle name="Note 2 4 5 2" xfId="4483" xr:uid="{00000000-0005-0000-0000-000029210000}"/>
    <cellStyle name="Note 2 4 5 2 2" xfId="8705" xr:uid="{00000000-0005-0000-0000-00002A210000}"/>
    <cellStyle name="Note 2 4 5 2 2 2" xfId="17155" xr:uid="{EBC07DF7-AC99-437C-877B-16B95AB6D0FC}"/>
    <cellStyle name="Note 2 4 5 2 3" xfId="12937" xr:uid="{BF764847-1E58-4A8E-9B6C-2A630DD7E92C}"/>
    <cellStyle name="Note 2 4 5 3" xfId="6560" xr:uid="{00000000-0005-0000-0000-00002B210000}"/>
    <cellStyle name="Note 2 4 5 3 2" xfId="15010" xr:uid="{9904582F-9A6B-4B11-A06C-734230A0EB6B}"/>
    <cellStyle name="Note 2 4 5 4" xfId="10792" xr:uid="{38C20F13-77CA-4F7B-80D5-4FBE177A584E}"/>
    <cellStyle name="Note 2 4 6" xfId="2690" xr:uid="{00000000-0005-0000-0000-00002C210000}"/>
    <cellStyle name="Note 2 4 6 2" xfId="6973" xr:uid="{00000000-0005-0000-0000-00002D210000}"/>
    <cellStyle name="Note 2 4 6 2 2" xfId="15423" xr:uid="{8F4E97E0-2C95-4640-9F96-DBB7225A0F39}"/>
    <cellStyle name="Note 2 4 6 3" xfId="11205" xr:uid="{62A68E38-C918-4C50-8806-2A4F6BD26573}"/>
    <cellStyle name="Note 2 4 7" xfId="2749" xr:uid="{00000000-0005-0000-0000-00002E210000}"/>
    <cellStyle name="Note 2 4 8" xfId="2830" xr:uid="{00000000-0005-0000-0000-00002F210000}"/>
    <cellStyle name="Note 2 4 8 2" xfId="7053" xr:uid="{00000000-0005-0000-0000-000030210000}"/>
    <cellStyle name="Note 2 4 8 2 2" xfId="15503" xr:uid="{272DEC51-A168-4B84-874A-C7C327E1F65E}"/>
    <cellStyle name="Note 2 4 8 3" xfId="11285" xr:uid="{A78A196E-0969-4D9A-9D90-FA946CDA27FD}"/>
    <cellStyle name="Note 2 4 9" xfId="4908" xr:uid="{00000000-0005-0000-0000-000031210000}"/>
    <cellStyle name="Note 2 4 9 2" xfId="13358" xr:uid="{83DC4BAF-B39A-4B81-AF1D-B4A33BE7EF89}"/>
    <cellStyle name="Note 2 5" xfId="552" xr:uid="{00000000-0005-0000-0000-000032210000}"/>
    <cellStyle name="Note 2 5 10" xfId="9141" xr:uid="{D32247DA-0508-42BC-A38C-12D7D6F49200}"/>
    <cellStyle name="Note 2 5 2" xfId="1013" xr:uid="{00000000-0005-0000-0000-000033210000}"/>
    <cellStyle name="Note 2 5 2 2" xfId="3245" xr:uid="{00000000-0005-0000-0000-000034210000}"/>
    <cellStyle name="Note 2 5 2 2 2" xfId="7467" xr:uid="{00000000-0005-0000-0000-000035210000}"/>
    <cellStyle name="Note 2 5 2 2 2 2" xfId="15917" xr:uid="{A10554CE-DE7B-4D95-BB9D-974FB5CAF68E}"/>
    <cellStyle name="Note 2 5 2 2 3" xfId="11699" xr:uid="{2A396BDE-A29D-4E80-9B4A-21C48EED4B88}"/>
    <cellStyle name="Note 2 5 2 3" xfId="5322" xr:uid="{00000000-0005-0000-0000-000036210000}"/>
    <cellStyle name="Note 2 5 2 3 2" xfId="13772" xr:uid="{6638973F-C0DA-436E-AA4F-F8B74B2808ED}"/>
    <cellStyle name="Note 2 5 2 4" xfId="9554" xr:uid="{0A3BAE32-4F38-4927-98D3-D8FD9EAA45EB}"/>
    <cellStyle name="Note 2 5 3" xfId="1428" xr:uid="{00000000-0005-0000-0000-000037210000}"/>
    <cellStyle name="Note 2 5 3 2" xfId="3658" xr:uid="{00000000-0005-0000-0000-000038210000}"/>
    <cellStyle name="Note 2 5 3 2 2" xfId="7880" xr:uid="{00000000-0005-0000-0000-000039210000}"/>
    <cellStyle name="Note 2 5 3 2 2 2" xfId="16330" xr:uid="{DEF29B2A-320F-4520-B0BC-C81CC7759B30}"/>
    <cellStyle name="Note 2 5 3 2 3" xfId="12112" xr:uid="{F970B4B5-B425-4323-9E20-A38ADC2DA00E}"/>
    <cellStyle name="Note 2 5 3 3" xfId="5735" xr:uid="{00000000-0005-0000-0000-00003A210000}"/>
    <cellStyle name="Note 2 5 3 3 2" xfId="14185" xr:uid="{CC43A04F-733A-42F8-A9C4-877562EC8AEC}"/>
    <cellStyle name="Note 2 5 3 4" xfId="9967" xr:uid="{12CBC0EF-68B6-4774-A358-E5A430727E18}"/>
    <cellStyle name="Note 2 5 4" xfId="1842" xr:uid="{00000000-0005-0000-0000-00003B210000}"/>
    <cellStyle name="Note 2 5 4 2" xfId="4071" xr:uid="{00000000-0005-0000-0000-00003C210000}"/>
    <cellStyle name="Note 2 5 4 2 2" xfId="8293" xr:uid="{00000000-0005-0000-0000-00003D210000}"/>
    <cellStyle name="Note 2 5 4 2 2 2" xfId="16743" xr:uid="{789E0EDC-FD9E-41FD-BF0D-8B64DCFF5077}"/>
    <cellStyle name="Note 2 5 4 2 3" xfId="12525" xr:uid="{736DC731-25C5-457F-8FBB-141C7BF6A1E8}"/>
    <cellStyle name="Note 2 5 4 3" xfId="6148" xr:uid="{00000000-0005-0000-0000-00003E210000}"/>
    <cellStyle name="Note 2 5 4 3 2" xfId="14598" xr:uid="{E48C4985-8132-4CBC-A737-CE9D8999C802}"/>
    <cellStyle name="Note 2 5 4 4" xfId="10380" xr:uid="{248BC97A-9C0C-4B2A-A4D3-C736F4BE1073}"/>
    <cellStyle name="Note 2 5 5" xfId="2255" xr:uid="{00000000-0005-0000-0000-00003F210000}"/>
    <cellStyle name="Note 2 5 5 2" xfId="4484" xr:uid="{00000000-0005-0000-0000-000040210000}"/>
    <cellStyle name="Note 2 5 5 2 2" xfId="8706" xr:uid="{00000000-0005-0000-0000-000041210000}"/>
    <cellStyle name="Note 2 5 5 2 2 2" xfId="17156" xr:uid="{6CFFA3F4-49AD-4397-927C-1F075FFFFD82}"/>
    <cellStyle name="Note 2 5 5 2 3" xfId="12938" xr:uid="{D7219DCD-673A-4A49-A569-26BB5C38C2B0}"/>
    <cellStyle name="Note 2 5 5 3" xfId="6561" xr:uid="{00000000-0005-0000-0000-000042210000}"/>
    <cellStyle name="Note 2 5 5 3 2" xfId="15011" xr:uid="{40DA585D-A1F1-456B-8359-B46F58ACFF5F}"/>
    <cellStyle name="Note 2 5 5 4" xfId="10793" xr:uid="{F84E4983-7072-42CD-90E9-AE20E186ED58}"/>
    <cellStyle name="Note 2 5 6" xfId="2691" xr:uid="{00000000-0005-0000-0000-000043210000}"/>
    <cellStyle name="Note 2 5 6 2" xfId="6974" xr:uid="{00000000-0005-0000-0000-000044210000}"/>
    <cellStyle name="Note 2 5 6 2 2" xfId="15424" xr:uid="{24C2CCA8-3298-40EE-9526-68B53A9D2142}"/>
    <cellStyle name="Note 2 5 6 3" xfId="11206" xr:uid="{C7B6E75E-2B18-44B1-B5AD-06EE296ABA23}"/>
    <cellStyle name="Note 2 5 7" xfId="2750" xr:uid="{00000000-0005-0000-0000-000045210000}"/>
    <cellStyle name="Note 2 5 8" xfId="2831" xr:uid="{00000000-0005-0000-0000-000046210000}"/>
    <cellStyle name="Note 2 5 8 2" xfId="7054" xr:uid="{00000000-0005-0000-0000-000047210000}"/>
    <cellStyle name="Note 2 5 8 2 2" xfId="15504" xr:uid="{72494FBE-64EB-4EB9-89A6-E87194217A54}"/>
    <cellStyle name="Note 2 5 8 3" xfId="11286" xr:uid="{082CB908-3303-40F0-8AA7-A9B980926E36}"/>
    <cellStyle name="Note 2 5 9" xfId="4909" xr:uid="{00000000-0005-0000-0000-000048210000}"/>
    <cellStyle name="Note 2 5 9 2" xfId="13359" xr:uid="{3C990B5B-8067-4DC6-A580-23BBA8B97D2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9E31D779-C3C8-4DEF-9569-0358D97E19BC}"/>
    <cellStyle name="Note 3 2 10 3" xfId="11287" xr:uid="{5EAEE39B-22FB-45F6-A91F-E4633FD991D5}"/>
    <cellStyle name="Note 3 2 11" xfId="4910" xr:uid="{00000000-0005-0000-0000-00004D210000}"/>
    <cellStyle name="Note 3 2 11 2" xfId="13360" xr:uid="{16E1E671-97C4-420D-A07B-15759D76D0F5}"/>
    <cellStyle name="Note 3 2 12" xfId="9142" xr:uid="{8D79B606-182F-4524-9D6A-2C6F4C18B5ED}"/>
    <cellStyle name="Note 3 2 2" xfId="555" xr:uid="{00000000-0005-0000-0000-00004E210000}"/>
    <cellStyle name="Note 3 2 2 10" xfId="4911" xr:uid="{00000000-0005-0000-0000-00004F210000}"/>
    <cellStyle name="Note 3 2 2 10 2" xfId="13361" xr:uid="{FAD6842C-2915-44B7-8A8C-068B3BA4C358}"/>
    <cellStyle name="Note 3 2 2 11" xfId="9143" xr:uid="{BE689513-9459-45FF-9587-5C603E9B7433}"/>
    <cellStyle name="Note 3 2 2 2" xfId="556" xr:uid="{00000000-0005-0000-0000-000050210000}"/>
    <cellStyle name="Note 3 2 2 2 10" xfId="9144" xr:uid="{CE7D10A5-8873-4211-8940-4675445AC2C7}"/>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334F1F96-A152-4C1E-9B62-A5ABD0F265C6}"/>
    <cellStyle name="Note 3 2 2 2 2 2 3" xfId="11702" xr:uid="{2C947B43-1000-4B5F-9008-04EBA176E867}"/>
    <cellStyle name="Note 3 2 2 2 2 3" xfId="5325" xr:uid="{00000000-0005-0000-0000-000054210000}"/>
    <cellStyle name="Note 3 2 2 2 2 3 2" xfId="13775" xr:uid="{D0FF449F-2BE6-4BE2-880E-F37B32AFC762}"/>
    <cellStyle name="Note 3 2 2 2 2 4" xfId="9557" xr:uid="{84EC75DB-218B-419A-80B4-84C216B4A3FF}"/>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AD01E9CF-0F30-4C7E-BBE2-1DF3D818E03A}"/>
    <cellStyle name="Note 3 2 2 2 3 2 3" xfId="12115" xr:uid="{AA75DCB9-84D2-4070-88D1-1A0B0DE3520C}"/>
    <cellStyle name="Note 3 2 2 2 3 3" xfId="5738" xr:uid="{00000000-0005-0000-0000-000058210000}"/>
    <cellStyle name="Note 3 2 2 2 3 3 2" xfId="14188" xr:uid="{FAED3A20-935A-408C-B1F8-0642819D2F02}"/>
    <cellStyle name="Note 3 2 2 2 3 4" xfId="9970" xr:uid="{EDFCF202-2A3D-49C1-8D24-05CFC428DD88}"/>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567DB218-475A-4D72-9309-D3C05E194815}"/>
    <cellStyle name="Note 3 2 2 2 4 2 3" xfId="12528" xr:uid="{39E29AED-07C8-420E-814D-D0738C91013E}"/>
    <cellStyle name="Note 3 2 2 2 4 3" xfId="6151" xr:uid="{00000000-0005-0000-0000-00005C210000}"/>
    <cellStyle name="Note 3 2 2 2 4 3 2" xfId="14601" xr:uid="{614E0B9C-DAE1-4F13-A4F0-F805200EE691}"/>
    <cellStyle name="Note 3 2 2 2 4 4" xfId="10383" xr:uid="{DB4DE291-F39F-46AD-8289-460628F98354}"/>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A1BC01C2-22B7-4624-BD22-B1B29A635852}"/>
    <cellStyle name="Note 3 2 2 2 5 2 3" xfId="12941" xr:uid="{88CE9720-B6AF-4E0E-BCAA-B537F9AE23A7}"/>
    <cellStyle name="Note 3 2 2 2 5 3" xfId="6564" xr:uid="{00000000-0005-0000-0000-000060210000}"/>
    <cellStyle name="Note 3 2 2 2 5 3 2" xfId="15014" xr:uid="{5EA8BE0E-993D-414E-A75E-A1A1A022D26A}"/>
    <cellStyle name="Note 3 2 2 2 5 4" xfId="10796" xr:uid="{F4194187-A3BD-433A-B9CB-67A5AD64C309}"/>
    <cellStyle name="Note 3 2 2 2 6" xfId="2694" xr:uid="{00000000-0005-0000-0000-000061210000}"/>
    <cellStyle name="Note 3 2 2 2 6 2" xfId="6977" xr:uid="{00000000-0005-0000-0000-000062210000}"/>
    <cellStyle name="Note 3 2 2 2 6 2 2" xfId="15427" xr:uid="{7C194692-D7FA-4469-B292-427C2027C681}"/>
    <cellStyle name="Note 3 2 2 2 6 3" xfId="11209" xr:uid="{0054A3E8-F5EB-495F-8079-DB0A2646A5A7}"/>
    <cellStyle name="Note 3 2 2 2 7" xfId="2753" xr:uid="{00000000-0005-0000-0000-000063210000}"/>
    <cellStyle name="Note 3 2 2 2 8" xfId="2834" xr:uid="{00000000-0005-0000-0000-000064210000}"/>
    <cellStyle name="Note 3 2 2 2 8 2" xfId="7057" xr:uid="{00000000-0005-0000-0000-000065210000}"/>
    <cellStyle name="Note 3 2 2 2 8 2 2" xfId="15507" xr:uid="{22466389-B0E2-4613-9B22-43AE7A6FA84D}"/>
    <cellStyle name="Note 3 2 2 2 8 3" xfId="11289" xr:uid="{2F4DAD17-783B-4FF5-B2E2-BECD2A52593D}"/>
    <cellStyle name="Note 3 2 2 2 9" xfId="4912" xr:uid="{00000000-0005-0000-0000-000066210000}"/>
    <cellStyle name="Note 3 2 2 2 9 2" xfId="13362" xr:uid="{E3FF36D9-41B4-4B05-9DE1-6ED76DF03FCF}"/>
    <cellStyle name="Note 3 2 2 3" xfId="1015" xr:uid="{00000000-0005-0000-0000-000067210000}"/>
    <cellStyle name="Note 3 2 2 3 2" xfId="3247" xr:uid="{00000000-0005-0000-0000-000068210000}"/>
    <cellStyle name="Note 3 2 2 3 2 2" xfId="7469" xr:uid="{00000000-0005-0000-0000-000069210000}"/>
    <cellStyle name="Note 3 2 2 3 2 2 2" xfId="15919" xr:uid="{1D0DFE22-6BBD-4DB2-9FC6-95F992F886D1}"/>
    <cellStyle name="Note 3 2 2 3 2 3" xfId="11701" xr:uid="{0C569054-8328-45DC-AC8F-EFBDD8F2DA4A}"/>
    <cellStyle name="Note 3 2 2 3 3" xfId="5324" xr:uid="{00000000-0005-0000-0000-00006A210000}"/>
    <cellStyle name="Note 3 2 2 3 3 2" xfId="13774" xr:uid="{2A319B58-0B82-47C4-92D3-4597F1B24D50}"/>
    <cellStyle name="Note 3 2 2 3 4" xfId="9556" xr:uid="{3688A2D4-10AB-4BF2-9A1A-4B6E5BF7389C}"/>
    <cellStyle name="Note 3 2 2 4" xfId="1430" xr:uid="{00000000-0005-0000-0000-00006B210000}"/>
    <cellStyle name="Note 3 2 2 4 2" xfId="3660" xr:uid="{00000000-0005-0000-0000-00006C210000}"/>
    <cellStyle name="Note 3 2 2 4 2 2" xfId="7882" xr:uid="{00000000-0005-0000-0000-00006D210000}"/>
    <cellStyle name="Note 3 2 2 4 2 2 2" xfId="16332" xr:uid="{9B36408E-C483-4C25-B7F7-8E999DB89DE7}"/>
    <cellStyle name="Note 3 2 2 4 2 3" xfId="12114" xr:uid="{1A5176BD-04B1-4A76-8019-A9984AE872A8}"/>
    <cellStyle name="Note 3 2 2 4 3" xfId="5737" xr:uid="{00000000-0005-0000-0000-00006E210000}"/>
    <cellStyle name="Note 3 2 2 4 3 2" xfId="14187" xr:uid="{57F04A39-1B34-4696-8D70-B66EB5E72148}"/>
    <cellStyle name="Note 3 2 2 4 4" xfId="9969" xr:uid="{89D9B87D-D3F8-456C-8FAC-1B119745A9A3}"/>
    <cellStyle name="Note 3 2 2 5" xfId="1844" xr:uid="{00000000-0005-0000-0000-00006F210000}"/>
    <cellStyle name="Note 3 2 2 5 2" xfId="4073" xr:uid="{00000000-0005-0000-0000-000070210000}"/>
    <cellStyle name="Note 3 2 2 5 2 2" xfId="8295" xr:uid="{00000000-0005-0000-0000-000071210000}"/>
    <cellStyle name="Note 3 2 2 5 2 2 2" xfId="16745" xr:uid="{57AE3F87-2A37-461B-BF3B-F49145B275E6}"/>
    <cellStyle name="Note 3 2 2 5 2 3" xfId="12527" xr:uid="{E44666A1-D44D-4F2B-813D-ED568567435C}"/>
    <cellStyle name="Note 3 2 2 5 3" xfId="6150" xr:uid="{00000000-0005-0000-0000-000072210000}"/>
    <cellStyle name="Note 3 2 2 5 3 2" xfId="14600" xr:uid="{2E0FF661-75FD-4C14-8524-264035FAB6F5}"/>
    <cellStyle name="Note 3 2 2 5 4" xfId="10382" xr:uid="{0DBDC215-F928-485D-ABAC-6AD8FD6064CC}"/>
    <cellStyle name="Note 3 2 2 6" xfId="2257" xr:uid="{00000000-0005-0000-0000-000073210000}"/>
    <cellStyle name="Note 3 2 2 6 2" xfId="4486" xr:uid="{00000000-0005-0000-0000-000074210000}"/>
    <cellStyle name="Note 3 2 2 6 2 2" xfId="8708" xr:uid="{00000000-0005-0000-0000-000075210000}"/>
    <cellStyle name="Note 3 2 2 6 2 2 2" xfId="17158" xr:uid="{E541460B-CE74-40B8-9BD9-08EF1D735517}"/>
    <cellStyle name="Note 3 2 2 6 2 3" xfId="12940" xr:uid="{80C8447A-AE9D-45CB-AFEB-3DF1FD07DBD0}"/>
    <cellStyle name="Note 3 2 2 6 3" xfId="6563" xr:uid="{00000000-0005-0000-0000-000076210000}"/>
    <cellStyle name="Note 3 2 2 6 3 2" xfId="15013" xr:uid="{21331D46-65BB-4CD4-85E5-C7889263F9BA}"/>
    <cellStyle name="Note 3 2 2 6 4" xfId="10795" xr:uid="{212BEE6B-0EDD-4054-B9E4-D6FD72956BAB}"/>
    <cellStyle name="Note 3 2 2 7" xfId="2693" xr:uid="{00000000-0005-0000-0000-000077210000}"/>
    <cellStyle name="Note 3 2 2 7 2" xfId="6976" xr:uid="{00000000-0005-0000-0000-000078210000}"/>
    <cellStyle name="Note 3 2 2 7 2 2" xfId="15426" xr:uid="{50FF81F4-06D3-4820-90F2-FD8BBC99BE66}"/>
    <cellStyle name="Note 3 2 2 7 3" xfId="11208" xr:uid="{CD55E2A8-59FA-4F17-9181-8A9C3C635152}"/>
    <cellStyle name="Note 3 2 2 8" xfId="2752" xr:uid="{00000000-0005-0000-0000-000079210000}"/>
    <cellStyle name="Note 3 2 2 9" xfId="2833" xr:uid="{00000000-0005-0000-0000-00007A210000}"/>
    <cellStyle name="Note 3 2 2 9 2" xfId="7056" xr:uid="{00000000-0005-0000-0000-00007B210000}"/>
    <cellStyle name="Note 3 2 2 9 2 2" xfId="15506" xr:uid="{A8E70A3D-8A66-4BA6-8F42-072FD28A1873}"/>
    <cellStyle name="Note 3 2 2 9 3" xfId="11288" xr:uid="{536DA02E-3466-4227-95DA-D4BCC81369A2}"/>
    <cellStyle name="Note 3 2 3" xfId="557" xr:uid="{00000000-0005-0000-0000-00007C210000}"/>
    <cellStyle name="Note 3 2 3 10" xfId="9145" xr:uid="{EAB9250F-B0A2-4A91-8002-9FA065433542}"/>
    <cellStyle name="Note 3 2 3 2" xfId="1017" xr:uid="{00000000-0005-0000-0000-00007D210000}"/>
    <cellStyle name="Note 3 2 3 2 2" xfId="3249" xr:uid="{00000000-0005-0000-0000-00007E210000}"/>
    <cellStyle name="Note 3 2 3 2 2 2" xfId="7471" xr:uid="{00000000-0005-0000-0000-00007F210000}"/>
    <cellStyle name="Note 3 2 3 2 2 2 2" xfId="15921" xr:uid="{241CFD4F-2E1E-478E-8E76-B5922B25EDE5}"/>
    <cellStyle name="Note 3 2 3 2 2 3" xfId="11703" xr:uid="{EC5A3CA0-DADA-417A-87AD-33593720C368}"/>
    <cellStyle name="Note 3 2 3 2 3" xfId="5326" xr:uid="{00000000-0005-0000-0000-000080210000}"/>
    <cellStyle name="Note 3 2 3 2 3 2" xfId="13776" xr:uid="{728F6D0F-D71D-411C-B101-D163A6596F61}"/>
    <cellStyle name="Note 3 2 3 2 4" xfId="9558" xr:uid="{4EED44C3-5C5E-48B4-83CB-4BB90D49003A}"/>
    <cellStyle name="Note 3 2 3 3" xfId="1432" xr:uid="{00000000-0005-0000-0000-000081210000}"/>
    <cellStyle name="Note 3 2 3 3 2" xfId="3662" xr:uid="{00000000-0005-0000-0000-000082210000}"/>
    <cellStyle name="Note 3 2 3 3 2 2" xfId="7884" xr:uid="{00000000-0005-0000-0000-000083210000}"/>
    <cellStyle name="Note 3 2 3 3 2 2 2" xfId="16334" xr:uid="{A3681745-FAA5-4BC0-BB40-83E83CD5372E}"/>
    <cellStyle name="Note 3 2 3 3 2 3" xfId="12116" xr:uid="{06C66677-00CC-4632-95AD-656B116D4E33}"/>
    <cellStyle name="Note 3 2 3 3 3" xfId="5739" xr:uid="{00000000-0005-0000-0000-000084210000}"/>
    <cellStyle name="Note 3 2 3 3 3 2" xfId="14189" xr:uid="{643CF061-2B1C-4346-9F3E-0E4374D54971}"/>
    <cellStyle name="Note 3 2 3 3 4" xfId="9971" xr:uid="{000A72AF-83B5-417C-BDD4-78EAE6450CBC}"/>
    <cellStyle name="Note 3 2 3 4" xfId="1846" xr:uid="{00000000-0005-0000-0000-000085210000}"/>
    <cellStyle name="Note 3 2 3 4 2" xfId="4075" xr:uid="{00000000-0005-0000-0000-000086210000}"/>
    <cellStyle name="Note 3 2 3 4 2 2" xfId="8297" xr:uid="{00000000-0005-0000-0000-000087210000}"/>
    <cellStyle name="Note 3 2 3 4 2 2 2" xfId="16747" xr:uid="{4E0D8D69-55F8-424F-ADF6-D30875656E56}"/>
    <cellStyle name="Note 3 2 3 4 2 3" xfId="12529" xr:uid="{9F876C01-0453-4D63-BD44-0801F9907AEA}"/>
    <cellStyle name="Note 3 2 3 4 3" xfId="6152" xr:uid="{00000000-0005-0000-0000-000088210000}"/>
    <cellStyle name="Note 3 2 3 4 3 2" xfId="14602" xr:uid="{AB524D8B-BE66-4617-8CEE-6B54AC491531}"/>
    <cellStyle name="Note 3 2 3 4 4" xfId="10384" xr:uid="{4EF43758-81F5-46F9-A9F3-49F1E006752A}"/>
    <cellStyle name="Note 3 2 3 5" xfId="2259" xr:uid="{00000000-0005-0000-0000-000089210000}"/>
    <cellStyle name="Note 3 2 3 5 2" xfId="4488" xr:uid="{00000000-0005-0000-0000-00008A210000}"/>
    <cellStyle name="Note 3 2 3 5 2 2" xfId="8710" xr:uid="{00000000-0005-0000-0000-00008B210000}"/>
    <cellStyle name="Note 3 2 3 5 2 2 2" xfId="17160" xr:uid="{EE7AC04F-007E-44D2-9D41-BFBB22DE9C2E}"/>
    <cellStyle name="Note 3 2 3 5 2 3" xfId="12942" xr:uid="{F3D33680-2491-4899-98DE-FC701BB2C4E1}"/>
    <cellStyle name="Note 3 2 3 5 3" xfId="6565" xr:uid="{00000000-0005-0000-0000-00008C210000}"/>
    <cellStyle name="Note 3 2 3 5 3 2" xfId="15015" xr:uid="{9B9AA473-7126-4C3D-BA58-5B693028D8A5}"/>
    <cellStyle name="Note 3 2 3 5 4" xfId="10797" xr:uid="{F1AE206B-D5A8-4F8C-A53C-E5F45E79818C}"/>
    <cellStyle name="Note 3 2 3 6" xfId="2695" xr:uid="{00000000-0005-0000-0000-00008D210000}"/>
    <cellStyle name="Note 3 2 3 6 2" xfId="6978" xr:uid="{00000000-0005-0000-0000-00008E210000}"/>
    <cellStyle name="Note 3 2 3 6 2 2" xfId="15428" xr:uid="{837E1614-4E97-4F02-82C3-190C66EA2EF6}"/>
    <cellStyle name="Note 3 2 3 6 3" xfId="11210" xr:uid="{F27EE35A-5777-49AC-93B8-5030B1E6DEBF}"/>
    <cellStyle name="Note 3 2 3 7" xfId="2754" xr:uid="{00000000-0005-0000-0000-00008F210000}"/>
    <cellStyle name="Note 3 2 3 8" xfId="2835" xr:uid="{00000000-0005-0000-0000-000090210000}"/>
    <cellStyle name="Note 3 2 3 8 2" xfId="7058" xr:uid="{00000000-0005-0000-0000-000091210000}"/>
    <cellStyle name="Note 3 2 3 8 2 2" xfId="15508" xr:uid="{F12206CA-ADA9-4625-BBE6-30CAAB05DC43}"/>
    <cellStyle name="Note 3 2 3 8 3" xfId="11290" xr:uid="{082BB9D3-B810-4369-9B25-19D65172FFA7}"/>
    <cellStyle name="Note 3 2 3 9" xfId="4913" xr:uid="{00000000-0005-0000-0000-000092210000}"/>
    <cellStyle name="Note 3 2 3 9 2" xfId="13363" xr:uid="{DBD36D3A-12B2-4D92-9330-E0BC16A71004}"/>
    <cellStyle name="Note 3 2 4" xfId="1014" xr:uid="{00000000-0005-0000-0000-000093210000}"/>
    <cellStyle name="Note 3 2 4 2" xfId="3246" xr:uid="{00000000-0005-0000-0000-000094210000}"/>
    <cellStyle name="Note 3 2 4 2 2" xfId="7468" xr:uid="{00000000-0005-0000-0000-000095210000}"/>
    <cellStyle name="Note 3 2 4 2 2 2" xfId="15918" xr:uid="{6E834461-44EE-4B54-A554-67DCF2C89AF8}"/>
    <cellStyle name="Note 3 2 4 2 3" xfId="11700" xr:uid="{A6D694E3-AD8B-4B30-AA44-C4E8B68A5013}"/>
    <cellStyle name="Note 3 2 4 3" xfId="5323" xr:uid="{00000000-0005-0000-0000-000096210000}"/>
    <cellStyle name="Note 3 2 4 3 2" xfId="13773" xr:uid="{B28008E2-C71B-4842-836B-37CC2718D597}"/>
    <cellStyle name="Note 3 2 4 4" xfId="9555" xr:uid="{E4B337C8-FF2A-4A1A-81AA-C5794ACDAFA2}"/>
    <cellStyle name="Note 3 2 5" xfId="1429" xr:uid="{00000000-0005-0000-0000-000097210000}"/>
    <cellStyle name="Note 3 2 5 2" xfId="3659" xr:uid="{00000000-0005-0000-0000-000098210000}"/>
    <cellStyle name="Note 3 2 5 2 2" xfId="7881" xr:uid="{00000000-0005-0000-0000-000099210000}"/>
    <cellStyle name="Note 3 2 5 2 2 2" xfId="16331" xr:uid="{0399E777-C208-4729-A4EE-A9188279152C}"/>
    <cellStyle name="Note 3 2 5 2 3" xfId="12113" xr:uid="{7A6588D8-AEE9-476D-BC3B-5A6D22C396DE}"/>
    <cellStyle name="Note 3 2 5 3" xfId="5736" xr:uid="{00000000-0005-0000-0000-00009A210000}"/>
    <cellStyle name="Note 3 2 5 3 2" xfId="14186" xr:uid="{F2999958-394A-497D-B5D3-F902CF806E93}"/>
    <cellStyle name="Note 3 2 5 4" xfId="9968" xr:uid="{B26CBFE2-EFB8-459C-A9D0-153D3DEE06C5}"/>
    <cellStyle name="Note 3 2 6" xfId="1843" xr:uid="{00000000-0005-0000-0000-00009B210000}"/>
    <cellStyle name="Note 3 2 6 2" xfId="4072" xr:uid="{00000000-0005-0000-0000-00009C210000}"/>
    <cellStyle name="Note 3 2 6 2 2" xfId="8294" xr:uid="{00000000-0005-0000-0000-00009D210000}"/>
    <cellStyle name="Note 3 2 6 2 2 2" xfId="16744" xr:uid="{94F80AFA-37C3-4A4F-9A42-57EEDE383B9A}"/>
    <cellStyle name="Note 3 2 6 2 3" xfId="12526" xr:uid="{C39D2A75-CDD6-4DAE-AF12-CB11619D879A}"/>
    <cellStyle name="Note 3 2 6 3" xfId="6149" xr:uid="{00000000-0005-0000-0000-00009E210000}"/>
    <cellStyle name="Note 3 2 6 3 2" xfId="14599" xr:uid="{F10C6D78-AE16-47D0-8CE2-4B840E48C497}"/>
    <cellStyle name="Note 3 2 6 4" xfId="10381" xr:uid="{2028D987-F563-41E4-A472-34E6FDB5C05A}"/>
    <cellStyle name="Note 3 2 7" xfId="2256" xr:uid="{00000000-0005-0000-0000-00009F210000}"/>
    <cellStyle name="Note 3 2 7 2" xfId="4485" xr:uid="{00000000-0005-0000-0000-0000A0210000}"/>
    <cellStyle name="Note 3 2 7 2 2" xfId="8707" xr:uid="{00000000-0005-0000-0000-0000A1210000}"/>
    <cellStyle name="Note 3 2 7 2 2 2" xfId="17157" xr:uid="{93792776-CA4E-471B-AB12-585D985D613A}"/>
    <cellStyle name="Note 3 2 7 2 3" xfId="12939" xr:uid="{E10137BB-BF37-416D-8F9A-05BD82D717D0}"/>
    <cellStyle name="Note 3 2 7 3" xfId="6562" xr:uid="{00000000-0005-0000-0000-0000A2210000}"/>
    <cellStyle name="Note 3 2 7 3 2" xfId="15012" xr:uid="{0D9741D0-ABF4-4704-A110-309491B6A969}"/>
    <cellStyle name="Note 3 2 7 4" xfId="10794" xr:uid="{CE18984F-0C89-4461-9353-9E7C92D1741D}"/>
    <cellStyle name="Note 3 2 8" xfId="2692" xr:uid="{00000000-0005-0000-0000-0000A3210000}"/>
    <cellStyle name="Note 3 2 8 2" xfId="6975" xr:uid="{00000000-0005-0000-0000-0000A4210000}"/>
    <cellStyle name="Note 3 2 8 2 2" xfId="15425" xr:uid="{867E9DBC-BA9D-487E-8856-A2CAC47DF316}"/>
    <cellStyle name="Note 3 2 8 3" xfId="11207" xr:uid="{E5C6AD51-38F1-4644-B3EE-88DD0EEA3F30}"/>
    <cellStyle name="Note 3 2 9" xfId="2751" xr:uid="{00000000-0005-0000-0000-0000A5210000}"/>
    <cellStyle name="Note 3 3" xfId="558" xr:uid="{00000000-0005-0000-0000-0000A6210000}"/>
    <cellStyle name="Note 3 3 10" xfId="4914" xr:uid="{00000000-0005-0000-0000-0000A7210000}"/>
    <cellStyle name="Note 3 3 10 2" xfId="13364" xr:uid="{6DE33418-B476-4560-949D-424ACE10507F}"/>
    <cellStyle name="Note 3 3 11" xfId="9146" xr:uid="{3F4BE2AD-E0FD-4B18-9A8C-4C03C4EB2AC7}"/>
    <cellStyle name="Note 3 3 2" xfId="559" xr:uid="{00000000-0005-0000-0000-0000A8210000}"/>
    <cellStyle name="Note 3 3 2 10" xfId="9147" xr:uid="{0F7DABDE-C0AE-47AA-AA3E-C299CA47A722}"/>
    <cellStyle name="Note 3 3 2 2" xfId="1019" xr:uid="{00000000-0005-0000-0000-0000A9210000}"/>
    <cellStyle name="Note 3 3 2 2 2" xfId="3251" xr:uid="{00000000-0005-0000-0000-0000AA210000}"/>
    <cellStyle name="Note 3 3 2 2 2 2" xfId="7473" xr:uid="{00000000-0005-0000-0000-0000AB210000}"/>
    <cellStyle name="Note 3 3 2 2 2 2 2" xfId="15923" xr:uid="{C271B455-3175-4FC0-897E-F6359A13B082}"/>
    <cellStyle name="Note 3 3 2 2 2 3" xfId="11705" xr:uid="{D372FE08-8B57-4EDD-B47B-4176EDFB329C}"/>
    <cellStyle name="Note 3 3 2 2 3" xfId="5328" xr:uid="{00000000-0005-0000-0000-0000AC210000}"/>
    <cellStyle name="Note 3 3 2 2 3 2" xfId="13778" xr:uid="{90CA3924-C745-4DFF-A18C-F19C821FA8DB}"/>
    <cellStyle name="Note 3 3 2 2 4" xfId="9560" xr:uid="{42ADD5EF-2111-4F91-9947-818558DF79E9}"/>
    <cellStyle name="Note 3 3 2 3" xfId="1434" xr:uid="{00000000-0005-0000-0000-0000AD210000}"/>
    <cellStyle name="Note 3 3 2 3 2" xfId="3664" xr:uid="{00000000-0005-0000-0000-0000AE210000}"/>
    <cellStyle name="Note 3 3 2 3 2 2" xfId="7886" xr:uid="{00000000-0005-0000-0000-0000AF210000}"/>
    <cellStyle name="Note 3 3 2 3 2 2 2" xfId="16336" xr:uid="{0E87D012-FE4C-41A5-9716-ECF4E5EB6CE5}"/>
    <cellStyle name="Note 3 3 2 3 2 3" xfId="12118" xr:uid="{23F0DFCB-5E4A-462D-8D2A-B4E0D48128AF}"/>
    <cellStyle name="Note 3 3 2 3 3" xfId="5741" xr:uid="{00000000-0005-0000-0000-0000B0210000}"/>
    <cellStyle name="Note 3 3 2 3 3 2" xfId="14191" xr:uid="{CAE77C20-36A4-4D96-B439-46DA79A4E161}"/>
    <cellStyle name="Note 3 3 2 3 4" xfId="9973" xr:uid="{D959B862-E894-4EE9-9A80-8CF445A49646}"/>
    <cellStyle name="Note 3 3 2 4" xfId="1848" xr:uid="{00000000-0005-0000-0000-0000B1210000}"/>
    <cellStyle name="Note 3 3 2 4 2" xfId="4077" xr:uid="{00000000-0005-0000-0000-0000B2210000}"/>
    <cellStyle name="Note 3 3 2 4 2 2" xfId="8299" xr:uid="{00000000-0005-0000-0000-0000B3210000}"/>
    <cellStyle name="Note 3 3 2 4 2 2 2" xfId="16749" xr:uid="{8602DD18-B2B6-485B-8D7D-A01FEB97C848}"/>
    <cellStyle name="Note 3 3 2 4 2 3" xfId="12531" xr:uid="{A2BADBBB-C87A-4CC8-B63B-AF7E31FD736A}"/>
    <cellStyle name="Note 3 3 2 4 3" xfId="6154" xr:uid="{00000000-0005-0000-0000-0000B4210000}"/>
    <cellStyle name="Note 3 3 2 4 3 2" xfId="14604" xr:uid="{5B142F8B-648F-47E6-9BA1-CB7ACE57EC5C}"/>
    <cellStyle name="Note 3 3 2 4 4" xfId="10386" xr:uid="{F9C19798-6324-44AA-AF09-D6A87AB6C9DC}"/>
    <cellStyle name="Note 3 3 2 5" xfId="2261" xr:uid="{00000000-0005-0000-0000-0000B5210000}"/>
    <cellStyle name="Note 3 3 2 5 2" xfId="4490" xr:uid="{00000000-0005-0000-0000-0000B6210000}"/>
    <cellStyle name="Note 3 3 2 5 2 2" xfId="8712" xr:uid="{00000000-0005-0000-0000-0000B7210000}"/>
    <cellStyle name="Note 3 3 2 5 2 2 2" xfId="17162" xr:uid="{9D3DA232-B8EB-4947-BD8A-CF7A1A4A9003}"/>
    <cellStyle name="Note 3 3 2 5 2 3" xfId="12944" xr:uid="{BB51CCE7-8125-4CD7-AF75-F978151EB937}"/>
    <cellStyle name="Note 3 3 2 5 3" xfId="6567" xr:uid="{00000000-0005-0000-0000-0000B8210000}"/>
    <cellStyle name="Note 3 3 2 5 3 2" xfId="15017" xr:uid="{2922223D-BD64-4C35-952D-96890A8F8D7D}"/>
    <cellStyle name="Note 3 3 2 5 4" xfId="10799" xr:uid="{A356CA58-11BE-4BFB-BE30-F1B428346BEA}"/>
    <cellStyle name="Note 3 3 2 6" xfId="2697" xr:uid="{00000000-0005-0000-0000-0000B9210000}"/>
    <cellStyle name="Note 3 3 2 6 2" xfId="6980" xr:uid="{00000000-0005-0000-0000-0000BA210000}"/>
    <cellStyle name="Note 3 3 2 6 2 2" xfId="15430" xr:uid="{A03C9E9B-FE94-467A-909F-9F7687F3A39A}"/>
    <cellStyle name="Note 3 3 2 6 3" xfId="11212" xr:uid="{DBC14C43-52FE-4CA8-9A32-6C6C1FD4B011}"/>
    <cellStyle name="Note 3 3 2 7" xfId="2756" xr:uid="{00000000-0005-0000-0000-0000BB210000}"/>
    <cellStyle name="Note 3 3 2 8" xfId="2837" xr:uid="{00000000-0005-0000-0000-0000BC210000}"/>
    <cellStyle name="Note 3 3 2 8 2" xfId="7060" xr:uid="{00000000-0005-0000-0000-0000BD210000}"/>
    <cellStyle name="Note 3 3 2 8 2 2" xfId="15510" xr:uid="{86620056-76A6-422E-A6C1-09F34BE29C57}"/>
    <cellStyle name="Note 3 3 2 8 3" xfId="11292" xr:uid="{3E905F54-8379-4DDB-B028-36C46734B9A8}"/>
    <cellStyle name="Note 3 3 2 9" xfId="4915" xr:uid="{00000000-0005-0000-0000-0000BE210000}"/>
    <cellStyle name="Note 3 3 2 9 2" xfId="13365" xr:uid="{4D6D1309-0EE7-447D-97C2-2DF054F7EA28}"/>
    <cellStyle name="Note 3 3 3" xfId="1018" xr:uid="{00000000-0005-0000-0000-0000BF210000}"/>
    <cellStyle name="Note 3 3 3 2" xfId="3250" xr:uid="{00000000-0005-0000-0000-0000C0210000}"/>
    <cellStyle name="Note 3 3 3 2 2" xfId="7472" xr:uid="{00000000-0005-0000-0000-0000C1210000}"/>
    <cellStyle name="Note 3 3 3 2 2 2" xfId="15922" xr:uid="{CB458834-C5CF-4042-893C-ED4F7DCBDBF3}"/>
    <cellStyle name="Note 3 3 3 2 3" xfId="11704" xr:uid="{5B2CC8F3-92D1-496A-BA5A-7127FB0343D0}"/>
    <cellStyle name="Note 3 3 3 3" xfId="5327" xr:uid="{00000000-0005-0000-0000-0000C2210000}"/>
    <cellStyle name="Note 3 3 3 3 2" xfId="13777" xr:uid="{04C29C43-3CAD-4CB3-9C0B-7E15CCD8D19A}"/>
    <cellStyle name="Note 3 3 3 4" xfId="9559" xr:uid="{E0E14C36-F43D-40E6-83A1-661F77F60A90}"/>
    <cellStyle name="Note 3 3 4" xfId="1433" xr:uid="{00000000-0005-0000-0000-0000C3210000}"/>
    <cellStyle name="Note 3 3 4 2" xfId="3663" xr:uid="{00000000-0005-0000-0000-0000C4210000}"/>
    <cellStyle name="Note 3 3 4 2 2" xfId="7885" xr:uid="{00000000-0005-0000-0000-0000C5210000}"/>
    <cellStyle name="Note 3 3 4 2 2 2" xfId="16335" xr:uid="{61A33ECD-D5CC-4C78-BAE5-E64105B3BDBB}"/>
    <cellStyle name="Note 3 3 4 2 3" xfId="12117" xr:uid="{0933CD2A-DAA0-475A-93AD-9958E5504A15}"/>
    <cellStyle name="Note 3 3 4 3" xfId="5740" xr:uid="{00000000-0005-0000-0000-0000C6210000}"/>
    <cellStyle name="Note 3 3 4 3 2" xfId="14190" xr:uid="{F25BB5DC-C4F7-4E17-AF6F-4AD181B4F793}"/>
    <cellStyle name="Note 3 3 4 4" xfId="9972" xr:uid="{CA140FF1-1E2F-4748-BD5E-4D7B7735BA3C}"/>
    <cellStyle name="Note 3 3 5" xfId="1847" xr:uid="{00000000-0005-0000-0000-0000C7210000}"/>
    <cellStyle name="Note 3 3 5 2" xfId="4076" xr:uid="{00000000-0005-0000-0000-0000C8210000}"/>
    <cellStyle name="Note 3 3 5 2 2" xfId="8298" xr:uid="{00000000-0005-0000-0000-0000C9210000}"/>
    <cellStyle name="Note 3 3 5 2 2 2" xfId="16748" xr:uid="{F768DDC0-A6A7-490B-88E1-B5C8A5346916}"/>
    <cellStyle name="Note 3 3 5 2 3" xfId="12530" xr:uid="{BDCC0A39-FF4F-4A12-AB00-F847645DAFF8}"/>
    <cellStyle name="Note 3 3 5 3" xfId="6153" xr:uid="{00000000-0005-0000-0000-0000CA210000}"/>
    <cellStyle name="Note 3 3 5 3 2" xfId="14603" xr:uid="{D109F824-7640-42DB-B0A3-24B493B6F634}"/>
    <cellStyle name="Note 3 3 5 4" xfId="10385" xr:uid="{A329AC98-19C8-4163-9DBF-8812EB0C9171}"/>
    <cellStyle name="Note 3 3 6" xfId="2260" xr:uid="{00000000-0005-0000-0000-0000CB210000}"/>
    <cellStyle name="Note 3 3 6 2" xfId="4489" xr:uid="{00000000-0005-0000-0000-0000CC210000}"/>
    <cellStyle name="Note 3 3 6 2 2" xfId="8711" xr:uid="{00000000-0005-0000-0000-0000CD210000}"/>
    <cellStyle name="Note 3 3 6 2 2 2" xfId="17161" xr:uid="{800EA7FA-D20F-4D67-BD38-4D230DF4BF7A}"/>
    <cellStyle name="Note 3 3 6 2 3" xfId="12943" xr:uid="{4C2BB1F0-67B4-485C-8072-48CE1F5B36DB}"/>
    <cellStyle name="Note 3 3 6 3" xfId="6566" xr:uid="{00000000-0005-0000-0000-0000CE210000}"/>
    <cellStyle name="Note 3 3 6 3 2" xfId="15016" xr:uid="{22753253-544F-491C-AE01-D556CE05708A}"/>
    <cellStyle name="Note 3 3 6 4" xfId="10798" xr:uid="{2A964EBA-375B-4422-8021-69EF269B4BE4}"/>
    <cellStyle name="Note 3 3 7" xfId="2696" xr:uid="{00000000-0005-0000-0000-0000CF210000}"/>
    <cellStyle name="Note 3 3 7 2" xfId="6979" xr:uid="{00000000-0005-0000-0000-0000D0210000}"/>
    <cellStyle name="Note 3 3 7 2 2" xfId="15429" xr:uid="{49D51C82-BB31-42CA-9F29-6BF75B2436CB}"/>
    <cellStyle name="Note 3 3 7 3" xfId="11211" xr:uid="{5991E19E-86EE-4E63-BFCA-8AFFA6D1E596}"/>
    <cellStyle name="Note 3 3 8" xfId="2755" xr:uid="{00000000-0005-0000-0000-0000D1210000}"/>
    <cellStyle name="Note 3 3 9" xfId="2836" xr:uid="{00000000-0005-0000-0000-0000D2210000}"/>
    <cellStyle name="Note 3 3 9 2" xfId="7059" xr:uid="{00000000-0005-0000-0000-0000D3210000}"/>
    <cellStyle name="Note 3 3 9 2 2" xfId="15509" xr:uid="{7E3DC8D0-DAFF-4719-A9EE-C329B8B1AAF9}"/>
    <cellStyle name="Note 3 3 9 3" xfId="11291" xr:uid="{9AA89D1E-8E19-440D-980C-86798AC57FBA}"/>
    <cellStyle name="Note 3 4" xfId="560" xr:uid="{00000000-0005-0000-0000-0000D4210000}"/>
    <cellStyle name="Note 3 4 10" xfId="9148" xr:uid="{5A97209E-6F29-461A-A28A-E24A11BB4E0A}"/>
    <cellStyle name="Note 3 4 2" xfId="1020" xr:uid="{00000000-0005-0000-0000-0000D5210000}"/>
    <cellStyle name="Note 3 4 2 2" xfId="3252" xr:uid="{00000000-0005-0000-0000-0000D6210000}"/>
    <cellStyle name="Note 3 4 2 2 2" xfId="7474" xr:uid="{00000000-0005-0000-0000-0000D7210000}"/>
    <cellStyle name="Note 3 4 2 2 2 2" xfId="15924" xr:uid="{A1814323-EC69-40F5-9FF0-16A7FF843C35}"/>
    <cellStyle name="Note 3 4 2 2 3" xfId="11706" xr:uid="{6F64EFD9-836B-4224-A9D5-E4531369F54C}"/>
    <cellStyle name="Note 3 4 2 3" xfId="5329" xr:uid="{00000000-0005-0000-0000-0000D8210000}"/>
    <cellStyle name="Note 3 4 2 3 2" xfId="13779" xr:uid="{3C87C0E4-0FDA-4E90-B8E4-F1830BA40A6E}"/>
    <cellStyle name="Note 3 4 2 4" xfId="9561" xr:uid="{BCE8F931-25C7-4A0C-8338-14FC3B12FA46}"/>
    <cellStyle name="Note 3 4 3" xfId="1435" xr:uid="{00000000-0005-0000-0000-0000D9210000}"/>
    <cellStyle name="Note 3 4 3 2" xfId="3665" xr:uid="{00000000-0005-0000-0000-0000DA210000}"/>
    <cellStyle name="Note 3 4 3 2 2" xfId="7887" xr:uid="{00000000-0005-0000-0000-0000DB210000}"/>
    <cellStyle name="Note 3 4 3 2 2 2" xfId="16337" xr:uid="{5F3FB352-1DA0-48FD-A58B-6D197FA09D57}"/>
    <cellStyle name="Note 3 4 3 2 3" xfId="12119" xr:uid="{CDEC5BDB-985D-4650-B7B0-6496E78F5CB7}"/>
    <cellStyle name="Note 3 4 3 3" xfId="5742" xr:uid="{00000000-0005-0000-0000-0000DC210000}"/>
    <cellStyle name="Note 3 4 3 3 2" xfId="14192" xr:uid="{1AE8F243-D0D3-400A-8234-EBB947EF49BC}"/>
    <cellStyle name="Note 3 4 3 4" xfId="9974" xr:uid="{9B092890-968A-4090-8348-EBABACA14CBE}"/>
    <cellStyle name="Note 3 4 4" xfId="1849" xr:uid="{00000000-0005-0000-0000-0000DD210000}"/>
    <cellStyle name="Note 3 4 4 2" xfId="4078" xr:uid="{00000000-0005-0000-0000-0000DE210000}"/>
    <cellStyle name="Note 3 4 4 2 2" xfId="8300" xr:uid="{00000000-0005-0000-0000-0000DF210000}"/>
    <cellStyle name="Note 3 4 4 2 2 2" xfId="16750" xr:uid="{D4DF556F-A84E-405F-B3AF-7950D4238FC2}"/>
    <cellStyle name="Note 3 4 4 2 3" xfId="12532" xr:uid="{C47A1559-AAF0-40C1-BA0B-63528241CBEF}"/>
    <cellStyle name="Note 3 4 4 3" xfId="6155" xr:uid="{00000000-0005-0000-0000-0000E0210000}"/>
    <cellStyle name="Note 3 4 4 3 2" xfId="14605" xr:uid="{A397FD35-A57F-49A4-BCB2-50950E443D22}"/>
    <cellStyle name="Note 3 4 4 4" xfId="10387" xr:uid="{CA3494A7-F087-4E87-B07F-2EB61DF1829C}"/>
    <cellStyle name="Note 3 4 5" xfId="2262" xr:uid="{00000000-0005-0000-0000-0000E1210000}"/>
    <cellStyle name="Note 3 4 5 2" xfId="4491" xr:uid="{00000000-0005-0000-0000-0000E2210000}"/>
    <cellStyle name="Note 3 4 5 2 2" xfId="8713" xr:uid="{00000000-0005-0000-0000-0000E3210000}"/>
    <cellStyle name="Note 3 4 5 2 2 2" xfId="17163" xr:uid="{F830C4F6-873F-4D61-87A3-E77648D82DE6}"/>
    <cellStyle name="Note 3 4 5 2 3" xfId="12945" xr:uid="{DE746617-9F37-4C6B-A1C5-DAACA405BC1C}"/>
    <cellStyle name="Note 3 4 5 3" xfId="6568" xr:uid="{00000000-0005-0000-0000-0000E4210000}"/>
    <cellStyle name="Note 3 4 5 3 2" xfId="15018" xr:uid="{102BB5B3-EC04-43C4-8438-173D8EEC9999}"/>
    <cellStyle name="Note 3 4 5 4" xfId="10800" xr:uid="{7FF26AFF-D152-4C27-B46E-43E3D58D713E}"/>
    <cellStyle name="Note 3 4 6" xfId="2698" xr:uid="{00000000-0005-0000-0000-0000E5210000}"/>
    <cellStyle name="Note 3 4 6 2" xfId="6981" xr:uid="{00000000-0005-0000-0000-0000E6210000}"/>
    <cellStyle name="Note 3 4 6 2 2" xfId="15431" xr:uid="{E2C7F66A-DBE7-4D0B-8BAA-DD90FB96148C}"/>
    <cellStyle name="Note 3 4 6 3" xfId="11213" xr:uid="{A5AA7A6D-8CB5-43EE-8490-850B13BFC028}"/>
    <cellStyle name="Note 3 4 7" xfId="2757" xr:uid="{00000000-0005-0000-0000-0000E7210000}"/>
    <cellStyle name="Note 3 4 8" xfId="2838" xr:uid="{00000000-0005-0000-0000-0000E8210000}"/>
    <cellStyle name="Note 3 4 8 2" xfId="7061" xr:uid="{00000000-0005-0000-0000-0000E9210000}"/>
    <cellStyle name="Note 3 4 8 2 2" xfId="15511" xr:uid="{E11B0F97-C1E1-4860-BFF6-8840D7318044}"/>
    <cellStyle name="Note 3 4 8 3" xfId="11293" xr:uid="{42D0FF62-6D17-4228-88BA-EA9C507F5250}"/>
    <cellStyle name="Note 3 4 9" xfId="4916" xr:uid="{00000000-0005-0000-0000-0000EA210000}"/>
    <cellStyle name="Note 3 4 9 2" xfId="13366" xr:uid="{41EE106C-3119-4DD9-B607-8832BD9BD466}"/>
    <cellStyle name="Note 3 5" xfId="561" xr:uid="{00000000-0005-0000-0000-0000EB210000}"/>
    <cellStyle name="Note 3 5 10" xfId="9149" xr:uid="{3BF1CFAD-493F-460D-944D-7C0BC27C32E0}"/>
    <cellStyle name="Note 3 5 2" xfId="1021" xr:uid="{00000000-0005-0000-0000-0000EC210000}"/>
    <cellStyle name="Note 3 5 2 2" xfId="3253" xr:uid="{00000000-0005-0000-0000-0000ED210000}"/>
    <cellStyle name="Note 3 5 2 2 2" xfId="7475" xr:uid="{00000000-0005-0000-0000-0000EE210000}"/>
    <cellStyle name="Note 3 5 2 2 2 2" xfId="15925" xr:uid="{BF6A64A8-811E-409A-BAAA-21618F3D7346}"/>
    <cellStyle name="Note 3 5 2 2 3" xfId="11707" xr:uid="{1245DEE8-E6A7-425C-B0DE-C488C4BF6FB8}"/>
    <cellStyle name="Note 3 5 2 3" xfId="5330" xr:uid="{00000000-0005-0000-0000-0000EF210000}"/>
    <cellStyle name="Note 3 5 2 3 2" xfId="13780" xr:uid="{5AFA15BE-4405-44D7-9C43-7FF0B2C21262}"/>
    <cellStyle name="Note 3 5 2 4" xfId="9562" xr:uid="{2C2CC4BA-352A-457F-B3DF-836EBA72B62E}"/>
    <cellStyle name="Note 3 5 3" xfId="1436" xr:uid="{00000000-0005-0000-0000-0000F0210000}"/>
    <cellStyle name="Note 3 5 3 2" xfId="3666" xr:uid="{00000000-0005-0000-0000-0000F1210000}"/>
    <cellStyle name="Note 3 5 3 2 2" xfId="7888" xr:uid="{00000000-0005-0000-0000-0000F2210000}"/>
    <cellStyle name="Note 3 5 3 2 2 2" xfId="16338" xr:uid="{17A5FFA0-9E9B-45F3-825E-F49DE39C1E3B}"/>
    <cellStyle name="Note 3 5 3 2 3" xfId="12120" xr:uid="{402BC9B4-2019-4064-9D0D-DE0E9F5F2214}"/>
    <cellStyle name="Note 3 5 3 3" xfId="5743" xr:uid="{00000000-0005-0000-0000-0000F3210000}"/>
    <cellStyle name="Note 3 5 3 3 2" xfId="14193" xr:uid="{28F8A27F-94B6-4FAA-9712-D2022EDE01A1}"/>
    <cellStyle name="Note 3 5 3 4" xfId="9975" xr:uid="{B19DCACD-DE6A-4901-B3AE-AF3CEADB3498}"/>
    <cellStyle name="Note 3 5 4" xfId="1850" xr:uid="{00000000-0005-0000-0000-0000F4210000}"/>
    <cellStyle name="Note 3 5 4 2" xfId="4079" xr:uid="{00000000-0005-0000-0000-0000F5210000}"/>
    <cellStyle name="Note 3 5 4 2 2" xfId="8301" xr:uid="{00000000-0005-0000-0000-0000F6210000}"/>
    <cellStyle name="Note 3 5 4 2 2 2" xfId="16751" xr:uid="{DF5353C9-CFBD-413E-8B28-6F622E3AF483}"/>
    <cellStyle name="Note 3 5 4 2 3" xfId="12533" xr:uid="{2D073140-1B13-43A7-9483-809F136F5C62}"/>
    <cellStyle name="Note 3 5 4 3" xfId="6156" xr:uid="{00000000-0005-0000-0000-0000F7210000}"/>
    <cellStyle name="Note 3 5 4 3 2" xfId="14606" xr:uid="{3A56C14F-1F2F-4925-B9D9-50EAB442B8CF}"/>
    <cellStyle name="Note 3 5 4 4" xfId="10388" xr:uid="{3776FFF5-011A-4FC6-8F04-F8006CC40AC3}"/>
    <cellStyle name="Note 3 5 5" xfId="2263" xr:uid="{00000000-0005-0000-0000-0000F8210000}"/>
    <cellStyle name="Note 3 5 5 2" xfId="4492" xr:uid="{00000000-0005-0000-0000-0000F9210000}"/>
    <cellStyle name="Note 3 5 5 2 2" xfId="8714" xr:uid="{00000000-0005-0000-0000-0000FA210000}"/>
    <cellStyle name="Note 3 5 5 2 2 2" xfId="17164" xr:uid="{27343AA3-C4D6-469D-BEC3-9DD0191FCC2B}"/>
    <cellStyle name="Note 3 5 5 2 3" xfId="12946" xr:uid="{6B279475-2E61-4C96-8E34-1B0A880616A3}"/>
    <cellStyle name="Note 3 5 5 3" xfId="6569" xr:uid="{00000000-0005-0000-0000-0000FB210000}"/>
    <cellStyle name="Note 3 5 5 3 2" xfId="15019" xr:uid="{AADB29AB-C8DD-4873-925E-1A2236D1C484}"/>
    <cellStyle name="Note 3 5 5 4" xfId="10801" xr:uid="{69E50AC9-BE9D-438B-978D-3C2192FCC3AE}"/>
    <cellStyle name="Note 3 5 6" xfId="2699" xr:uid="{00000000-0005-0000-0000-0000FC210000}"/>
    <cellStyle name="Note 3 5 6 2" xfId="6982" xr:uid="{00000000-0005-0000-0000-0000FD210000}"/>
    <cellStyle name="Note 3 5 6 2 2" xfId="15432" xr:uid="{1347EDFD-129D-43B6-9542-B66659E6481C}"/>
    <cellStyle name="Note 3 5 6 3" xfId="11214" xr:uid="{87B8C20A-06DB-411D-A106-9A6E2583EC75}"/>
    <cellStyle name="Note 3 5 7" xfId="2758" xr:uid="{00000000-0005-0000-0000-0000FE210000}"/>
    <cellStyle name="Note 3 5 8" xfId="2839" xr:uid="{00000000-0005-0000-0000-0000FF210000}"/>
    <cellStyle name="Note 3 5 8 2" xfId="7062" xr:uid="{00000000-0005-0000-0000-000000220000}"/>
    <cellStyle name="Note 3 5 8 2 2" xfId="15512" xr:uid="{95776303-2B80-4061-93E1-F1087B65C188}"/>
    <cellStyle name="Note 3 5 8 3" xfId="11294" xr:uid="{F5CA3D5B-CA4A-4202-AEAF-2127A3315574}"/>
    <cellStyle name="Note 3 5 9" xfId="4917" xr:uid="{00000000-0005-0000-0000-000001220000}"/>
    <cellStyle name="Note 3 5 9 2" xfId="13367" xr:uid="{39DEC659-5D95-4908-976A-F5B4C9F56AB3}"/>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6D8F01D5-8C1D-408C-B187-AE0A4B6B644D}"/>
    <cellStyle name="Percent 4" xfId="4502" xr:uid="{00000000-0005-0000-0000-000007220000}"/>
    <cellStyle name="Percent 4 2" xfId="8717" xr:uid="{00000000-0005-0000-0000-000008220000}"/>
    <cellStyle name="Percent 4 2 2" xfId="17167" xr:uid="{010A999C-39CB-40B7-B7C2-B9837004CE5E}"/>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3" xfId="17176" xr:uid="{F4FA660F-448B-4222-993F-F0550F07EE2D}"/>
    <cellStyle name="Percent 4 3 2 3" xfId="17173" xr:uid="{81FD1B2D-458F-472C-A7B6-F347325F2F55}"/>
    <cellStyle name="Percent 4 3 3" xfId="17170" xr:uid="{D6DC941A-1172-4E7D-9932-AD70FC83BEFD}"/>
    <cellStyle name="Percent 4 4" xfId="12953" xr:uid="{E229E3E0-5DE2-40C9-8F47-9796E1A4AE25}"/>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0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653</v>
      </c>
      <c r="F40" s="1262" t="s">
        <v>1164</v>
      </c>
    </row>
    <row r="41" spans="1:38" s="1262"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74" workbookViewId="0">
      <selection activeCell="I15" sqref="I15"/>
    </sheetView>
  </sheetViews>
  <sheetFormatPr defaultColWidth="9.21875" defaultRowHeight="13.8"/>
  <cols>
    <col min="1" max="1" width="2.44140625" style="1044" customWidth="1"/>
    <col min="2" max="9" width="14.77734375" style="1044" customWidth="1"/>
    <col min="10" max="10" width="2.21875" style="1044" customWidth="1"/>
    <col min="11" max="11" width="11.77734375" style="1045" customWidth="1"/>
    <col min="12" max="12" width="10.77734375" style="1044" customWidth="1"/>
    <col min="13" max="13" width="10.44140625" style="1044" customWidth="1"/>
    <col min="14" max="14" width="10.77734375" style="1044" customWidth="1"/>
    <col min="15" max="18" width="9.21875" style="1044"/>
    <col min="19" max="19" width="9.44140625" style="1044" bestFit="1" customWidth="1"/>
    <col min="20" max="16384" width="9.21875" style="1044"/>
  </cols>
  <sheetData>
    <row r="1" spans="1:13" ht="30" customHeight="1">
      <c r="A1" s="2666" t="s">
        <v>1585</v>
      </c>
      <c r="B1" s="2666"/>
      <c r="C1" s="2666"/>
      <c r="D1" s="2666"/>
      <c r="E1" s="2666"/>
      <c r="F1" s="2666"/>
      <c r="G1" s="2666"/>
      <c r="H1" s="2666"/>
      <c r="I1" s="2666"/>
      <c r="J1" s="2666"/>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16444656</v>
      </c>
      <c r="I3" s="1105"/>
    </row>
    <row r="4" spans="1:13" s="1051" customFormat="1" ht="20.100000000000001" customHeight="1">
      <c r="B4" s="1094"/>
      <c r="D4" s="1108"/>
      <c r="F4" s="1092" t="s">
        <v>1991</v>
      </c>
      <c r="G4" s="1091" t="s">
        <v>1990</v>
      </c>
      <c r="H4" s="1093">
        <f>I18</f>
        <v>20142744.795016341</v>
      </c>
      <c r="I4" s="1095"/>
      <c r="K4" s="1055"/>
    </row>
    <row r="5" spans="1:13" s="1051" customFormat="1" ht="20.100000000000001" customHeight="1" thickBot="1">
      <c r="B5" s="1096"/>
      <c r="C5" s="1097"/>
      <c r="D5" s="1109"/>
      <c r="E5" s="1098"/>
      <c r="F5" s="1109" t="s">
        <v>1941</v>
      </c>
      <c r="G5" s="1110"/>
      <c r="H5" s="1106">
        <f>IFERROR(H3/H4,0)</f>
        <v>0.81640591524888351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9" t="s">
        <v>1939</v>
      </c>
      <c r="C8" s="2670"/>
      <c r="D8" s="2670"/>
      <c r="E8" s="2671"/>
      <c r="G8" s="2672" t="s">
        <v>1940</v>
      </c>
      <c r="H8" s="2673"/>
      <c r="I8" s="2674"/>
      <c r="K8" s="1057"/>
    </row>
    <row r="9" spans="1:13" ht="15" customHeight="1">
      <c r="A9" s="1046"/>
      <c r="B9" s="2667" t="s">
        <v>1973</v>
      </c>
      <c r="C9" s="2667"/>
      <c r="D9" s="2667"/>
      <c r="E9" s="1059">
        <f>G33</f>
        <v>2825000</v>
      </c>
      <c r="G9" s="2675" t="s">
        <v>1971</v>
      </c>
      <c r="H9" s="2675"/>
      <c r="I9" s="1060">
        <f>SUMIF(Application!M554:M565,"Loan, Tax-Exempt",Application!AM554:AM565)</f>
        <v>10500000</v>
      </c>
      <c r="K9" s="1061"/>
      <c r="M9" s="1062"/>
    </row>
    <row r="10" spans="1:13" ht="15" customHeight="1" thickBot="1">
      <c r="A10" s="1046"/>
      <c r="B10" s="2667" t="s">
        <v>1974</v>
      </c>
      <c r="C10" s="2667"/>
      <c r="D10" s="2667"/>
      <c r="E10" s="1060">
        <f>G47</f>
        <v>9375156</v>
      </c>
      <c r="G10" s="2679" t="s">
        <v>1942</v>
      </c>
      <c r="H10" s="2679"/>
      <c r="I10" s="1140">
        <f>'Basis &amp; Credits'!AB78</f>
        <v>12351719</v>
      </c>
      <c r="M10" s="1062"/>
    </row>
    <row r="11" spans="1:13" ht="15" customHeight="1">
      <c r="A11" s="1046"/>
      <c r="B11" s="2683" t="s">
        <v>2262</v>
      </c>
      <c r="C11" s="2684"/>
      <c r="D11" s="2685"/>
      <c r="E11" s="1060">
        <f>SUM(E12,E13)</f>
        <v>120000</v>
      </c>
      <c r="G11" s="2682" t="s">
        <v>1982</v>
      </c>
      <c r="H11" s="2682"/>
      <c r="I11" s="1139">
        <f>I9+I10</f>
        <v>22851719</v>
      </c>
      <c r="M11" s="1062"/>
    </row>
    <row r="12" spans="1:13" ht="15" customHeight="1">
      <c r="A12" s="1063"/>
      <c r="B12" s="2668" t="s">
        <v>2264</v>
      </c>
      <c r="C12" s="2668"/>
      <c r="D12" s="2668"/>
      <c r="E12" s="1165">
        <f>G56</f>
        <v>0</v>
      </c>
      <c r="M12" s="1062"/>
    </row>
    <row r="13" spans="1:13" ht="15" customHeight="1">
      <c r="A13" s="1049"/>
      <c r="B13" s="2668" t="s">
        <v>2265</v>
      </c>
      <c r="C13" s="2668"/>
      <c r="D13" s="2668"/>
      <c r="E13" s="1165">
        <f>G65</f>
        <v>120000</v>
      </c>
      <c r="G13" s="2672" t="s">
        <v>2005</v>
      </c>
      <c r="H13" s="2673"/>
      <c r="I13" s="2674"/>
      <c r="M13" s="1062"/>
    </row>
    <row r="14" spans="1:13" ht="15" customHeight="1">
      <c r="A14" s="1049"/>
      <c r="B14" s="2683" t="s">
        <v>2263</v>
      </c>
      <c r="C14" s="2684"/>
      <c r="D14" s="2685"/>
      <c r="E14" s="1167">
        <f>MAX(E15,E16)+E17</f>
        <v>4124500</v>
      </c>
      <c r="G14" s="2675" t="s">
        <v>139</v>
      </c>
      <c r="H14" s="2675"/>
      <c r="I14" s="1064">
        <f>15%*(AND(G120="Yes",G122&lt;&gt;""))</f>
        <v>0.15</v>
      </c>
      <c r="M14" s="1062"/>
    </row>
    <row r="15" spans="1:13" ht="15" customHeight="1">
      <c r="A15" s="1049"/>
      <c r="B15" s="2686" t="s">
        <v>2269</v>
      </c>
      <c r="C15" s="2687"/>
      <c r="D15" s="2688"/>
      <c r="E15" s="1165">
        <f>G80</f>
        <v>0</v>
      </c>
      <c r="G15" s="1137" t="s">
        <v>1983</v>
      </c>
      <c r="H15" s="1137"/>
      <c r="I15" s="1064">
        <f>IF(Application!AJ1032&gt;0,10%,IF(Application!AJ1036&gt;0,5%,0))</f>
        <v>0</v>
      </c>
      <c r="M15" s="1062"/>
    </row>
    <row r="16" spans="1:13" ht="15" customHeight="1">
      <c r="A16" s="1049"/>
      <c r="B16" s="2686" t="s">
        <v>2268</v>
      </c>
      <c r="C16" s="2687"/>
      <c r="D16" s="2688"/>
      <c r="E16" s="1165">
        <f>G90</f>
        <v>0</v>
      </c>
      <c r="G16" s="2675" t="s">
        <v>1984</v>
      </c>
      <c r="H16" s="2675"/>
      <c r="I16" s="1064">
        <f>G132</f>
        <v>-3.1454248366013071E-2</v>
      </c>
    </row>
    <row r="17" spans="1:21" ht="15" customHeight="1" thickBot="1">
      <c r="A17" s="1049"/>
      <c r="B17" s="2686" t="s">
        <v>2267</v>
      </c>
      <c r="C17" s="2687"/>
      <c r="D17" s="2688"/>
      <c r="E17" s="1165">
        <f>G115</f>
        <v>4124500</v>
      </c>
      <c r="G17" s="2675" t="s">
        <v>2277</v>
      </c>
      <c r="H17" s="2675"/>
      <c r="I17" s="1064">
        <f>IF(AND(G139="Yes",OR(G136,G137)),IF(G143&gt;15%,15%,G143),0)</f>
        <v>0</v>
      </c>
    </row>
    <row r="18" spans="1:21" ht="15" customHeight="1">
      <c r="A18" s="1046"/>
      <c r="B18" s="2678" t="s">
        <v>1938</v>
      </c>
      <c r="C18" s="2678"/>
      <c r="D18" s="2678"/>
      <c r="E18" s="1111">
        <f>SUM(E9:E11,E14)</f>
        <v>16444656</v>
      </c>
      <c r="G18" s="1138" t="s">
        <v>1972</v>
      </c>
      <c r="H18" s="1138"/>
      <c r="I18" s="1112">
        <f>I11-((I11*I14)+(I11*I15)+(I11*I16)+(I11*I17))</f>
        <v>20142744.795016341</v>
      </c>
      <c r="M18" s="1065">
        <f>SUM(Cdlac[Quantity])</f>
        <v>45</v>
      </c>
      <c r="O18" s="1084" t="s">
        <v>582</v>
      </c>
      <c r="P18" s="1044">
        <f>MATCH(Application!T189,Application!CB160:CB217,0)</f>
        <v>39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0.6</v>
      </c>
      <c r="O20" s="1071">
        <f>IF(Cdlac[[#This Row],[Quantity]]&gt;0,IF(Cdlac[[#This Row],[Federal]],30%,IF(AND(OR(NOT($G$38),$G$38=""),$G$43),40%,Cdlac[[#This Row],[iAMI]])),"")</f>
        <v>0.3</v>
      </c>
      <c r="P20" s="1065" cm="1">
        <f t="array" ref="P20">IF(Cdlac[[#This Row],[Quantity]]&gt;0,INDEX(TcacRents,$P$18,Cdlac[[#This Row],[Bedrooms]]+1)*Cdlac[[#This Row],[AMI]],"")</f>
        <v>588.6</v>
      </c>
      <c r="Q20" s="1164"/>
      <c r="R20" s="1065" cm="1">
        <f t="array" ref="R20">IF(Cdlac[[#This Row],[Quantity]]&gt;0,INDEX(HudFmrs,$P$18,Cdlac[[#This Row],[Bedrooms]]+1),"")</f>
        <v>1363</v>
      </c>
      <c r="S20" s="1065">
        <f>IF(Cdlac[[#This Row],[Quantity]]&gt;0,MAX(0,Cdlac[[#This Row],[Fair Market Rent]]-IF(AND($G$37,$G$38,$G$38&lt;&gt;"",NOT(Cdlac[[#This Row],[Federal]]),Cdlac[[#This Row],[Preservation Rent]]&lt;&gt;""),Cdlac[[#This Row],[Preservation Rent]],Cdlac[[#This Row],[Restricted Rent]])),"")</f>
        <v>774.4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7</v>
      </c>
      <c r="N21" s="1071">
        <f>Application!AC719</f>
        <v>0.5</v>
      </c>
      <c r="O21" s="1071">
        <f>IF(Cdlac[[#This Row],[Quantity]]&gt;0,IF(Cdlac[[#This Row],[Federal]],30%,IF(AND(OR(NOT($G$38),$G$38=""),$G$43),40%,Cdlac[[#This Row],[iAMI]])),"")</f>
        <v>0.3</v>
      </c>
      <c r="P21" s="1065" cm="1">
        <f t="array" ref="P21">IF(Cdlac[[#This Row],[Quantity]]&gt;0,INDEX(TcacRents,$P$18,Cdlac[[#This Row],[Bedrooms]]+1)*Cdlac[[#This Row],[AMI]],"")</f>
        <v>588.6</v>
      </c>
      <c r="Q21" s="1164"/>
      <c r="R21" s="1065" cm="1">
        <f t="array" ref="R21">IF(Cdlac[[#This Row],[Quantity]]&gt;0,INDEX(HudFmrs,$P$18,Cdlac[[#This Row],[Bedrooms]]+1),"")</f>
        <v>1363</v>
      </c>
      <c r="S21" s="1065">
        <f>IF(Cdlac[[#This Row],[Quantity]]&gt;0,MAX(0,Cdlac[[#This Row],[Fair Market Rent]]-IF(AND($G$37,$G$38,$G$38&lt;&gt;"",NOT(Cdlac[[#This Row],[Federal]]),Cdlac[[#This Row],[Preservation Rent]]&lt;&gt;""),Cdlac[[#This Row],[Preservation Rent]],Cdlac[[#This Row],[Restricted Rent]])),"")</f>
        <v>774.4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76" t="s">
        <v>1986</v>
      </c>
      <c r="D22" s="2676" t="s">
        <v>1987</v>
      </c>
      <c r="E22" s="2676" t="s">
        <v>1988</v>
      </c>
      <c r="F22" s="2676" t="s">
        <v>2608</v>
      </c>
      <c r="G22" s="2676" t="s">
        <v>1985</v>
      </c>
      <c r="H22" s="1070"/>
      <c r="I22" s="1069"/>
      <c r="L22" s="1044">
        <f>IFERROR(MIN(4,MATCH(Application!B720,UnitSizes,0)-1),"")</f>
        <v>1</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588.6</v>
      </c>
      <c r="Q22" s="1164"/>
      <c r="R22" s="1065" cm="1">
        <f t="array" ref="R22">IF(Cdlac[[#This Row],[Quantity]]&gt;0,INDEX(HudFmrs,$P$18,Cdlac[[#This Row],[Bedrooms]]+1),"")</f>
        <v>1363</v>
      </c>
      <c r="S22" s="1065">
        <f>IF(Cdlac[[#This Row],[Quantity]]&gt;0,MAX(0,Cdlac[[#This Row],[Fair Market Rent]]-IF(AND($G$37,$G$38,$G$38&lt;&gt;"",NOT(Cdlac[[#This Row],[Federal]]),Cdlac[[#This Row],[Preservation Rent]]&lt;&gt;""),Cdlac[[#This Row],[Preservation Rent]],Cdlac[[#This Row],[Restricted Rent]])),"")</f>
        <v>774.4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77"/>
      <c r="D23" s="2677"/>
      <c r="E23" s="2677"/>
      <c r="F23" s="2677"/>
      <c r="G23" s="2677"/>
      <c r="H23" s="1070"/>
      <c r="I23" s="1069"/>
      <c r="L23" s="1044">
        <f>IFERROR(MIN(4,MATCH(Application!B721,UnitSizes,0)-1),"")</f>
        <v>2</v>
      </c>
      <c r="M23" s="1065">
        <f>Application!G721</f>
        <v>5</v>
      </c>
      <c r="N23" s="1071">
        <f>Application!AC721</f>
        <v>0.6</v>
      </c>
      <c r="O23" s="1071">
        <f>IF(Cdlac[[#This Row],[Quantity]]&gt;0,IF(Cdlac[[#This Row],[Federal]],30%,IF(AND(OR(NOT($G$38),$G$38=""),$G$43),40%,Cdlac[[#This Row],[iAMI]])),"")</f>
        <v>0.3</v>
      </c>
      <c r="P23" s="1065" cm="1">
        <f t="array" ref="P23">IF(Cdlac[[#This Row],[Quantity]]&gt;0,INDEX(TcacRents,$P$18,Cdlac[[#This Row],[Bedrooms]]+1)*Cdlac[[#This Row],[AMI]],"")</f>
        <v>706.19999999999993</v>
      </c>
      <c r="Q23" s="1164"/>
      <c r="R23" s="1065" cm="1">
        <f t="array" ref="R23">IF(Cdlac[[#This Row],[Quantity]]&gt;0,INDEX(HudFmrs,$P$18,Cdlac[[#This Row],[Bedrooms]]+1),"")</f>
        <v>1736</v>
      </c>
      <c r="S23" s="1065">
        <f>IF(Cdlac[[#This Row],[Quantity]]&gt;0,MAX(0,Cdlac[[#This Row],[Fair Market Rent]]-IF(AND($G$37,$G$38,$G$38&lt;&gt;"",NOT(Cdlac[[#This Row],[Federal]]),Cdlac[[#This Row],[Preservation Rent]]&lt;&gt;""),Cdlac[[#This Row],[Preservation Rent]],Cdlac[[#This Row],[Restricted Rent]])),"")</f>
        <v>1029.8000000000002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11</v>
      </c>
      <c r="N24" s="1071">
        <f>Application!AC722</f>
        <v>0.5</v>
      </c>
      <c r="O24" s="1071">
        <f>IF(Cdlac[[#This Row],[Quantity]]&gt;0,IF(Cdlac[[#This Row],[Federal]],30%,IF(AND(OR(NOT($G$38),$G$38=""),$G$43),40%,Cdlac[[#This Row],[iAMI]])),"")</f>
        <v>0.3</v>
      </c>
      <c r="P24" s="1065" cm="1">
        <f t="array" ref="P24">IF(Cdlac[[#This Row],[Quantity]]&gt;0,INDEX(TcacRents,$P$18,Cdlac[[#This Row],[Bedrooms]]+1)*Cdlac[[#This Row],[AMI]],"")</f>
        <v>706.19999999999993</v>
      </c>
      <c r="Q24" s="1164"/>
      <c r="R24" s="1065" cm="1">
        <f t="array" ref="R24">IF(Cdlac[[#This Row],[Quantity]]&gt;0,INDEX(HudFmrs,$P$18,Cdlac[[#This Row],[Bedrooms]]+1),"")</f>
        <v>1736</v>
      </c>
      <c r="S24" s="1065">
        <f>IF(Cdlac[[#This Row],[Quantity]]&gt;0,MAX(0,Cdlac[[#This Row],[Fair Market Rent]]-IF(AND($G$37,$G$38,$G$38&lt;&gt;"",NOT(Cdlac[[#This Row],[Federal]]),Cdlac[[#This Row],[Preservation Rent]]&lt;&gt;""),Cdlac[[#This Row],[Preservation Rent]],Cdlac[[#This Row],[Restricted Rent]])),"")</f>
        <v>1029.8000000000002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12</v>
      </c>
      <c r="F25" s="1072">
        <f>E25</f>
        <v>12</v>
      </c>
      <c r="G25" s="1072">
        <f>D25*F25</f>
        <v>12</v>
      </c>
      <c r="L25" s="1044">
        <f>IFERROR(MIN(4,MATCH(Application!B723,UnitSizes,0)-1),"")</f>
        <v>2</v>
      </c>
      <c r="M25" s="1065">
        <f>Application!G723</f>
        <v>2</v>
      </c>
      <c r="N25" s="1071">
        <f>Application!AC723</f>
        <v>0.3</v>
      </c>
      <c r="O25" s="1071">
        <f>IF(Cdlac[[#This Row],[Quantity]]&gt;0,IF(Cdlac[[#This Row],[Federal]],30%,IF(AND(OR(NOT($G$38),$G$38=""),$G$43),40%,Cdlac[[#This Row],[iAMI]])),"")</f>
        <v>0.3</v>
      </c>
      <c r="P25" s="1065" cm="1">
        <f t="array" ref="P25">IF(Cdlac[[#This Row],[Quantity]]&gt;0,INDEX(TcacRents,$P$18,Cdlac[[#This Row],[Bedrooms]]+1)*Cdlac[[#This Row],[AMI]],"")</f>
        <v>706.19999999999993</v>
      </c>
      <c r="Q25" s="1164"/>
      <c r="R25" s="1065" cm="1">
        <f t="array" ref="R25">IF(Cdlac[[#This Row],[Quantity]]&gt;0,INDEX(HudFmrs,$P$18,Cdlac[[#This Row],[Bedrooms]]+1),"")</f>
        <v>1736</v>
      </c>
      <c r="S25" s="1065">
        <f>IF(Cdlac[[#This Row],[Quantity]]&gt;0,MAX(0,Cdlac[[#This Row],[Fair Market Rent]]-IF(AND($G$37,$G$38,$G$38&lt;&gt;"",NOT(Cdlac[[#This Row],[Federal]]),Cdlac[[#This Row],[Preservation Rent]]&lt;&gt;""),Cdlac[[#This Row],[Preservation Rent]],Cdlac[[#This Row],[Restricted Rent]])),"")</f>
        <v>1029.8000000000002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18</v>
      </c>
      <c r="F26" s="1075">
        <f>SUM(E26:E28)-SUM(F27:F28)</f>
        <v>20</v>
      </c>
      <c r="G26" s="1072">
        <f>D26*F26</f>
        <v>25</v>
      </c>
      <c r="H26" s="1074"/>
      <c r="I26" s="1074"/>
      <c r="L26" s="1044">
        <f>IFERROR(MIN(4,MATCH(Application!B724,UnitSizes,0)-1),"")</f>
        <v>3</v>
      </c>
      <c r="M26" s="1065">
        <f>Application!G724</f>
        <v>3</v>
      </c>
      <c r="N26" s="1071">
        <f>Application!AC724</f>
        <v>0.6</v>
      </c>
      <c r="O26" s="1071">
        <f>IF(Cdlac[[#This Row],[Quantity]]&gt;0,IF(Cdlac[[#This Row],[Federal]],30%,IF(AND(OR(NOT($G$38),$G$38=""),$G$43),40%,Cdlac[[#This Row],[iAMI]])),"")</f>
        <v>0.3</v>
      </c>
      <c r="P26" s="1065" cm="1">
        <f t="array" ref="P26">IF(Cdlac[[#This Row],[Quantity]]&gt;0,INDEX(TcacRents,$P$18,Cdlac[[#This Row],[Bedrooms]]+1)*Cdlac[[#This Row],[AMI]],"")</f>
        <v>816</v>
      </c>
      <c r="Q26" s="1164"/>
      <c r="R26" s="1065" cm="1">
        <f t="array" ref="R26">IF(Cdlac[[#This Row],[Quantity]]&gt;0,INDEX(HudFmrs,$P$18,Cdlac[[#This Row],[Bedrooms]]+1),"")</f>
        <v>2433</v>
      </c>
      <c r="S26" s="1065">
        <f>IF(Cdlac[[#This Row],[Quantity]]&gt;0,MAX(0,Cdlac[[#This Row],[Fair Market Rent]]-IF(AND($G$37,$G$38,$G$38&lt;&gt;"",NOT(Cdlac[[#This Row],[Federal]]),Cdlac[[#This Row],[Preservation Rent]]&lt;&gt;""),Cdlac[[#This Row],[Preservation Rent]],Cdlac[[#This Row],[Restricted Rent]])),"")</f>
        <v>1617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15</v>
      </c>
      <c r="F27" s="1075">
        <f>MIN(E27,ROUNDDOWN(E29*30%,0))</f>
        <v>13</v>
      </c>
      <c r="G27" s="1072">
        <f>D27*F27</f>
        <v>19.5</v>
      </c>
      <c r="H27" s="1074"/>
      <c r="I27" s="1074"/>
      <c r="L27" s="1044">
        <f>IFERROR(MIN(4,MATCH(Application!B725,UnitSizes,0)-1),"")</f>
        <v>3</v>
      </c>
      <c r="M27" s="1065">
        <f>Application!G725</f>
        <v>10</v>
      </c>
      <c r="N27" s="1071">
        <f>Application!AC725</f>
        <v>0.5</v>
      </c>
      <c r="O27" s="1071">
        <f>IF(Cdlac[[#This Row],[Quantity]]&gt;0,IF(Cdlac[[#This Row],[Federal]],30%,IF(AND(OR(NOT($G$38),$G$38=""),$G$43),40%,Cdlac[[#This Row],[iAMI]])),"")</f>
        <v>0.3</v>
      </c>
      <c r="P27" s="1065" cm="1">
        <f t="array" ref="P27">IF(Cdlac[[#This Row],[Quantity]]&gt;0,INDEX(TcacRents,$P$18,Cdlac[[#This Row],[Bedrooms]]+1)*Cdlac[[#This Row],[AMI]],"")</f>
        <v>816</v>
      </c>
      <c r="Q27" s="1164"/>
      <c r="R27" s="1065" cm="1">
        <f t="array" ref="R27">IF(Cdlac[[#This Row],[Quantity]]&gt;0,INDEX(HudFmrs,$P$18,Cdlac[[#This Row],[Bedrooms]]+1),"")</f>
        <v>2433</v>
      </c>
      <c r="S27" s="1065">
        <f>IF(Cdlac[[#This Row],[Quantity]]&gt;0,MAX(0,Cdlac[[#This Row],[Fair Market Rent]]-IF(AND($G$37,$G$38,$G$38&lt;&gt;"",NOT(Cdlac[[#This Row],[Federal]]),Cdlac[[#This Row],[Preservation Rent]]&lt;&gt;""),Cdlac[[#This Row],[Preservation Rent]],Cdlac[[#This Row],[Restricted Rent]])),"")</f>
        <v>1617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816</v>
      </c>
      <c r="Q28" s="1164"/>
      <c r="R28" s="1065" cm="1">
        <f t="array" ref="R28">IF(Cdlac[[#This Row],[Quantity]]&gt;0,INDEX(HudFmrs,$P$18,Cdlac[[#This Row],[Bedrooms]]+1),"")</f>
        <v>2433</v>
      </c>
      <c r="S28" s="1065">
        <f>IF(Cdlac[[#This Row],[Quantity]]&gt;0,MAX(0,Cdlac[[#This Row],[Fair Market Rent]]-IF(AND($G$37,$G$38,$G$38&lt;&gt;"",NOT(Cdlac[[#This Row],[Federal]]),Cdlac[[#This Row],[Preservation Rent]]&lt;&gt;""),Cdlac[[#This Row],[Preservation Rent]],Cdlac[[#This Row],[Restricted Rent]])),"")</f>
        <v>1617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90" t="s">
        <v>1586</v>
      </c>
      <c r="D29" s="2691"/>
      <c r="E29" s="1089">
        <f>SUM(E24:E28)</f>
        <v>45</v>
      </c>
      <c r="F29" s="1089">
        <f>SUM(F24:F28)</f>
        <v>45</v>
      </c>
      <c r="G29" s="1090">
        <f>SUMPRODUCT(D24:D28,F24:F28)</f>
        <v>56.5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2825000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3" t="str">
        <f>IF(AND(G37,G38,G38&lt;&gt;""),"Enter the average rent charged for each unit type over the last three years, as documented with rent rolls or property audits, in cells Q20:Q44","")</f>
        <v/>
      </c>
      <c r="D39" s="2693"/>
      <c r="E39" s="2693"/>
      <c r="F39" s="2693"/>
      <c r="G39" s="2693"/>
      <c r="H39" s="269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3"/>
      <c r="D40" s="2693"/>
      <c r="E40" s="2693"/>
      <c r="F40" s="2693"/>
      <c r="G40" s="2693"/>
      <c r="H40" s="269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3"/>
      <c r="D41" s="2693"/>
      <c r="E41" s="2693"/>
      <c r="F41" s="2693"/>
      <c r="G41" s="2693"/>
      <c r="H41" s="269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52084.200000000004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9375156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6</v>
      </c>
    </row>
    <row r="61" spans="2:21" ht="15" customHeight="1">
      <c r="E61" s="1117" t="s">
        <v>1994</v>
      </c>
      <c r="G61" s="1079">
        <f>ROUNDDOWN(E29*50%,0)</f>
        <v>22</v>
      </c>
    </row>
    <row r="62" spans="2:21" ht="15" customHeight="1">
      <c r="E62" s="1117"/>
      <c r="G62" s="1079"/>
    </row>
    <row r="63" spans="2:21" ht="15" customHeight="1">
      <c r="E63" s="1117" t="s">
        <v>1954</v>
      </c>
      <c r="G63" s="1114">
        <f>MIN(G60:G61)</f>
        <v>6</v>
      </c>
    </row>
    <row r="64" spans="2:21" ht="15" customHeight="1">
      <c r="E64" s="1117" t="s">
        <v>1944</v>
      </c>
      <c r="F64" s="1113" t="s">
        <v>1992</v>
      </c>
      <c r="G64" s="1124">
        <v>20000</v>
      </c>
    </row>
    <row r="65" spans="2:14" ht="15" customHeight="1">
      <c r="E65" s="1118" t="s">
        <v>1976</v>
      </c>
      <c r="F65" s="1046"/>
      <c r="G65" s="1123">
        <f>G63*G64</f>
        <v>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669</v>
      </c>
    </row>
    <row r="72" spans="2:14" ht="15" customHeight="1">
      <c r="C72" s="1077" t="s">
        <v>1968</v>
      </c>
      <c r="G72" s="1044" t="str">
        <f>Application!T193</f>
        <v>Low Resource</v>
      </c>
      <c r="L72" s="2663" t="s">
        <v>1969</v>
      </c>
      <c r="M72" s="2664"/>
      <c r="N72" s="1131">
        <v>30000</v>
      </c>
    </row>
    <row r="73" spans="2:14" ht="15" customHeight="1">
      <c r="C73" s="2665" t="s">
        <v>2261</v>
      </c>
      <c r="D73" s="2665"/>
      <c r="E73" s="2665"/>
      <c r="F73" s="2665"/>
      <c r="G73" s="1043" t="s">
        <v>669</v>
      </c>
      <c r="L73" s="2680" t="s">
        <v>1937</v>
      </c>
      <c r="M73" s="2681"/>
      <c r="N73" s="1132">
        <v>20000</v>
      </c>
    </row>
    <row r="74" spans="2:14" ht="15" customHeight="1" thickBot="1">
      <c r="C74" s="2665"/>
      <c r="D74" s="2665"/>
      <c r="E74" s="2665"/>
      <c r="F74" s="2665"/>
      <c r="L74" s="2655" t="s">
        <v>1970</v>
      </c>
      <c r="M74" s="2656"/>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56.5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56.5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56.5</v>
      </c>
    </row>
    <row r="97" spans="2:14" ht="15" customHeight="1">
      <c r="E97" s="1118" t="s">
        <v>1961</v>
      </c>
      <c r="F97" s="1046"/>
      <c r="G97" s="1123">
        <f>G94*G95*G96</f>
        <v>1582000</v>
      </c>
      <c r="L97" s="1127" t="str">
        <f>'Points System'!H638</f>
        <v>(i)</v>
      </c>
      <c r="M97" s="2661" t="s">
        <v>1405</v>
      </c>
      <c r="N97" s="2662"/>
    </row>
    <row r="98" spans="2:14" ht="15" customHeight="1">
      <c r="C98" s="1077"/>
      <c r="G98" s="1114"/>
      <c r="L98" s="1128" t="str">
        <f>'Points System'!H650</f>
        <v>(i)</v>
      </c>
      <c r="M98" s="2657" t="s">
        <v>1956</v>
      </c>
      <c r="N98" s="2658"/>
    </row>
    <row r="99" spans="2:14" ht="15" customHeight="1">
      <c r="E99" s="1084" t="s">
        <v>1997</v>
      </c>
      <c r="G99" s="1126">
        <f>COUNTIFS(L97:L104,"(i)")</f>
        <v>5</v>
      </c>
      <c r="L99" s="1128" t="str">
        <f>'Points System'!H685</f>
        <v>(ii)</v>
      </c>
      <c r="M99" s="2657" t="s">
        <v>1957</v>
      </c>
      <c r="N99" s="2658"/>
    </row>
    <row r="100" spans="2:14" ht="15" customHeight="1">
      <c r="E100" s="1084" t="s">
        <v>1944</v>
      </c>
      <c r="F100" s="1113" t="s">
        <v>1992</v>
      </c>
      <c r="G100" s="1124">
        <v>4000</v>
      </c>
      <c r="L100" s="1128" t="str">
        <f>IF(OR('Points System'!H709="(ii)",'Points System'!H709="(i)"),"(i)","N/A")</f>
        <v>(i)</v>
      </c>
      <c r="M100" s="2657" t="s">
        <v>1958</v>
      </c>
      <c r="N100" s="2658"/>
    </row>
    <row r="101" spans="2:14" ht="15" customHeight="1">
      <c r="E101" s="1118" t="s">
        <v>1962</v>
      </c>
      <c r="F101" s="1046"/>
      <c r="G101" s="1123">
        <f>G96*G99*G100</f>
        <v>1130000</v>
      </c>
      <c r="L101" s="1129" t="str">
        <f>'Points System'!H723</f>
        <v>N/A</v>
      </c>
      <c r="M101" s="2657" t="s">
        <v>1431</v>
      </c>
      <c r="N101" s="2658"/>
    </row>
    <row r="102" spans="2:14" ht="15" customHeight="1">
      <c r="L102" s="1128" t="str">
        <f>'Points System'!H735</f>
        <v>N/A</v>
      </c>
      <c r="M102" s="2657" t="s">
        <v>1959</v>
      </c>
      <c r="N102" s="2658"/>
    </row>
    <row r="103" spans="2:14" ht="15" customHeight="1">
      <c r="C103" s="1080" t="s">
        <v>1964</v>
      </c>
      <c r="L103" s="1128" t="str">
        <f>'Points System'!H751</f>
        <v>(i)</v>
      </c>
      <c r="M103" s="2657" t="s">
        <v>1960</v>
      </c>
      <c r="N103" s="2658"/>
    </row>
    <row r="104" spans="2:14" ht="15" customHeight="1" thickBot="1">
      <c r="C104" s="1077" t="s">
        <v>1965</v>
      </c>
      <c r="G104" s="1043"/>
      <c r="L104" s="1130" t="str">
        <f>'Points System'!H763</f>
        <v>(i)</v>
      </c>
      <c r="M104" s="2659" t="s">
        <v>1434</v>
      </c>
      <c r="N104" s="2660"/>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56.5</v>
      </c>
    </row>
    <row r="112" spans="2:14" ht="15" customHeight="1">
      <c r="E112" s="1084" t="s">
        <v>1944</v>
      </c>
      <c r="F112" s="1113" t="s">
        <v>1992</v>
      </c>
      <c r="G112" s="1124">
        <v>25000</v>
      </c>
    </row>
    <row r="113" spans="2:9" ht="15" customHeight="1">
      <c r="E113" s="1118" t="s">
        <v>1963</v>
      </c>
      <c r="F113" s="1046"/>
      <c r="G113" s="1123">
        <f>G109*G112*G96</f>
        <v>1412500</v>
      </c>
    </row>
    <row r="114" spans="2:9" ht="15" customHeight="1">
      <c r="C114" s="1077"/>
      <c r="E114" s="1077"/>
    </row>
    <row r="115" spans="2:9" ht="15" customHeight="1">
      <c r="E115" s="1118" t="s">
        <v>2271</v>
      </c>
      <c r="G115" s="1123">
        <f>G113+G101+G97</f>
        <v>4124500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2" t="s">
        <v>2226</v>
      </c>
      <c r="D119" s="2692"/>
      <c r="E119" s="2692"/>
      <c r="F119" s="2692"/>
    </row>
    <row r="120" spans="2:9" ht="15" customHeight="1">
      <c r="C120" s="2692"/>
      <c r="D120" s="2692"/>
      <c r="E120" s="2692"/>
      <c r="F120" s="2692"/>
      <c r="G120" s="1043" t="s">
        <v>545</v>
      </c>
    </row>
    <row r="121" spans="2:9" ht="15" customHeight="1"/>
    <row r="122" spans="2:9" ht="15" customHeight="1">
      <c r="C122" s="1044" t="s">
        <v>2228</v>
      </c>
      <c r="G122" s="2694" t="s">
        <v>2755</v>
      </c>
      <c r="H122" s="2694"/>
    </row>
    <row r="123" spans="2:9" ht="15" customHeight="1">
      <c r="G123" s="2694"/>
      <c r="H123" s="2694"/>
    </row>
    <row r="124" spans="2:9" ht="15" customHeight="1">
      <c r="G124" s="2695"/>
      <c r="H124" s="2695"/>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Joaquin</v>
      </c>
    </row>
    <row r="129" spans="2:9">
      <c r="E129" s="1084"/>
      <c r="G129" s="1078"/>
    </row>
    <row r="130" spans="2:9">
      <c r="E130" s="1084" t="str">
        <f>"2-Bedroom "&amp;G128&amp;" County Basis Limit"</f>
        <v>2-Bedroom San Joaquin County Basis Limit</v>
      </c>
      <c r="G130" s="1078">
        <f>Application!R988</f>
        <v>428000</v>
      </c>
    </row>
    <row r="131" spans="2:9">
      <c r="E131" s="1084" t="s">
        <v>2000</v>
      </c>
      <c r="G131" s="1078">
        <f>MEDIAN((Application!CU160:CU217))</f>
        <v>489600</v>
      </c>
    </row>
    <row r="132" spans="2:9">
      <c r="D132" s="1046"/>
      <c r="E132" s="1118" t="s">
        <v>2002</v>
      </c>
      <c r="F132" s="1134"/>
      <c r="G132" s="1135">
        <f>((G130-G131)/G131)*0.25</f>
        <v>-3.1454248366013071E-2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9" t="s">
        <v>2274</v>
      </c>
      <c r="D138" s="2689"/>
      <c r="E138" s="2689"/>
      <c r="F138" s="2689"/>
    </row>
    <row r="139" spans="2:9">
      <c r="B139" s="1045"/>
      <c r="C139" s="2689"/>
      <c r="D139" s="2689"/>
      <c r="E139" s="2689"/>
      <c r="F139" s="2689"/>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1575000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70" zoomScaleNormal="70" workbookViewId="0">
      <selection activeCell="G24" sqref="G24"/>
    </sheetView>
  </sheetViews>
  <sheetFormatPr defaultColWidth="9.218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21875" style="304"/>
  </cols>
  <sheetData>
    <row r="1" spans="1:12">
      <c r="A1" s="2696" t="s">
        <v>909</v>
      </c>
      <c r="B1" s="2696"/>
      <c r="C1" s="2696"/>
      <c r="D1" s="2696"/>
      <c r="E1" s="2696"/>
      <c r="F1" s="2696"/>
      <c r="G1" s="2696"/>
      <c r="H1" s="2696"/>
      <c r="I1" s="2696"/>
      <c r="J1" s="2696"/>
      <c r="K1" s="204"/>
      <c r="L1" s="204"/>
    </row>
    <row r="2" spans="1:12">
      <c r="A2" s="210"/>
      <c r="B2" s="210"/>
      <c r="C2" s="210"/>
      <c r="D2" s="210"/>
      <c r="E2" s="210"/>
      <c r="F2" s="210"/>
      <c r="G2" s="210"/>
      <c r="H2" s="210"/>
      <c r="I2" s="210"/>
      <c r="J2" s="210"/>
    </row>
    <row r="3" spans="1:12" ht="97.2">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3</v>
      </c>
      <c r="C4" s="1162" t="s">
        <v>385</v>
      </c>
      <c r="D4" s="428">
        <f>Application!O718</f>
        <v>1045</v>
      </c>
      <c r="E4" s="429"/>
      <c r="F4" s="1083">
        <v>1231</v>
      </c>
      <c r="G4" s="428">
        <f>F4*B4</f>
        <v>3693</v>
      </c>
      <c r="H4" s="429"/>
      <c r="I4" s="428">
        <f t="shared" ref="I4:I27" si="0">IF(F4=0,"",(F4-D4))</f>
        <v>186</v>
      </c>
      <c r="J4" s="428">
        <f t="shared" ref="J4:J27" si="1">IF(F4=0,"",(I4*B4))</f>
        <v>558</v>
      </c>
      <c r="K4" s="204"/>
      <c r="L4" s="305"/>
    </row>
    <row r="5" spans="1:12">
      <c r="A5" s="428" t="str">
        <f>Application!B719</f>
        <v>1 Bedroom</v>
      </c>
      <c r="B5" s="1082">
        <f>Application!G719</f>
        <v>7</v>
      </c>
      <c r="C5" s="1162" t="s">
        <v>385</v>
      </c>
      <c r="D5" s="428">
        <f>Application!O719</f>
        <v>849</v>
      </c>
      <c r="E5" s="429"/>
      <c r="F5" s="1083">
        <v>1231</v>
      </c>
      <c r="G5" s="428">
        <f t="shared" ref="G5:G38" si="2">F5*B5</f>
        <v>8617</v>
      </c>
      <c r="H5" s="429"/>
      <c r="I5" s="428">
        <f t="shared" si="0"/>
        <v>382</v>
      </c>
      <c r="J5" s="428">
        <f t="shared" si="1"/>
        <v>2674</v>
      </c>
      <c r="K5" s="204"/>
      <c r="L5" s="305"/>
    </row>
    <row r="6" spans="1:12">
      <c r="A6" s="428" t="str">
        <f>Application!B720</f>
        <v>1 Bedroom</v>
      </c>
      <c r="B6" s="1082">
        <f>Application!G720</f>
        <v>2</v>
      </c>
      <c r="C6" s="1162" t="s">
        <v>385</v>
      </c>
      <c r="D6" s="428">
        <f>Application!O720</f>
        <v>456</v>
      </c>
      <c r="E6" s="429"/>
      <c r="F6" s="1083">
        <v>1231</v>
      </c>
      <c r="G6" s="428">
        <f t="shared" si="2"/>
        <v>2462</v>
      </c>
      <c r="H6" s="429"/>
      <c r="I6" s="428">
        <f t="shared" si="0"/>
        <v>775</v>
      </c>
      <c r="J6" s="428">
        <f t="shared" si="1"/>
        <v>1550</v>
      </c>
      <c r="K6" s="204"/>
      <c r="L6" s="305"/>
    </row>
    <row r="7" spans="1:12">
      <c r="A7" s="428" t="str">
        <f>Application!B721</f>
        <v>2 Bedrooms</v>
      </c>
      <c r="B7" s="1082">
        <f>Application!G721</f>
        <v>5</v>
      </c>
      <c r="C7" s="1162" t="s">
        <v>385</v>
      </c>
      <c r="D7" s="428">
        <f>Application!O721</f>
        <v>1234</v>
      </c>
      <c r="E7" s="429"/>
      <c r="F7" s="1083">
        <v>1557</v>
      </c>
      <c r="G7" s="428">
        <f t="shared" si="2"/>
        <v>7785</v>
      </c>
      <c r="H7" s="429"/>
      <c r="I7" s="428">
        <f t="shared" si="0"/>
        <v>323</v>
      </c>
      <c r="J7" s="428">
        <f t="shared" si="1"/>
        <v>1615</v>
      </c>
      <c r="K7" s="204"/>
      <c r="L7" s="305"/>
    </row>
    <row r="8" spans="1:12">
      <c r="A8" s="428" t="str">
        <f>Application!B722</f>
        <v>2 Bedrooms</v>
      </c>
      <c r="B8" s="1082">
        <f>Application!G722</f>
        <v>11</v>
      </c>
      <c r="C8" s="1162" t="s">
        <v>385</v>
      </c>
      <c r="D8" s="428">
        <f>Application!O722</f>
        <v>998</v>
      </c>
      <c r="E8" s="429"/>
      <c r="F8" s="1083">
        <v>1557</v>
      </c>
      <c r="G8" s="428">
        <f t="shared" si="2"/>
        <v>17127</v>
      </c>
      <c r="H8" s="429"/>
      <c r="I8" s="428">
        <f t="shared" si="0"/>
        <v>559</v>
      </c>
      <c r="J8" s="428">
        <f t="shared" si="1"/>
        <v>6149</v>
      </c>
      <c r="K8" s="204"/>
      <c r="L8" s="305"/>
    </row>
    <row r="9" spans="1:12">
      <c r="A9" s="428" t="str">
        <f>Application!B723</f>
        <v>2 Bedrooms</v>
      </c>
      <c r="B9" s="1082">
        <f>Application!G723</f>
        <v>2</v>
      </c>
      <c r="C9" s="1162" t="s">
        <v>385</v>
      </c>
      <c r="D9" s="428">
        <f>Application!O723</f>
        <v>527</v>
      </c>
      <c r="E9" s="429"/>
      <c r="F9" s="1083">
        <v>1557</v>
      </c>
      <c r="G9" s="428">
        <f t="shared" si="2"/>
        <v>3114</v>
      </c>
      <c r="H9" s="429"/>
      <c r="I9" s="428">
        <f t="shared" si="0"/>
        <v>1030</v>
      </c>
      <c r="J9" s="428">
        <f t="shared" si="1"/>
        <v>2060</v>
      </c>
      <c r="K9" s="204"/>
      <c r="L9" s="305"/>
    </row>
    <row r="10" spans="1:12">
      <c r="A10" s="428" t="str">
        <f>Application!B724</f>
        <v>3 Bedrooms</v>
      </c>
      <c r="B10" s="1082">
        <f>Application!G724</f>
        <v>3</v>
      </c>
      <c r="C10" s="1162" t="s">
        <v>385</v>
      </c>
      <c r="D10" s="428">
        <f>Application!O724</f>
        <v>1406</v>
      </c>
      <c r="E10" s="429"/>
      <c r="F10" s="1083">
        <v>2207</v>
      </c>
      <c r="G10" s="428">
        <f t="shared" si="2"/>
        <v>6621</v>
      </c>
      <c r="H10" s="429"/>
      <c r="I10" s="428">
        <f t="shared" si="0"/>
        <v>801</v>
      </c>
      <c r="J10" s="428">
        <f t="shared" si="1"/>
        <v>2403</v>
      </c>
      <c r="K10" s="204"/>
      <c r="L10" s="305"/>
    </row>
    <row r="11" spans="1:12">
      <c r="A11" s="428" t="str">
        <f>Application!B725</f>
        <v>3 Bedrooms</v>
      </c>
      <c r="B11" s="1082">
        <f>Application!G725</f>
        <v>10</v>
      </c>
      <c r="C11" s="1162" t="s">
        <v>385</v>
      </c>
      <c r="D11" s="428">
        <f>Application!O725</f>
        <v>1134</v>
      </c>
      <c r="E11" s="429"/>
      <c r="F11" s="1083">
        <v>2207</v>
      </c>
      <c r="G11" s="428">
        <f t="shared" si="2"/>
        <v>22070</v>
      </c>
      <c r="H11" s="429"/>
      <c r="I11" s="428">
        <f t="shared" si="0"/>
        <v>1073</v>
      </c>
      <c r="J11" s="428">
        <f t="shared" si="1"/>
        <v>10730</v>
      </c>
      <c r="K11" s="204"/>
      <c r="L11" s="305"/>
    </row>
    <row r="12" spans="1:12">
      <c r="A12" s="428" t="str">
        <f>Application!B726</f>
        <v>3 Bedrooms</v>
      </c>
      <c r="B12" s="1082">
        <f>Application!G726</f>
        <v>2</v>
      </c>
      <c r="C12" s="1162" t="s">
        <v>385</v>
      </c>
      <c r="D12" s="428">
        <f>Application!O726</f>
        <v>590</v>
      </c>
      <c r="E12" s="429"/>
      <c r="F12" s="1083">
        <v>2207</v>
      </c>
      <c r="G12" s="428">
        <f t="shared" si="2"/>
        <v>4414</v>
      </c>
      <c r="H12" s="429"/>
      <c r="I12" s="428">
        <f t="shared" si="0"/>
        <v>1617</v>
      </c>
      <c r="J12" s="428">
        <f t="shared" si="1"/>
        <v>3234</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44930</v>
      </c>
      <c r="E40" s="429"/>
      <c r="F40" s="429"/>
      <c r="G40" s="432">
        <f>SUM(G4:G38)*12</f>
        <v>910836</v>
      </c>
      <c r="H40" s="433"/>
      <c r="I40" s="431"/>
      <c r="J40" s="432">
        <f>SUM(J4:J38)*12</f>
        <v>371676</v>
      </c>
      <c r="K40" s="204"/>
      <c r="L40" s="306"/>
    </row>
    <row r="41" spans="1:12">
      <c r="A41" s="430"/>
      <c r="B41" s="431"/>
      <c r="C41" s="431"/>
      <c r="D41" s="433"/>
      <c r="E41" s="429"/>
      <c r="F41" s="429"/>
      <c r="G41" s="433"/>
      <c r="H41" s="433"/>
      <c r="I41" s="431"/>
      <c r="J41" s="433"/>
      <c r="K41" s="204"/>
      <c r="L41" s="306"/>
    </row>
    <row r="42" spans="1:12">
      <c r="A42" s="304" t="s">
        <v>2256</v>
      </c>
    </row>
    <row r="43" spans="1:12">
      <c r="A43" s="2697" t="s">
        <v>2495</v>
      </c>
      <c r="B43" s="2697"/>
      <c r="C43" s="2697"/>
      <c r="D43" s="2697"/>
      <c r="E43" s="2697"/>
      <c r="F43" s="2697"/>
      <c r="G43" s="2697"/>
      <c r="H43" s="2697"/>
      <c r="I43" s="2697"/>
      <c r="J43" s="2697"/>
    </row>
    <row r="44" spans="1:12">
      <c r="A44" s="2697"/>
      <c r="B44" s="2697"/>
      <c r="C44" s="2697"/>
      <c r="D44" s="2697"/>
      <c r="E44" s="2697"/>
      <c r="F44" s="2697"/>
      <c r="G44" s="2697"/>
      <c r="H44" s="2697"/>
      <c r="I44" s="2697"/>
      <c r="J44" s="2697"/>
    </row>
    <row r="45" spans="1:12">
      <c r="A45" s="2697" t="s">
        <v>2257</v>
      </c>
      <c r="B45" s="2697"/>
      <c r="C45" s="2697"/>
      <c r="D45" s="2697"/>
      <c r="E45" s="2697"/>
      <c r="F45" s="2697"/>
      <c r="G45" s="2697"/>
      <c r="H45" s="2697"/>
      <c r="I45" s="2697"/>
      <c r="J45" s="2697"/>
    </row>
    <row r="46" spans="1:12">
      <c r="A46" s="2697"/>
      <c r="B46" s="2697"/>
      <c r="C46" s="2697"/>
      <c r="D46" s="2697"/>
      <c r="E46" s="2697"/>
      <c r="F46" s="2697"/>
      <c r="G46" s="2697"/>
      <c r="H46" s="2697"/>
      <c r="I46" s="2697"/>
      <c r="J46" s="269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zoomScale="70" zoomScaleNormal="70" workbookViewId="0">
      <selection activeCell="AG55" sqref="AG55"/>
    </sheetView>
  </sheetViews>
  <sheetFormatPr defaultColWidth="0" defaultRowHeight="13.2" zeroHeight="1"/>
  <cols>
    <col min="1" max="1" width="3.77734375" customWidth="1"/>
    <col min="2" max="2" width="30.5546875" customWidth="1"/>
    <col min="3" max="3" width="9.218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77734375" hidden="1"/>
  </cols>
  <sheetData>
    <row r="1" spans="1:34" ht="17.399999999999999">
      <c r="A1" s="211" t="s">
        <v>2093</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539160</v>
      </c>
      <c r="G4" s="219">
        <f>E4*$C$4</f>
        <v>552639</v>
      </c>
      <c r="I4" s="219">
        <f>G4*$C$4</f>
        <v>566454.97499999998</v>
      </c>
      <c r="K4" s="219">
        <f>I4*$C$4</f>
        <v>580616.34937499987</v>
      </c>
      <c r="M4" s="219">
        <f>K4*$C$4</f>
        <v>595131.75810937479</v>
      </c>
      <c r="O4" s="219">
        <f>M4*$C$4</f>
        <v>610010.05206210911</v>
      </c>
      <c r="Q4" s="219">
        <f>O4*$C$4</f>
        <v>625260.30336366175</v>
      </c>
      <c r="S4" s="219">
        <f>Q4*$C$4</f>
        <v>640891.81094775326</v>
      </c>
      <c r="U4" s="219">
        <f>S4*$C$4</f>
        <v>656914.106221447</v>
      </c>
      <c r="W4" s="219">
        <f>U4*$C$4</f>
        <v>673336.95887698315</v>
      </c>
      <c r="Y4" s="219">
        <f>W4*$C$4</f>
        <v>690170.38284890761</v>
      </c>
      <c r="AA4" s="219">
        <f>Y4*$C$4</f>
        <v>707424.6424201302</v>
      </c>
      <c r="AC4" s="219">
        <f>AA4*$C$4</f>
        <v>725110.25848063338</v>
      </c>
      <c r="AE4" s="219">
        <f>AC4*$C$4</f>
        <v>743238.01494264917</v>
      </c>
      <c r="AG4" s="219">
        <f>AE4*$C$4</f>
        <v>761818.9653162153</v>
      </c>
    </row>
    <row r="5" spans="1:34" s="210" customFormat="1" ht="13.8">
      <c r="B5" s="210" t="s">
        <v>838</v>
      </c>
      <c r="C5" s="238">
        <f>IF(Application!$D$211="Special Needs",(((0.1*Application!$T$212)+(0.05*(1-Application!$T$212)))),0.05)</f>
        <v>0.05</v>
      </c>
      <c r="E5" s="221">
        <f>-E4*$C$5</f>
        <v>-26958</v>
      </c>
      <c r="F5" s="221"/>
      <c r="G5" s="221">
        <f>-G4*$C$5</f>
        <v>-27631.95</v>
      </c>
      <c r="H5" s="221"/>
      <c r="I5" s="221">
        <f>-I4*$C$5</f>
        <v>-28322.748749999999</v>
      </c>
      <c r="J5" s="221"/>
      <c r="K5" s="221">
        <f>-K4*$C$5</f>
        <v>-29030.817468749996</v>
      </c>
      <c r="L5" s="221"/>
      <c r="M5" s="221">
        <f>-M4*$C$5</f>
        <v>-29756.587905468739</v>
      </c>
      <c r="N5" s="221"/>
      <c r="O5" s="221">
        <f>-O4*$C$5</f>
        <v>-30500.502603105459</v>
      </c>
      <c r="P5" s="221"/>
      <c r="Q5" s="221">
        <f>-Q4*$C$5</f>
        <v>-31263.01516818309</v>
      </c>
      <c r="R5" s="221"/>
      <c r="S5" s="221">
        <f>-S4*$C$5</f>
        <v>-32044.590547387663</v>
      </c>
      <c r="T5" s="221"/>
      <c r="U5" s="221">
        <f>-U4*$C$5</f>
        <v>-32845.70531107235</v>
      </c>
      <c r="V5" s="221"/>
      <c r="W5" s="221">
        <f>-W4*$C$5</f>
        <v>-33666.847943849156</v>
      </c>
      <c r="X5" s="221"/>
      <c r="Y5" s="221">
        <f>-Y4*$C$5</f>
        <v>-34508.519142445381</v>
      </c>
      <c r="Z5" s="221"/>
      <c r="AA5" s="221">
        <f>-AA4*$C$5</f>
        <v>-35371.232121006513</v>
      </c>
      <c r="AB5" s="221"/>
      <c r="AC5" s="221">
        <f>-AC4*$C$5</f>
        <v>-36255.512924031667</v>
      </c>
      <c r="AD5" s="221"/>
      <c r="AE5" s="221">
        <f>-AE4*$C$5</f>
        <v>-37161.900747132458</v>
      </c>
      <c r="AF5" s="221"/>
      <c r="AG5" s="221">
        <f>-AG4*$C$5</f>
        <v>-38090.948265810766</v>
      </c>
    </row>
    <row r="6" spans="1:34" s="210" customFormat="1" ht="13.8">
      <c r="A6" s="210" t="s">
        <v>836</v>
      </c>
      <c r="C6" s="237">
        <v>1.0249999999999999</v>
      </c>
      <c r="E6" s="222">
        <f>Application!Z809</f>
        <v>371676</v>
      </c>
      <c r="F6" s="222"/>
      <c r="G6" s="222">
        <f>E6*$C$6</f>
        <v>380967.89999999997</v>
      </c>
      <c r="H6" s="222"/>
      <c r="I6" s="222">
        <f>G6*$C$6</f>
        <v>390492.09749999992</v>
      </c>
      <c r="J6" s="222"/>
      <c r="K6" s="222">
        <f>I6*$C$6</f>
        <v>400254.3999374999</v>
      </c>
      <c r="L6" s="222"/>
      <c r="M6" s="222">
        <f>K6*$C$6</f>
        <v>410260.75993593736</v>
      </c>
      <c r="N6" s="222"/>
      <c r="O6" s="222">
        <f>M6*$C$6</f>
        <v>420517.27893433574</v>
      </c>
      <c r="P6" s="222"/>
      <c r="Q6" s="222">
        <f>O6*$C$6</f>
        <v>431030.21090769413</v>
      </c>
      <c r="R6" s="222"/>
      <c r="S6" s="222">
        <f>Q6*$C$6</f>
        <v>441805.96618038643</v>
      </c>
      <c r="T6" s="222"/>
      <c r="U6" s="222">
        <f>S6*$C$6</f>
        <v>452851.11533489608</v>
      </c>
      <c r="V6" s="222"/>
      <c r="W6" s="222">
        <f>U6*$C$6</f>
        <v>464172.39321826847</v>
      </c>
      <c r="X6" s="222"/>
      <c r="Y6" s="222">
        <f>W6*$C$6</f>
        <v>475776.70304872515</v>
      </c>
      <c r="Z6" s="222"/>
      <c r="AA6" s="222">
        <f>Y6*$C$6</f>
        <v>487671.12062494323</v>
      </c>
      <c r="AB6" s="222"/>
      <c r="AC6" s="222">
        <f>AA6*$C$6</f>
        <v>499862.89864056674</v>
      </c>
      <c r="AD6" s="222"/>
      <c r="AE6" s="222">
        <f>AC6*$C$6</f>
        <v>512359.47110658087</v>
      </c>
      <c r="AF6" s="222"/>
      <c r="AG6" s="222">
        <f>AE6*$C$6</f>
        <v>525168.45788424532</v>
      </c>
    </row>
    <row r="7" spans="1:34" s="210" customFormat="1" ht="13.8">
      <c r="B7" s="210" t="s">
        <v>838</v>
      </c>
      <c r="C7" s="238">
        <f>IF(Application!$D$211="Special Needs",(((0.1*Application!$T$212)+(0.05*(1-Application!$T$212)))),0.05)</f>
        <v>0.05</v>
      </c>
      <c r="E7" s="221">
        <f>-E6*$C$7</f>
        <v>-18583.8</v>
      </c>
      <c r="F7" s="221"/>
      <c r="G7" s="221">
        <f>-G6*$C$7</f>
        <v>-19048.395</v>
      </c>
      <c r="H7" s="221"/>
      <c r="I7" s="221">
        <f>-I6*$C$7</f>
        <v>-19524.604874999997</v>
      </c>
      <c r="J7" s="221"/>
      <c r="K7" s="221">
        <f>-K6*$C$7</f>
        <v>-20012.719996874996</v>
      </c>
      <c r="L7" s="221"/>
      <c r="M7" s="221">
        <f>-M6*$C$7</f>
        <v>-20513.037996796869</v>
      </c>
      <c r="N7" s="221"/>
      <c r="O7" s="221">
        <f>-O6*$C$7</f>
        <v>-21025.863946716789</v>
      </c>
      <c r="P7" s="221"/>
      <c r="Q7" s="221">
        <f>-Q6*$C$7</f>
        <v>-21551.510545384706</v>
      </c>
      <c r="R7" s="221"/>
      <c r="S7" s="221">
        <f>-S6*$C$7</f>
        <v>-22090.298309019323</v>
      </c>
      <c r="T7" s="221"/>
      <c r="U7" s="221">
        <f>-U6*$C$7</f>
        <v>-22642.555766744805</v>
      </c>
      <c r="V7" s="221"/>
      <c r="W7" s="221">
        <f>-W6*$C$7</f>
        <v>-23208.619660913424</v>
      </c>
      <c r="X7" s="221"/>
      <c r="Y7" s="221">
        <f>-Y6*$C$7</f>
        <v>-23788.835152436259</v>
      </c>
      <c r="Z7" s="221"/>
      <c r="AA7" s="221">
        <f>-AA6*$C$7</f>
        <v>-24383.556031247164</v>
      </c>
      <c r="AB7" s="221"/>
      <c r="AC7" s="221">
        <f>-AC6*$C$7</f>
        <v>-24993.144932028339</v>
      </c>
      <c r="AD7" s="221"/>
      <c r="AE7" s="221">
        <f>-AE6*$C$7</f>
        <v>-25617.973555329045</v>
      </c>
      <c r="AF7" s="221"/>
      <c r="AG7" s="221">
        <f>-AG6*$C$7</f>
        <v>-26258.422894212268</v>
      </c>
    </row>
    <row r="8" spans="1:34" s="210" customFormat="1" ht="13.8">
      <c r="A8" s="210" t="s">
        <v>288</v>
      </c>
      <c r="C8" s="237">
        <v>1.0249999999999999</v>
      </c>
      <c r="E8" s="222">
        <f>Application!Z817</f>
        <v>8832</v>
      </c>
      <c r="F8" s="222"/>
      <c r="G8" s="222">
        <f>E8*$C$8</f>
        <v>9052.7999999999993</v>
      </c>
      <c r="H8" s="222"/>
      <c r="I8" s="222">
        <f>G8*$C$8</f>
        <v>9279.119999999999</v>
      </c>
      <c r="J8" s="222"/>
      <c r="K8" s="222">
        <f>I8*$C$8</f>
        <v>9511.0979999999981</v>
      </c>
      <c r="L8" s="222"/>
      <c r="M8" s="222">
        <f>K8*$C$8</f>
        <v>9748.8754499999977</v>
      </c>
      <c r="N8" s="222"/>
      <c r="O8" s="222">
        <f>M8*$C$8</f>
        <v>9992.5973362499972</v>
      </c>
      <c r="P8" s="222"/>
      <c r="Q8" s="222">
        <f>O8*$C$8</f>
        <v>10242.412269656246</v>
      </c>
      <c r="R8" s="222"/>
      <c r="S8" s="222">
        <f>Q8*$C$8</f>
        <v>10498.472576397651</v>
      </c>
      <c r="T8" s="222"/>
      <c r="U8" s="222">
        <f>S8*$C$8</f>
        <v>10760.934390807592</v>
      </c>
      <c r="V8" s="222"/>
      <c r="W8" s="222">
        <f>U8*$C$8</f>
        <v>11029.95775057778</v>
      </c>
      <c r="X8" s="222"/>
      <c r="Y8" s="222">
        <f>W8*$C$8</f>
        <v>11305.706694342223</v>
      </c>
      <c r="Z8" s="222"/>
      <c r="AA8" s="222">
        <f>Y8*$C$8</f>
        <v>11588.349361700777</v>
      </c>
      <c r="AB8" s="222"/>
      <c r="AC8" s="222">
        <f>AA8*$C$8</f>
        <v>11878.058095743296</v>
      </c>
      <c r="AD8" s="222"/>
      <c r="AE8" s="222">
        <f>AC8*$C$8</f>
        <v>12175.009548136877</v>
      </c>
      <c r="AF8" s="222"/>
      <c r="AG8" s="222">
        <f>AE8*$C$8</f>
        <v>12479.384786840297</v>
      </c>
    </row>
    <row r="9" spans="1:34" s="210" customFormat="1" ht="13.8">
      <c r="B9" s="210" t="s">
        <v>838</v>
      </c>
      <c r="C9" s="238">
        <f>IF(Application!$D$211="Special Needs",(((0.1*Application!$T$212)+(0.05*(1-Application!$T$212)))),0.05)</f>
        <v>0.05</v>
      </c>
      <c r="E9" s="221">
        <f>-E8*$C$9</f>
        <v>-441.6</v>
      </c>
      <c r="F9" s="221"/>
      <c r="G9" s="221">
        <f>-G8*$C$9</f>
        <v>-452.64</v>
      </c>
      <c r="H9" s="221"/>
      <c r="I9" s="221">
        <f>-I8*$C$9</f>
        <v>-463.95599999999996</v>
      </c>
      <c r="J9" s="221"/>
      <c r="K9" s="221">
        <f>-K8*$C$9</f>
        <v>-475.55489999999992</v>
      </c>
      <c r="L9" s="221"/>
      <c r="M9" s="221">
        <f>-M8*$C$9</f>
        <v>-487.44377249999991</v>
      </c>
      <c r="N9" s="221"/>
      <c r="O9" s="221">
        <f>-O8*$C$9</f>
        <v>-499.62986681249987</v>
      </c>
      <c r="P9" s="221"/>
      <c r="Q9" s="221">
        <f>-Q8*$C$9</f>
        <v>-512.12061348281236</v>
      </c>
      <c r="R9" s="221"/>
      <c r="S9" s="221">
        <f>-S8*$C$9</f>
        <v>-524.92362881988254</v>
      </c>
      <c r="T9" s="221"/>
      <c r="U9" s="221">
        <f>-U8*$C$9</f>
        <v>-538.04671954037963</v>
      </c>
      <c r="V9" s="221"/>
      <c r="W9" s="221">
        <f>-W8*$C$9</f>
        <v>-551.49788752888901</v>
      </c>
      <c r="X9" s="221"/>
      <c r="Y9" s="221">
        <f>-Y8*$C$9</f>
        <v>-565.28533471711114</v>
      </c>
      <c r="Z9" s="221"/>
      <c r="AA9" s="221">
        <f>-AA8*$C$9</f>
        <v>-579.41746808503888</v>
      </c>
      <c r="AB9" s="221"/>
      <c r="AC9" s="221">
        <f>-AC8*$C$9</f>
        <v>-593.90290478716486</v>
      </c>
      <c r="AD9" s="221"/>
      <c r="AE9" s="221">
        <f>-AE8*$C$9</f>
        <v>-608.75047740684386</v>
      </c>
      <c r="AF9" s="221"/>
      <c r="AG9" s="221">
        <f>-AG8*$C$9</f>
        <v>-623.96923934201493</v>
      </c>
    </row>
    <row r="10" spans="1:34" s="210" customFormat="1" ht="13.8">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873684.6</v>
      </c>
      <c r="G11" s="223">
        <f>SUM(G4:G10)</f>
        <v>895526.71499999997</v>
      </c>
      <c r="I11" s="223">
        <f>SUM(I4:I10)</f>
        <v>917914.88287499989</v>
      </c>
      <c r="K11" s="223">
        <f>SUM(K4:K10)</f>
        <v>940862.7549468748</v>
      </c>
      <c r="M11" s="223">
        <f>SUM(M4:M10)</f>
        <v>964384.3238205465</v>
      </c>
      <c r="O11" s="223">
        <f>SUM(O4:O10)</f>
        <v>988493.93191606016</v>
      </c>
      <c r="Q11" s="223">
        <f>SUM(Q4:Q10)</f>
        <v>1013206.2802139614</v>
      </c>
      <c r="S11" s="223">
        <f>SUM(S4:S10)</f>
        <v>1038536.4372193106</v>
      </c>
      <c r="U11" s="223">
        <f>SUM(U4:U10)</f>
        <v>1064499.8481497932</v>
      </c>
      <c r="W11" s="223">
        <f>SUM(W4:W10)</f>
        <v>1091112.3443535378</v>
      </c>
      <c r="Y11" s="223">
        <f>SUM(Y4:Y10)</f>
        <v>1118390.1529623761</v>
      </c>
      <c r="AA11" s="223">
        <f>SUM(AA4:AA10)</f>
        <v>1146349.9067864355</v>
      </c>
      <c r="AC11" s="223">
        <f>SUM(AC4:AC10)</f>
        <v>1175008.654456096</v>
      </c>
      <c r="AE11" s="223">
        <f>SUM(AE4:AE10)</f>
        <v>1204383.8708174985</v>
      </c>
      <c r="AG11" s="223">
        <f>SUM(AG4:AG10)</f>
        <v>1234493.467587936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83780</v>
      </c>
      <c r="G15" s="219">
        <f>E15*$C$14</f>
        <v>86712.299999999988</v>
      </c>
      <c r="I15" s="219">
        <f>G15*$C$14</f>
        <v>89747.230499999976</v>
      </c>
      <c r="K15" s="219">
        <f>I15*$C$14</f>
        <v>92888.383567499972</v>
      </c>
      <c r="M15" s="219">
        <f>K15*$C$14</f>
        <v>96139.47699236247</v>
      </c>
      <c r="O15" s="219">
        <f>M15*$C$14</f>
        <v>99504.358687095155</v>
      </c>
      <c r="Q15" s="219">
        <f>O15*$C$14</f>
        <v>102987.01124114348</v>
      </c>
      <c r="S15" s="219">
        <f>Q15*$C$14</f>
        <v>106591.5566345835</v>
      </c>
      <c r="U15" s="219">
        <f>S15*$C$14</f>
        <v>110322.2611167939</v>
      </c>
      <c r="W15" s="219">
        <f>U15*$C$14</f>
        <v>114183.54025588169</v>
      </c>
      <c r="Y15" s="219">
        <f>W15*$C$14</f>
        <v>118179.96416483754</v>
      </c>
      <c r="AA15" s="219">
        <f>Y15*$C$14</f>
        <v>122316.26291060685</v>
      </c>
      <c r="AC15" s="219">
        <f>AA15*$C$14</f>
        <v>126597.33211247808</v>
      </c>
      <c r="AE15" s="219">
        <f>AC15*$C$14</f>
        <v>131028.2387364148</v>
      </c>
      <c r="AG15" s="219">
        <f>AE15*$C$14</f>
        <v>135614.22709218931</v>
      </c>
    </row>
    <row r="16" spans="1:34" s="210" customFormat="1" ht="13.8">
      <c r="A16" s="210" t="s">
        <v>344</v>
      </c>
      <c r="C16" s="233"/>
      <c r="E16" s="222">
        <f>Application!W849</f>
        <v>33966</v>
      </c>
      <c r="F16" s="222"/>
      <c r="G16" s="222">
        <f t="shared" ref="G16:AG21" si="0">E16*$C$14</f>
        <v>35154.81</v>
      </c>
      <c r="H16" s="222"/>
      <c r="I16" s="222">
        <f t="shared" si="0"/>
        <v>36385.228349999998</v>
      </c>
      <c r="J16" s="222"/>
      <c r="K16" s="222">
        <f t="shared" si="0"/>
        <v>37658.711342249997</v>
      </c>
      <c r="L16" s="222"/>
      <c r="M16" s="222">
        <f t="shared" si="0"/>
        <v>38976.766239228746</v>
      </c>
      <c r="N16" s="222"/>
      <c r="O16" s="222">
        <f t="shared" si="0"/>
        <v>40340.95305760175</v>
      </c>
      <c r="P16" s="222"/>
      <c r="Q16" s="222">
        <f t="shared" si="0"/>
        <v>41752.886414617809</v>
      </c>
      <c r="R16" s="222"/>
      <c r="S16" s="222">
        <f t="shared" si="0"/>
        <v>43214.237439129429</v>
      </c>
      <c r="T16" s="222"/>
      <c r="U16" s="222">
        <f t="shared" si="0"/>
        <v>44726.735749498956</v>
      </c>
      <c r="V16" s="222"/>
      <c r="W16" s="222">
        <f t="shared" si="0"/>
        <v>46292.171500731412</v>
      </c>
      <c r="X16" s="222"/>
      <c r="Y16" s="222">
        <f t="shared" si="0"/>
        <v>47912.397503257009</v>
      </c>
      <c r="Z16" s="222"/>
      <c r="AA16" s="222">
        <f t="shared" si="0"/>
        <v>49589.331415870998</v>
      </c>
      <c r="AB16" s="222"/>
      <c r="AC16" s="222">
        <f t="shared" si="0"/>
        <v>51324.958015426477</v>
      </c>
      <c r="AD16" s="222"/>
      <c r="AE16" s="222">
        <f t="shared" si="0"/>
        <v>53121.331545966401</v>
      </c>
      <c r="AF16" s="222"/>
      <c r="AG16" s="222">
        <f t="shared" si="0"/>
        <v>54980.57815007522</v>
      </c>
    </row>
    <row r="17" spans="1:33" s="210" customFormat="1" ht="13.8">
      <c r="A17" s="210" t="s">
        <v>561</v>
      </c>
      <c r="C17" s="233"/>
      <c r="E17" s="222">
        <f>Application!W855</f>
        <v>40873</v>
      </c>
      <c r="F17" s="222"/>
      <c r="G17" s="222">
        <f t="shared" si="0"/>
        <v>42303.555</v>
      </c>
      <c r="H17" s="222"/>
      <c r="I17" s="222">
        <f t="shared" si="0"/>
        <v>43784.179424999995</v>
      </c>
      <c r="J17" s="222"/>
      <c r="K17" s="222">
        <f t="shared" si="0"/>
        <v>45316.62570487499</v>
      </c>
      <c r="L17" s="222"/>
      <c r="M17" s="222">
        <f t="shared" si="0"/>
        <v>46902.707604545612</v>
      </c>
      <c r="N17" s="222"/>
      <c r="O17" s="222">
        <f t="shared" si="0"/>
        <v>48544.302370704703</v>
      </c>
      <c r="P17" s="222"/>
      <c r="Q17" s="222">
        <f t="shared" si="0"/>
        <v>50243.352953679365</v>
      </c>
      <c r="R17" s="222"/>
      <c r="S17" s="222">
        <f t="shared" si="0"/>
        <v>52001.87030705814</v>
      </c>
      <c r="T17" s="222"/>
      <c r="U17" s="222">
        <f t="shared" si="0"/>
        <v>53821.935767805167</v>
      </c>
      <c r="V17" s="222"/>
      <c r="W17" s="222">
        <f t="shared" si="0"/>
        <v>55705.703519678347</v>
      </c>
      <c r="X17" s="222"/>
      <c r="Y17" s="222">
        <f t="shared" si="0"/>
        <v>57655.403142867086</v>
      </c>
      <c r="Z17" s="222"/>
      <c r="AA17" s="222">
        <f t="shared" si="0"/>
        <v>59673.342252867427</v>
      </c>
      <c r="AB17" s="222"/>
      <c r="AC17" s="222">
        <f t="shared" si="0"/>
        <v>61761.909231717786</v>
      </c>
      <c r="AD17" s="222"/>
      <c r="AE17" s="222">
        <f t="shared" si="0"/>
        <v>63923.576054827907</v>
      </c>
      <c r="AF17" s="222"/>
      <c r="AG17" s="222">
        <f t="shared" si="0"/>
        <v>66160.901216746875</v>
      </c>
    </row>
    <row r="18" spans="1:33" s="210" customFormat="1" ht="13.8">
      <c r="A18" s="210" t="s">
        <v>842</v>
      </c>
      <c r="C18" s="233"/>
      <c r="E18" s="222">
        <f>Application!W862</f>
        <v>47060</v>
      </c>
      <c r="F18" s="222"/>
      <c r="G18" s="222">
        <f t="shared" si="0"/>
        <v>48707.1</v>
      </c>
      <c r="H18" s="222"/>
      <c r="I18" s="222">
        <f t="shared" si="0"/>
        <v>50411.848499999993</v>
      </c>
      <c r="J18" s="222"/>
      <c r="K18" s="222">
        <f t="shared" si="0"/>
        <v>52176.263197499989</v>
      </c>
      <c r="L18" s="222"/>
      <c r="M18" s="222">
        <f t="shared" si="0"/>
        <v>54002.432409412482</v>
      </c>
      <c r="N18" s="222"/>
      <c r="O18" s="222">
        <f t="shared" si="0"/>
        <v>55892.517543741917</v>
      </c>
      <c r="P18" s="222"/>
      <c r="Q18" s="222">
        <f t="shared" si="0"/>
        <v>57848.755657772883</v>
      </c>
      <c r="R18" s="222"/>
      <c r="S18" s="222">
        <f t="shared" si="0"/>
        <v>59873.462105794926</v>
      </c>
      <c r="T18" s="222"/>
      <c r="U18" s="222">
        <f t="shared" si="0"/>
        <v>61969.033279497744</v>
      </c>
      <c r="V18" s="222"/>
      <c r="W18" s="222">
        <f t="shared" si="0"/>
        <v>64137.949444280159</v>
      </c>
      <c r="X18" s="222"/>
      <c r="Y18" s="222">
        <f t="shared" si="0"/>
        <v>66382.777674829966</v>
      </c>
      <c r="Z18" s="222"/>
      <c r="AA18" s="222">
        <f t="shared" si="0"/>
        <v>68706.174893449002</v>
      </c>
      <c r="AB18" s="222"/>
      <c r="AC18" s="222">
        <f t="shared" si="0"/>
        <v>71110.891014719717</v>
      </c>
      <c r="AD18" s="222"/>
      <c r="AE18" s="222">
        <f t="shared" si="0"/>
        <v>73599.772200234904</v>
      </c>
      <c r="AF18" s="222"/>
      <c r="AG18" s="222">
        <f t="shared" si="0"/>
        <v>76175.764227243126</v>
      </c>
    </row>
    <row r="19" spans="1:33" s="210" customFormat="1" ht="13.8">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3.8">
      <c r="A20" s="210" t="s">
        <v>390</v>
      </c>
      <c r="C20" s="233"/>
      <c r="E20" s="222">
        <f>Application!W872</f>
        <v>54209</v>
      </c>
      <c r="F20" s="222"/>
      <c r="G20" s="222">
        <f t="shared" si="0"/>
        <v>56106.314999999995</v>
      </c>
      <c r="H20" s="222"/>
      <c r="I20" s="222">
        <f t="shared" si="0"/>
        <v>58070.036024999994</v>
      </c>
      <c r="J20" s="222"/>
      <c r="K20" s="222">
        <f t="shared" si="0"/>
        <v>60102.487285874988</v>
      </c>
      <c r="L20" s="222"/>
      <c r="M20" s="222">
        <f t="shared" si="0"/>
        <v>62206.074340880608</v>
      </c>
      <c r="N20" s="222"/>
      <c r="O20" s="222">
        <f t="shared" si="0"/>
        <v>64383.286942811428</v>
      </c>
      <c r="P20" s="222"/>
      <c r="Q20" s="222">
        <f t="shared" si="0"/>
        <v>66636.701985809821</v>
      </c>
      <c r="R20" s="222"/>
      <c r="S20" s="222">
        <f t="shared" si="0"/>
        <v>68968.986555313153</v>
      </c>
      <c r="T20" s="222"/>
      <c r="U20" s="222">
        <f t="shared" si="0"/>
        <v>71382.901084749101</v>
      </c>
      <c r="V20" s="222"/>
      <c r="W20" s="222">
        <f t="shared" si="0"/>
        <v>73881.302622715317</v>
      </c>
      <c r="X20" s="222"/>
      <c r="Y20" s="222">
        <f t="shared" si="0"/>
        <v>76467.148214510351</v>
      </c>
      <c r="Z20" s="222"/>
      <c r="AA20" s="222">
        <f t="shared" si="0"/>
        <v>79143.498402018202</v>
      </c>
      <c r="AB20" s="222"/>
      <c r="AC20" s="222">
        <f t="shared" si="0"/>
        <v>81913.520846088839</v>
      </c>
      <c r="AD20" s="222"/>
      <c r="AE20" s="222">
        <f t="shared" si="0"/>
        <v>84780.494075701936</v>
      </c>
      <c r="AF20" s="222"/>
      <c r="AG20" s="222">
        <f t="shared" si="0"/>
        <v>87747.811368351497</v>
      </c>
    </row>
    <row r="21" spans="1:33" s="210" customFormat="1" ht="13.8">
      <c r="A21" s="226" t="s">
        <v>962</v>
      </c>
      <c r="B21" s="226"/>
      <c r="C21" s="233"/>
      <c r="E21" s="232">
        <f>Application!W879</f>
        <v>39112</v>
      </c>
      <c r="F21" s="222"/>
      <c r="G21" s="232">
        <f t="shared" si="0"/>
        <v>40480.92</v>
      </c>
      <c r="H21" s="222"/>
      <c r="I21" s="232">
        <f t="shared" si="0"/>
        <v>41897.752199999995</v>
      </c>
      <c r="J21" s="222"/>
      <c r="K21" s="232">
        <f t="shared" si="0"/>
        <v>43364.173526999992</v>
      </c>
      <c r="L21" s="222"/>
      <c r="M21" s="232">
        <f t="shared" si="0"/>
        <v>44881.919600444991</v>
      </c>
      <c r="N21" s="222"/>
      <c r="O21" s="232">
        <f t="shared" si="0"/>
        <v>46452.786786460565</v>
      </c>
      <c r="P21" s="222"/>
      <c r="Q21" s="232">
        <f t="shared" si="0"/>
        <v>48078.634323986684</v>
      </c>
      <c r="R21" s="222"/>
      <c r="S21" s="232">
        <f t="shared" si="0"/>
        <v>49761.386525326212</v>
      </c>
      <c r="T21" s="222"/>
      <c r="U21" s="232">
        <f t="shared" si="0"/>
        <v>51503.035053712629</v>
      </c>
      <c r="V21" s="222"/>
      <c r="W21" s="232">
        <f t="shared" si="0"/>
        <v>53305.641280592565</v>
      </c>
      <c r="X21" s="222"/>
      <c r="Y21" s="232">
        <f t="shared" si="0"/>
        <v>55171.338725413298</v>
      </c>
      <c r="Z21" s="222"/>
      <c r="AA21" s="232">
        <f t="shared" si="0"/>
        <v>57102.335580802755</v>
      </c>
      <c r="AB21" s="222"/>
      <c r="AC21" s="232">
        <f t="shared" si="0"/>
        <v>59100.917326130846</v>
      </c>
      <c r="AD21" s="222"/>
      <c r="AE21" s="232">
        <f t="shared" si="0"/>
        <v>61169.449432545422</v>
      </c>
      <c r="AF21" s="222"/>
      <c r="AG21" s="232">
        <f t="shared" si="0"/>
        <v>63310.380162684509</v>
      </c>
    </row>
    <row r="22" spans="1:33" s="223" customFormat="1" ht="13.8">
      <c r="A22" s="223" t="s">
        <v>843</v>
      </c>
      <c r="C22" s="233"/>
      <c r="E22" s="223">
        <f>SUM(E15:E21)</f>
        <v>299000</v>
      </c>
      <c r="G22" s="223">
        <f>SUM(G15:G21)</f>
        <v>309464.99999999994</v>
      </c>
      <c r="I22" s="223">
        <f>SUM(I15:I21)</f>
        <v>320296.27499999997</v>
      </c>
      <c r="K22" s="223">
        <f>SUM(K15:K21)</f>
        <v>331506.64462499996</v>
      </c>
      <c r="M22" s="223">
        <f>SUM(M15:M21)</f>
        <v>343109.37718687486</v>
      </c>
      <c r="O22" s="223">
        <f>SUM(O15:O21)</f>
        <v>355118.20538841549</v>
      </c>
      <c r="Q22" s="223">
        <f>SUM(Q15:Q21)</f>
        <v>367547.34257701004</v>
      </c>
      <c r="S22" s="223">
        <f>SUM(S15:S21)</f>
        <v>380411.49956720538</v>
      </c>
      <c r="U22" s="223">
        <f>SUM(U15:U21)</f>
        <v>393725.90205205744</v>
      </c>
      <c r="W22" s="223">
        <f>SUM(W15:W21)</f>
        <v>407506.30862387945</v>
      </c>
      <c r="Y22" s="223">
        <f>SUM(Y15:Y21)</f>
        <v>421769.02942571527</v>
      </c>
      <c r="AA22" s="223">
        <f>SUM(AA15:AA21)</f>
        <v>436530.94545561523</v>
      </c>
      <c r="AC22" s="223">
        <f>SUM(AC15:AC21)</f>
        <v>451809.52854656172</v>
      </c>
      <c r="AE22" s="223">
        <f>SUM(AE15:AE21)</f>
        <v>467622.86204569129</v>
      </c>
      <c r="AG22" s="223">
        <f>SUM(AG15:AG21)</f>
        <v>483989.66221729061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3.8">
      <c r="A28" s="210" t="s">
        <v>846</v>
      </c>
      <c r="C28" s="237"/>
      <c r="E28" s="222">
        <f>Application!AC889</f>
        <v>11500</v>
      </c>
      <c r="F28" s="222"/>
      <c r="G28" s="222">
        <f>$E$28</f>
        <v>11500</v>
      </c>
      <c r="H28" s="222"/>
      <c r="I28" s="222">
        <f>$E$28</f>
        <v>11500</v>
      </c>
      <c r="J28" s="222"/>
      <c r="K28" s="222">
        <f>$E$28</f>
        <v>11500</v>
      </c>
      <c r="L28" s="222"/>
      <c r="M28" s="222">
        <f>$E$28</f>
        <v>11500</v>
      </c>
      <c r="N28" s="222"/>
      <c r="O28" s="222">
        <f>$E$28</f>
        <v>11500</v>
      </c>
      <c r="P28" s="222"/>
      <c r="Q28" s="222">
        <f>$E$28</f>
        <v>11500</v>
      </c>
      <c r="R28" s="222"/>
      <c r="S28" s="222">
        <f>$E$28</f>
        <v>11500</v>
      </c>
      <c r="T28" s="222"/>
      <c r="U28" s="222">
        <f>$E$28</f>
        <v>11500</v>
      </c>
      <c r="V28" s="222"/>
      <c r="W28" s="222">
        <f>$E$28</f>
        <v>11500</v>
      </c>
      <c r="X28" s="222"/>
      <c r="Y28" s="222">
        <f>$E$28</f>
        <v>11500</v>
      </c>
      <c r="Z28" s="222"/>
      <c r="AA28" s="222">
        <f>$E$28</f>
        <v>11500</v>
      </c>
      <c r="AB28" s="222"/>
      <c r="AC28" s="222">
        <f>$E$28</f>
        <v>11500</v>
      </c>
      <c r="AD28" s="222"/>
      <c r="AE28" s="222">
        <f>$E$28</f>
        <v>11500</v>
      </c>
      <c r="AF28" s="222"/>
      <c r="AG28" s="222">
        <f>$E$28</f>
        <v>11500</v>
      </c>
    </row>
    <row r="29" spans="1:33" s="210" customFormat="1" ht="13.8">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340800</v>
      </c>
      <c r="G35" s="223">
        <f>SUM(G22:G33)</f>
        <v>352062.99999999994</v>
      </c>
      <c r="I35" s="223">
        <f>SUM(I22:I33)</f>
        <v>363720.20499999996</v>
      </c>
      <c r="K35" s="223">
        <f>SUM(K22:K33)</f>
        <v>375785.41217499995</v>
      </c>
      <c r="M35" s="223">
        <f>SUM(M22:M33)</f>
        <v>388272.90160112485</v>
      </c>
      <c r="O35" s="223">
        <f>SUM(O22:O33)</f>
        <v>401197.45315716421</v>
      </c>
      <c r="Q35" s="223">
        <f>SUM(Q22:Q33)</f>
        <v>414574.36401766498</v>
      </c>
      <c r="S35" s="223">
        <f>SUM(S22:S33)</f>
        <v>428419.46675828326</v>
      </c>
      <c r="U35" s="223">
        <f>SUM(U22:U33)</f>
        <v>442749.148094823</v>
      </c>
      <c r="W35" s="223">
        <f>SUM(W22:W33)</f>
        <v>457580.36827814183</v>
      </c>
      <c r="Y35" s="223">
        <f>SUM(Y22:Y33)</f>
        <v>472930.68116787681</v>
      </c>
      <c r="AA35" s="223">
        <f>SUM(AA22:AA33)</f>
        <v>488818.25500875246</v>
      </c>
      <c r="AC35" s="223">
        <f>SUM(AC22:AC33)</f>
        <v>505261.89393405872</v>
      </c>
      <c r="AE35" s="223">
        <f>SUM(AE22:AE33)</f>
        <v>522281.0602217507</v>
      </c>
      <c r="AG35" s="223">
        <f>SUM(AG22:AG33)</f>
        <v>539895.89732951205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532884.6</v>
      </c>
      <c r="G37" s="223">
        <f>G11-G35</f>
        <v>543463.71500000008</v>
      </c>
      <c r="I37" s="223">
        <f>I11-I35</f>
        <v>554194.67787499994</v>
      </c>
      <c r="K37" s="223">
        <f>K11-K35</f>
        <v>565077.34277187486</v>
      </c>
      <c r="M37" s="223">
        <f>M11-M35</f>
        <v>576111.42221942171</v>
      </c>
      <c r="O37" s="223">
        <f>O11-O35</f>
        <v>587296.478758896</v>
      </c>
      <c r="Q37" s="223">
        <f>Q11-Q35</f>
        <v>598631.91619629646</v>
      </c>
      <c r="S37" s="223">
        <f>S11-S35</f>
        <v>610116.97046102723</v>
      </c>
      <c r="U37" s="223">
        <f>U11-U35</f>
        <v>621750.70005497022</v>
      </c>
      <c r="W37" s="223">
        <f>W11-W35</f>
        <v>633531.97607539594</v>
      </c>
      <c r="Y37" s="223">
        <f>Y11-Y35</f>
        <v>645459.47179449932</v>
      </c>
      <c r="AA37" s="223">
        <f>AA11-AA35</f>
        <v>657531.65177768306</v>
      </c>
      <c r="AC37" s="223">
        <f>AC11-AC35</f>
        <v>669746.76052203728</v>
      </c>
      <c r="AE37" s="223">
        <f>AE11-AE35</f>
        <v>682102.81059574778</v>
      </c>
      <c r="AG37" s="223">
        <f>AG11-AG35</f>
        <v>694597.57025842392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CitiBank Permenant Loan</v>
      </c>
      <c r="B40" s="226"/>
      <c r="C40" s="220"/>
      <c r="E40" s="222">
        <f>Application!AF627</f>
        <v>309362</v>
      </c>
      <c r="F40" s="222"/>
      <c r="G40" s="222">
        <f>$E$40</f>
        <v>309362</v>
      </c>
      <c r="H40" s="222"/>
      <c r="I40" s="222">
        <f>$E$40</f>
        <v>309362</v>
      </c>
      <c r="J40" s="222"/>
      <c r="K40" s="222">
        <f>$E$40</f>
        <v>309362</v>
      </c>
      <c r="L40" s="222"/>
      <c r="M40" s="222">
        <f>$E$40</f>
        <v>309362</v>
      </c>
      <c r="N40" s="222"/>
      <c r="O40" s="222">
        <f>$E$40</f>
        <v>309362</v>
      </c>
      <c r="P40" s="222"/>
      <c r="Q40" s="222">
        <f>$E$40</f>
        <v>309362</v>
      </c>
      <c r="R40" s="222"/>
      <c r="S40" s="222">
        <f>$E$40</f>
        <v>309362</v>
      </c>
      <c r="T40" s="222"/>
      <c r="U40" s="222">
        <f>$E$40</f>
        <v>309362</v>
      </c>
      <c r="V40" s="222"/>
      <c r="W40" s="222">
        <f>$E$40</f>
        <v>309362</v>
      </c>
      <c r="X40" s="222"/>
      <c r="Y40" s="222">
        <f>$E$40</f>
        <v>309362</v>
      </c>
      <c r="Z40" s="222"/>
      <c r="AA40" s="222">
        <f>$E$40</f>
        <v>309362</v>
      </c>
      <c r="AB40" s="222"/>
      <c r="AC40" s="222">
        <f>$E$40</f>
        <v>309362</v>
      </c>
      <c r="AD40" s="222"/>
      <c r="AE40" s="222">
        <f>$E$40</f>
        <v>309362</v>
      </c>
      <c r="AF40" s="222"/>
      <c r="AG40" s="222">
        <f>$E$40</f>
        <v>309362</v>
      </c>
    </row>
    <row r="41" spans="1:33" s="210" customFormat="1" ht="13.8">
      <c r="A41" s="225" t="s">
        <v>2756</v>
      </c>
      <c r="B41" s="226"/>
      <c r="C41" s="220"/>
      <c r="E41" s="222">
        <v>153037</v>
      </c>
      <c r="F41" s="222"/>
      <c r="G41" s="222">
        <f>$E$41</f>
        <v>153037</v>
      </c>
      <c r="H41" s="222"/>
      <c r="I41" s="222">
        <f>$E$41</f>
        <v>153037</v>
      </c>
      <c r="J41" s="222"/>
      <c r="K41" s="222">
        <f>$E$41</f>
        <v>153037</v>
      </c>
      <c r="L41" s="222"/>
      <c r="M41" s="222">
        <f>$E$41</f>
        <v>153037</v>
      </c>
      <c r="N41" s="222"/>
      <c r="O41" s="222">
        <f>$E$41</f>
        <v>153037</v>
      </c>
      <c r="P41" s="222"/>
      <c r="Q41" s="222">
        <f>$E$41</f>
        <v>153037</v>
      </c>
      <c r="R41" s="222"/>
      <c r="S41" s="222">
        <f>$E$41</f>
        <v>153037</v>
      </c>
      <c r="T41" s="222"/>
      <c r="U41" s="222">
        <f>$E$41</f>
        <v>153037</v>
      </c>
      <c r="V41" s="222"/>
      <c r="W41" s="222">
        <f>$E$41</f>
        <v>153037</v>
      </c>
      <c r="X41" s="222"/>
      <c r="Y41" s="222">
        <f>$E$41</f>
        <v>153037</v>
      </c>
      <c r="Z41" s="222"/>
      <c r="AA41" s="222">
        <f>$E$41</f>
        <v>153037</v>
      </c>
      <c r="AB41" s="222"/>
      <c r="AC41" s="222">
        <f>$E$41</f>
        <v>153037</v>
      </c>
      <c r="AD41" s="222"/>
      <c r="AE41" s="222">
        <f>$E$41</f>
        <v>153037</v>
      </c>
      <c r="AF41" s="222"/>
      <c r="AG41" s="222">
        <f>$E$41</f>
        <v>153037</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462399</v>
      </c>
      <c r="G43" s="223">
        <f>SUM(G40:G42)</f>
        <v>462399</v>
      </c>
      <c r="I43" s="223">
        <f>SUM(I40:I42)</f>
        <v>462399</v>
      </c>
      <c r="K43" s="223">
        <f>SUM(K40:K42)</f>
        <v>462399</v>
      </c>
      <c r="M43" s="223">
        <f>SUM(M40:M42)</f>
        <v>462399</v>
      </c>
      <c r="O43" s="223">
        <f>SUM(O40:O42)</f>
        <v>462399</v>
      </c>
      <c r="Q43" s="223">
        <f>SUM(Q40:Q42)</f>
        <v>462399</v>
      </c>
      <c r="S43" s="223">
        <f>SUM(S40:S42)</f>
        <v>462399</v>
      </c>
      <c r="U43" s="223">
        <f>SUM(U40:U42)</f>
        <v>462399</v>
      </c>
      <c r="W43" s="223">
        <f>SUM(W40:W42)</f>
        <v>462399</v>
      </c>
      <c r="Y43" s="223">
        <f>SUM(Y40:Y42)</f>
        <v>462399</v>
      </c>
      <c r="AA43" s="223">
        <f>SUM(AA40:AA42)</f>
        <v>462399</v>
      </c>
      <c r="AC43" s="223">
        <f>SUM(AC40:AC42)</f>
        <v>462399</v>
      </c>
      <c r="AE43" s="223">
        <f>SUM(AE40:AE42)</f>
        <v>462399</v>
      </c>
      <c r="AG43" s="223">
        <f>SUM(AG40:AG42)</f>
        <v>462399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70485.599999999977</v>
      </c>
      <c r="G45" s="223">
        <f>G37-G43</f>
        <v>81064.715000000084</v>
      </c>
      <c r="I45" s="223">
        <f>I37-I43</f>
        <v>91795.677874999936</v>
      </c>
      <c r="K45" s="223">
        <f>K37-K43</f>
        <v>102678.34277187486</v>
      </c>
      <c r="M45" s="223">
        <f>M37-M43</f>
        <v>113712.42221942171</v>
      </c>
      <c r="O45" s="223">
        <f>O37-O43</f>
        <v>124897.478758896</v>
      </c>
      <c r="Q45" s="223">
        <f>Q37-Q43</f>
        <v>136232.91619629646</v>
      </c>
      <c r="S45" s="223">
        <f>S37-S43</f>
        <v>147717.97046102723</v>
      </c>
      <c r="U45" s="223">
        <f>U37-U43</f>
        <v>159351.70005497022</v>
      </c>
      <c r="W45" s="223">
        <f>W37-W43</f>
        <v>171132.97607539594</v>
      </c>
      <c r="Y45" s="223">
        <f>Y37-Y43</f>
        <v>183060.47179449932</v>
      </c>
      <c r="AA45" s="223">
        <f>AA37-AA43</f>
        <v>195132.65177768306</v>
      </c>
      <c r="AC45" s="223">
        <f>AC37-AC43</f>
        <v>207347.76052203728</v>
      </c>
      <c r="AE45" s="223">
        <f>AE37-AE43</f>
        <v>219703.81059574778</v>
      </c>
      <c r="AG45" s="223">
        <f>AG37-AG43</f>
        <v>232198.57025842392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7.6642440532887934E-2</v>
      </c>
      <c r="G47" s="227">
        <f>G45/(G4+G6+G8)</f>
        <v>8.5995736319267796E-2</v>
      </c>
      <c r="I47" s="227">
        <f>I45/(I4+I6+I8)</f>
        <v>9.5004336031803388E-2</v>
      </c>
      <c r="K47" s="227">
        <f>K45/(K4+K6+K8)</f>
        <v>0.10367550965367833</v>
      </c>
      <c r="M47" s="227">
        <f>M45/(M4+M6+M8)</f>
        <v>0.11201633875640676</v>
      </c>
      <c r="O47" s="227">
        <f>O45/(O4+O6+O8)</f>
        <v>0.12003372098699622</v>
      </c>
      <c r="Q47" s="227">
        <f>Q45/(Q4+Q6+Q8)</f>
        <v>0.127734374444611</v>
      </c>
      <c r="S47" s="227">
        <f>S45/(S4+S6+S8)</f>
        <v>0.13512484194942267</v>
      </c>
      <c r="U47" s="227">
        <f>U45/(U4+U6+U8)</f>
        <v>0.14221149520626272</v>
      </c>
      <c r="W47" s="227">
        <f>W45/(W4+W6+W8)</f>
        <v>0.14900053886563747</v>
      </c>
      <c r="Y47" s="227">
        <f>Y45/(Y4+Y6+Y8)</f>
        <v>0.1554980144845971</v>
      </c>
      <c r="AA47" s="227">
        <f>AA45/(AA4+AA6+AA8)</f>
        <v>0.16170980438988633</v>
      </c>
      <c r="AC47" s="227">
        <f>AC45/(AC4+AC6+AC8)</f>
        <v>0.16764163544575453</v>
      </c>
      <c r="AE47" s="227">
        <f>AE45/(AE4+AE6+AE8)</f>
        <v>0.17329908272873884</v>
      </c>
      <c r="AG47" s="227">
        <f>AG45/(AG4+AG6+AG8)</f>
        <v>0.17868757311167358</v>
      </c>
    </row>
    <row r="48" spans="1:33" s="227" customFormat="1" ht="13.8">
      <c r="A48" s="227" t="s">
        <v>852</v>
      </c>
      <c r="C48" s="220"/>
      <c r="E48" s="227">
        <f>E45/E43</f>
        <v>0.15243458571493446</v>
      </c>
      <c r="G48" s="227">
        <f>G45/G43</f>
        <v>0.175313344103253</v>
      </c>
      <c r="I48" s="227">
        <f>I45/I43</f>
        <v>0.1985204939348916</v>
      </c>
      <c r="K48" s="227">
        <f>K45/K43</f>
        <v>0.22205571978286037</v>
      </c>
      <c r="M48" s="227">
        <f>M45/M43</f>
        <v>0.24591839995203649</v>
      </c>
      <c r="O48" s="227">
        <f>O45/O43</f>
        <v>0.27010758837907523</v>
      </c>
      <c r="Q48" s="227">
        <f>Q45/Q43</f>
        <v>0.2946219957142997</v>
      </c>
      <c r="S48" s="227">
        <f>S45/S43</f>
        <v>0.31945996955232869</v>
      </c>
      <c r="U48" s="227">
        <f>U45/U43</f>
        <v>0.34461947377691177</v>
      </c>
      <c r="W48" s="227">
        <f>W45/W43</f>
        <v>0.37009806698413261</v>
      </c>
      <c r="Y48" s="227">
        <f>Y45/Y43</f>
        <v>0.39589287994675448</v>
      </c>
      <c r="AA48" s="227">
        <f>AA45/AA43</f>
        <v>0.42200059208104485</v>
      </c>
      <c r="AC48" s="227">
        <f>AC45/AC43</f>
        <v>0.44841740687596054</v>
      </c>
      <c r="AE48" s="227">
        <f>AE45/AE43</f>
        <v>0.4751390262430234</v>
      </c>
      <c r="AG48" s="227">
        <f>AG45/AG43</f>
        <v>0.50216062374361514</v>
      </c>
    </row>
    <row r="49" spans="1:34" s="228" customFormat="1" ht="13.8">
      <c r="A49" s="228" t="s">
        <v>850</v>
      </c>
      <c r="C49" s="229"/>
      <c r="E49" s="228">
        <f>E37/E43</f>
        <v>1.1524345857149345</v>
      </c>
      <c r="G49" s="228">
        <f>G37/G43</f>
        <v>1.1753133441032531</v>
      </c>
      <c r="I49" s="228">
        <f>I37/I43</f>
        <v>1.1985204939348917</v>
      </c>
      <c r="K49" s="228">
        <f>K37/K43</f>
        <v>1.2220557197828603</v>
      </c>
      <c r="M49" s="228">
        <f>M37/M43</f>
        <v>1.2459183999520365</v>
      </c>
      <c r="O49" s="228">
        <f>O37/O43</f>
        <v>1.2701075883790751</v>
      </c>
      <c r="Q49" s="228">
        <f>Q37/Q43</f>
        <v>1.2946219957142997</v>
      </c>
      <c r="S49" s="228">
        <f>S37/S43</f>
        <v>1.3194599695523286</v>
      </c>
      <c r="U49" s="228">
        <f>U37/U43</f>
        <v>1.3446194737769117</v>
      </c>
      <c r="W49" s="228">
        <f>W37/W43</f>
        <v>1.3700980669841327</v>
      </c>
      <c r="Y49" s="228">
        <f>Y37/Y43</f>
        <v>1.3958928799467545</v>
      </c>
      <c r="AA49" s="228">
        <f>AA37/AA43</f>
        <v>1.4220005920810448</v>
      </c>
      <c r="AC49" s="228">
        <f>AC37/AC43</f>
        <v>1.4484174068759605</v>
      </c>
      <c r="AE49" s="228">
        <f>AE37/AE43</f>
        <v>1.4751390262430235</v>
      </c>
      <c r="AG49" s="228">
        <f>AG37/AG43</f>
        <v>1.5021606237436151</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0" t="s">
        <v>2757</v>
      </c>
      <c r="B52" s="2700"/>
      <c r="C52" s="270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AA53*$C$53</f>
        <v>16319.541499340696</v>
      </c>
      <c r="AE53" s="960">
        <f>AC53*$C$53</f>
        <v>16890.72545181762</v>
      </c>
      <c r="AG53" s="960">
        <f>AE53*$C$53</f>
        <v>17481.900842631236</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23874.884786072496</v>
      </c>
      <c r="AD58" s="960"/>
      <c r="AE58" s="960">
        <f>SUM(AE53:AE57)</f>
        <v>24710.505753585036</v>
      </c>
      <c r="AF58" s="960"/>
      <c r="AG58" s="960">
        <f>SUM(AG53:AG57)</f>
        <v>25575.373454960507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54685.599999999977</v>
      </c>
      <c r="G60" s="962">
        <f>G45-G58</f>
        <v>64711.715000000084</v>
      </c>
      <c r="I60" s="962">
        <f>I45-I58</f>
        <v>74870.32287499994</v>
      </c>
      <c r="K60" s="962">
        <f>K45-K58</f>
        <v>85160.600346874853</v>
      </c>
      <c r="M60" s="962">
        <f>M45-M58</f>
        <v>95581.558809546725</v>
      </c>
      <c r="O60" s="962">
        <f>O45-O58</f>
        <v>106132.03512967538</v>
      </c>
      <c r="Q60" s="962">
        <f>Q45-Q58</f>
        <v>116810.68204005311</v>
      </c>
      <c r="S60" s="962">
        <f>S45-S58</f>
        <v>127615.95810931537</v>
      </c>
      <c r="U60" s="962">
        <f>U45-U58</f>
        <v>138546.11727094845</v>
      </c>
      <c r="W60" s="962">
        <f>W45-W58</f>
        <v>149599.19789393339</v>
      </c>
      <c r="Y60" s="962">
        <f>Y45-Y58</f>
        <v>160773.01137668561</v>
      </c>
      <c r="AA60" s="962">
        <f>AA45-AA58</f>
        <v>172065.13024524588</v>
      </c>
      <c r="AC60" s="962">
        <f>AC45-AC58</f>
        <v>183472.87573596477</v>
      </c>
      <c r="AE60" s="962">
        <f>AE45-AE58</f>
        <v>194993.30484216276</v>
      </c>
      <c r="AG60" s="962">
        <f>AG45-AG58</f>
        <v>206623.19680346342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54685.599999999977</v>
      </c>
      <c r="G62" s="962">
        <f>G60*$C$62</f>
        <v>64711.715000000084</v>
      </c>
      <c r="I62" s="962">
        <f>I60*$C$62</f>
        <v>74870.32287499994</v>
      </c>
      <c r="K62" s="962">
        <f>K60*$C$62</f>
        <v>85160.600346874853</v>
      </c>
      <c r="M62" s="962">
        <f>M60*$C$62</f>
        <v>95581.558809546725</v>
      </c>
      <c r="O62" s="962">
        <f>O60*$C$62</f>
        <v>106132.03512967538</v>
      </c>
      <c r="Q62" s="962">
        <f>Q60*$C$62</f>
        <v>116810.68204005311</v>
      </c>
      <c r="S62" s="962">
        <f>S60*$C$62</f>
        <v>127615.95810931537</v>
      </c>
      <c r="U62" s="962">
        <f>U60*$C$62</f>
        <v>138546.11727094845</v>
      </c>
      <c r="W62" s="962">
        <f>W60*$C$62</f>
        <v>149599.19789393339</v>
      </c>
      <c r="Y62" s="962">
        <f>Y60*$C$62</f>
        <v>160773.01137668561</v>
      </c>
      <c r="AA62" s="962">
        <f>AA60*$C$62</f>
        <v>172065.13024524588</v>
      </c>
      <c r="AC62" s="962">
        <f>AC60*$C$62</f>
        <v>183472.87573596477</v>
      </c>
      <c r="AE62" s="962">
        <f>AE60*$C$62</f>
        <v>194993.30484216276</v>
      </c>
      <c r="AG62" s="962">
        <f>AG60*$C$62</f>
        <v>206623.19680346342</v>
      </c>
    </row>
    <row r="63" spans="1:34" s="962" customFormat="1">
      <c r="A63" s="2700" t="s">
        <v>1184</v>
      </c>
      <c r="B63" s="2700"/>
      <c r="C63" s="270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8" t="s">
        <v>1721</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85" zoomScaleNormal="85" workbookViewId="0"/>
  </sheetViews>
  <sheetFormatPr defaultColWidth="0" defaultRowHeight="13.2" zeroHeight="1"/>
  <cols>
    <col min="1" max="1" width="161.77734375" customWidth="1"/>
    <col min="2" max="16384" width="8.777343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2" zoomScale="85" zoomScaleNormal="85" workbookViewId="0">
      <selection activeCell="C20" sqref="C20"/>
    </sheetView>
  </sheetViews>
  <sheetFormatPr defaultColWidth="9.21875" defaultRowHeight="13.2" zeroHeight="1"/>
  <cols>
    <col min="1" max="1" width="35.77734375" style="204" customWidth="1"/>
    <col min="2" max="4" width="14.77734375" style="204" customWidth="1"/>
    <col min="5" max="5" width="50.77734375" style="204" customWidth="1"/>
    <col min="6" max="253" width="9.21875" style="204" customWidth="1"/>
    <col min="254" max="16384" width="9.218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1600000</v>
      </c>
      <c r="C5" s="266">
        <f>'Sources and Uses Budget'!$C4</f>
        <v>1600000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1600000</v>
      </c>
      <c r="C9" s="270">
        <f>SUM(C5:C8)</f>
        <v>1600000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2100000</v>
      </c>
      <c r="C13" s="270">
        <f>SUM(C9+C12)</f>
        <v>2100000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13679427</v>
      </c>
      <c r="C31" s="266">
        <f>'Sources and Uses Budget'!$C30</f>
        <v>13679427</v>
      </c>
      <c r="D31" s="270">
        <f t="shared" si="0"/>
        <v>0</v>
      </c>
      <c r="E31" s="268"/>
      <c r="F31" s="267"/>
    </row>
    <row r="32" spans="1:6" s="352" customFormat="1">
      <c r="A32" s="145" t="s">
        <v>600</v>
      </c>
      <c r="B32" s="266">
        <f>'Sources and Uses Budget'!$C31</f>
        <v>1092919</v>
      </c>
      <c r="C32" s="266">
        <f>'Sources and Uses Budget'!$C31</f>
        <v>1092919</v>
      </c>
      <c r="D32" s="270">
        <f t="shared" si="0"/>
        <v>0</v>
      </c>
      <c r="E32" s="268"/>
      <c r="F32" s="267"/>
    </row>
    <row r="33" spans="1:6" s="352" customFormat="1">
      <c r="A33" s="145" t="s">
        <v>137</v>
      </c>
      <c r="B33" s="266">
        <f>'Sources and Uses Budget'!$C32</f>
        <v>728613</v>
      </c>
      <c r="C33" s="266">
        <f>'Sources and Uses Budget'!$C32</f>
        <v>728613</v>
      </c>
      <c r="D33" s="270">
        <f t="shared" si="0"/>
        <v>0</v>
      </c>
      <c r="E33" s="268"/>
      <c r="F33" s="267"/>
    </row>
    <row r="34" spans="1:6" s="352" customFormat="1">
      <c r="A34" s="145" t="s">
        <v>138</v>
      </c>
      <c r="B34" s="266">
        <f>'Sources and Uses Budget'!$C33</f>
        <v>728613</v>
      </c>
      <c r="C34" s="266">
        <f>'Sources and Uses Budget'!$C33</f>
        <v>728613</v>
      </c>
      <c r="D34" s="270">
        <f t="shared" si="0"/>
        <v>0</v>
      </c>
      <c r="E34" s="268"/>
      <c r="F34" s="267"/>
    </row>
    <row r="35" spans="1:6" s="352" customFormat="1">
      <c r="A35" s="145" t="s">
        <v>139</v>
      </c>
      <c r="B35" s="266">
        <f>'Sources and Uses Budget'!$C34</f>
        <v>3035885</v>
      </c>
      <c r="C35" s="266">
        <f>'Sources and Uses Budget'!$C34</f>
        <v>3035885</v>
      </c>
      <c r="D35" s="270">
        <f t="shared" si="0"/>
        <v>0</v>
      </c>
      <c r="E35" s="268"/>
      <c r="F35" s="267"/>
    </row>
    <row r="36" spans="1:6" s="352" customFormat="1">
      <c r="A36" s="145" t="s">
        <v>140</v>
      </c>
      <c r="B36" s="266">
        <f>'Sources and Uses Budget'!$C35</f>
        <v>207655</v>
      </c>
      <c r="C36" s="266">
        <f>'Sources and Uses Budget'!$C35</f>
        <v>207655</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20473112</v>
      </c>
      <c r="C39" s="270">
        <f>SUM(C30:C38)</f>
        <v>20473112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850000</v>
      </c>
      <c r="C41" s="266">
        <f>'Sources and Uses Budget'!$C40</f>
        <v>850000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850000</v>
      </c>
      <c r="C43" s="270">
        <f>SUM(C41:C42)</f>
        <v>850000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2188430</v>
      </c>
      <c r="C46" s="266">
        <f>'Sources and Uses Budget'!$C45</f>
        <v>2188430</v>
      </c>
      <c r="D46" s="270">
        <f t="shared" si="0"/>
        <v>0</v>
      </c>
      <c r="E46" s="268"/>
      <c r="F46" s="267"/>
    </row>
    <row r="47" spans="1:6" s="352" customFormat="1">
      <c r="A47" s="145" t="s">
        <v>151</v>
      </c>
      <c r="B47" s="266">
        <f>'Sources and Uses Budget'!$C46</f>
        <v>193604</v>
      </c>
      <c r="C47" s="266">
        <f>'Sources and Uses Budget'!$C46</f>
        <v>193604</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186889</v>
      </c>
      <c r="C49" s="266">
        <f>'Sources and Uses Budget'!$C48</f>
        <v>186889</v>
      </c>
      <c r="D49" s="270">
        <f t="shared" si="0"/>
        <v>0</v>
      </c>
      <c r="E49" s="268"/>
      <c r="F49" s="267"/>
    </row>
    <row r="50" spans="1:6" s="352" customFormat="1">
      <c r="A50" s="145" t="s">
        <v>57</v>
      </c>
      <c r="B50" s="266">
        <f>'Sources and Uses Budget'!$C49</f>
        <v>48401</v>
      </c>
      <c r="C50" s="266">
        <f>'Sources and Uses Budget'!$C49</f>
        <v>48401</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105000</v>
      </c>
      <c r="C52" s="266">
        <f>'Sources and Uses Budget'!$C51</f>
        <v>105000</v>
      </c>
      <c r="D52" s="270">
        <f t="shared" si="0"/>
        <v>0</v>
      </c>
      <c r="E52" s="268"/>
      <c r="F52" s="267"/>
    </row>
    <row r="53" spans="1:6" s="352" customFormat="1">
      <c r="A53" s="145" t="s">
        <v>155</v>
      </c>
      <c r="B53" s="266">
        <f>'Sources and Uses Budget'!$C52</f>
        <v>317000</v>
      </c>
      <c r="C53" s="266">
        <f>'Sources and Uses Budget'!$C52</f>
        <v>317000</v>
      </c>
      <c r="D53" s="270">
        <f t="shared" si="0"/>
        <v>0</v>
      </c>
      <c r="E53" s="268"/>
      <c r="F53" s="267"/>
    </row>
    <row r="54" spans="1:6" s="352" customFormat="1">
      <c r="A54" s="155" t="str">
        <f>'Sources and Uses Budget'!A53</f>
        <v>Employment Reporting</v>
      </c>
      <c r="B54" s="266">
        <f>'Sources and Uses Budget'!$C53</f>
        <v>25000</v>
      </c>
      <c r="C54" s="266">
        <f>'Sources and Uses Budget'!$C53</f>
        <v>25000</v>
      </c>
      <c r="D54" s="270">
        <f t="shared" si="0"/>
        <v>0</v>
      </c>
      <c r="E54" s="268"/>
      <c r="F54" s="267"/>
    </row>
    <row r="55" spans="1:6" s="353" customFormat="1">
      <c r="A55" s="271" t="s">
        <v>157</v>
      </c>
      <c r="B55" s="273">
        <f>SUM(B46:B54)</f>
        <v>3179324</v>
      </c>
      <c r="C55" s="273">
        <f>SUM(C46:C54)</f>
        <v>3179324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15000</v>
      </c>
      <c r="C62" s="266">
        <f>'Sources and Uses Budget'!$C61</f>
        <v>15000</v>
      </c>
      <c r="D62" s="270">
        <f t="shared" si="0"/>
        <v>0</v>
      </c>
      <c r="E62" s="268"/>
      <c r="F62" s="267"/>
    </row>
    <row r="63" spans="1:6" s="352" customFormat="1" ht="13.8" customHeight="1">
      <c r="A63" s="271" t="s">
        <v>301</v>
      </c>
      <c r="B63" s="270">
        <f>SUM(B57:B62)</f>
        <v>25000</v>
      </c>
      <c r="C63" s="270">
        <f>SUM(C57:C62)</f>
        <v>25000</v>
      </c>
      <c r="D63" s="270">
        <f t="shared" si="0"/>
        <v>0</v>
      </c>
      <c r="E63" s="268"/>
      <c r="F63" s="267"/>
    </row>
    <row r="64" spans="1:6" s="352" customFormat="1">
      <c r="A64" s="274" t="s">
        <v>302</v>
      </c>
      <c r="B64" s="270">
        <f>SUM(B9+B12+B14+B15+B17+B26+B28+B39+B43+B44+B55+B63)</f>
        <v>27277436</v>
      </c>
      <c r="C64" s="270">
        <f>SUM(C9+C12+C14+C15+C17+C26+C28+C39+C43+C44+C55+C63)</f>
        <v>27277436</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Lender, Bond Issuer, and Partner Legal</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267733</v>
      </c>
      <c r="C76" s="266">
        <f>'Sources and Uses Budget'!$C75</f>
        <v>267733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267733</v>
      </c>
      <c r="C78" s="270">
        <f>SUM(C73:C77)</f>
        <v>267733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1058000</v>
      </c>
      <c r="C80" s="266">
        <f>'Sources and Uses Budget'!$C79</f>
        <v>1058000</v>
      </c>
      <c r="D80" s="270">
        <f t="shared" si="1"/>
        <v>0</v>
      </c>
      <c r="E80" s="268"/>
      <c r="F80" s="267"/>
    </row>
    <row r="81" spans="1:6" s="352" customFormat="1">
      <c r="A81" s="510" t="s">
        <v>58</v>
      </c>
      <c r="B81" s="266">
        <f>'Sources and Uses Budget'!$C80</f>
        <v>362864</v>
      </c>
      <c r="C81" s="266">
        <f>'Sources and Uses Budget'!$C80</f>
        <v>362864</v>
      </c>
      <c r="D81" s="270">
        <f>C81-B81</f>
        <v>0</v>
      </c>
      <c r="E81" s="268"/>
      <c r="F81" s="267"/>
    </row>
    <row r="82" spans="1:6" s="352" customFormat="1">
      <c r="A82" s="271" t="s">
        <v>1209</v>
      </c>
      <c r="B82" s="270">
        <f>SUM(B80:B81)</f>
        <v>1420864</v>
      </c>
      <c r="C82" s="270">
        <f>SUM(C80:C81)</f>
        <v>1420864</v>
      </c>
      <c r="D82" s="270">
        <f t="shared" si="1"/>
        <v>0</v>
      </c>
      <c r="E82" s="268"/>
      <c r="F82" s="267"/>
    </row>
    <row r="83" spans="1:6" s="352" customFormat="1">
      <c r="A83" s="264" t="s">
        <v>765</v>
      </c>
      <c r="B83" s="264"/>
      <c r="C83" s="264"/>
      <c r="D83" s="264"/>
      <c r="E83" s="282"/>
      <c r="F83" s="264"/>
    </row>
    <row r="84" spans="1:6" s="352" customFormat="1" ht="13.8" customHeight="1">
      <c r="A84" s="269" t="s">
        <v>766</v>
      </c>
      <c r="B84" s="266">
        <f>'Sources and Uses Budget'!$C83</f>
        <v>50896</v>
      </c>
      <c r="C84" s="266">
        <f>'Sources and Uses Budget'!$C83</f>
        <v>50896</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1619851</v>
      </c>
      <c r="C86" s="266">
        <f>'Sources and Uses Budget'!$C85</f>
        <v>1619851</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245673</v>
      </c>
      <c r="C94" s="266">
        <f>'Sources and Uses Budget'!$C93</f>
        <v>245673</v>
      </c>
      <c r="D94" s="270">
        <f t="shared" si="1"/>
        <v>0</v>
      </c>
      <c r="E94" s="268"/>
      <c r="F94" s="267"/>
    </row>
    <row r="95" spans="1:6" s="352" customFormat="1">
      <c r="A95" s="272" t="s">
        <v>34</v>
      </c>
      <c r="B95" s="266">
        <f>'Sources and Uses Budget'!$C94</f>
        <v>250000</v>
      </c>
      <c r="C95" s="266">
        <f>'Sources and Uses Budget'!$C94</f>
        <v>250000</v>
      </c>
      <c r="D95" s="270">
        <f t="shared" si="1"/>
        <v>0</v>
      </c>
      <c r="E95" s="268"/>
      <c r="F95" s="267"/>
    </row>
    <row r="96" spans="1:6" s="352" customFormat="1">
      <c r="A96" s="272" t="s">
        <v>34</v>
      </c>
      <c r="B96" s="266">
        <f>'Sources and Uses Budget'!$C95</f>
        <v>420000</v>
      </c>
      <c r="C96" s="266">
        <f>'Sources and Uses Budget'!$C95</f>
        <v>420000</v>
      </c>
      <c r="D96" s="270">
        <f t="shared" si="1"/>
        <v>0</v>
      </c>
      <c r="E96" s="268"/>
      <c r="F96" s="267"/>
    </row>
    <row r="97" spans="1:6" s="352" customFormat="1">
      <c r="A97" s="271" t="s">
        <v>774</v>
      </c>
      <c r="B97" s="270">
        <f>SUM(B84:B96)</f>
        <v>2921420</v>
      </c>
      <c r="C97" s="270">
        <f>SUM(C84:C96)</f>
        <v>2921420</v>
      </c>
      <c r="D97" s="270">
        <f t="shared" si="1"/>
        <v>0</v>
      </c>
      <c r="E97" s="268"/>
      <c r="F97" s="267"/>
    </row>
    <row r="98" spans="1:6" s="352" customFormat="1">
      <c r="A98" s="271" t="s">
        <v>775</v>
      </c>
      <c r="B98" s="270">
        <f>SUM(B64+B71+B78+B82+B97)</f>
        <v>32212453</v>
      </c>
      <c r="C98" s="270">
        <f>SUM(C64+C71+C78+C82+C97)</f>
        <v>32212453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4363514</v>
      </c>
      <c r="C100" s="266">
        <f>'Sources and Uses Budget'!$C99</f>
        <v>4363514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4363514</v>
      </c>
      <c r="C105" s="270">
        <f>SUM(C100:C104)</f>
        <v>4363514</v>
      </c>
      <c r="D105" s="270">
        <f t="shared" si="1"/>
        <v>0</v>
      </c>
      <c r="E105" s="268"/>
      <c r="F105" s="267"/>
    </row>
    <row r="106" spans="1:6" s="352" customFormat="1">
      <c r="A106" s="271" t="s">
        <v>780</v>
      </c>
      <c r="B106" s="273">
        <f>SUM(B98+B105)</f>
        <v>36575967</v>
      </c>
      <c r="C106" s="273">
        <f>SUM(C98+C105)</f>
        <v>36575967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2" customWidth="1"/>
    <col min="11" max="16384" width="8.77734375" style="402" hidden="1"/>
  </cols>
  <sheetData>
    <row r="1" spans="1:10" ht="15.6">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2046</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0" t="s">
        <v>1873</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1869</v>
      </c>
      <c r="B71" s="1277"/>
      <c r="C71" s="1277"/>
      <c r="D71" s="1277"/>
      <c r="E71" s="1277"/>
      <c r="F71" s="1277"/>
      <c r="G71" s="1277"/>
      <c r="H71" s="1277"/>
      <c r="I71" s="1277"/>
    </row>
    <row r="72" spans="1:9" ht="13.2">
      <c r="A72" s="1269" t="s">
        <v>2044</v>
      </c>
      <c r="B72" s="1269"/>
      <c r="C72" s="1269"/>
      <c r="D72" s="1269"/>
      <c r="E72" s="1269"/>
    </row>
    <row r="73" spans="1:9" ht="13.2">
      <c r="A73" s="1269" t="s">
        <v>2045</v>
      </c>
      <c r="B73" s="1269"/>
      <c r="C73" s="1269"/>
      <c r="D73" s="1269"/>
      <c r="E73" s="1269"/>
    </row>
    <row r="74" spans="1:9" ht="13.2">
      <c r="A74" s="1269" t="s">
        <v>1870</v>
      </c>
      <c r="B74" s="1269"/>
      <c r="C74" s="1269"/>
      <c r="D74" s="1269"/>
      <c r="E74" s="126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34" zoomScale="70" zoomScaleNormal="70" workbookViewId="0">
      <selection activeCell="F32" sqref="F3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21875" style="404" customWidth="1"/>
    <col min="10" max="10" width="8.77734375" style="402" hidden="1" customWidth="1"/>
    <col min="11" max="16384" width="8.777343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8"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4">
      <c r="A15" s="484"/>
      <c r="B15" s="485" t="s">
        <v>2705</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4">
      <c r="A20" s="484"/>
      <c r="B20" s="485" t="s">
        <v>2705</v>
      </c>
      <c r="D20" s="1301" t="s">
        <v>1922</v>
      </c>
      <c r="E20" s="1301"/>
      <c r="F20" s="1301"/>
      <c r="I20" s="490"/>
    </row>
    <row r="21" spans="1:9" ht="14.4">
      <c r="A21" s="484"/>
      <c r="D21" s="1301"/>
      <c r="E21" s="1301"/>
      <c r="F21" s="1301"/>
      <c r="I21" s="490"/>
    </row>
    <row r="22" spans="1:9" ht="14.4">
      <c r="A22" s="484"/>
      <c r="D22" s="392"/>
      <c r="E22" s="96" t="s">
        <v>1918</v>
      </c>
      <c r="F22" s="392"/>
      <c r="I22" s="490"/>
    </row>
    <row r="23" spans="1:9" ht="14.4">
      <c r="A23" s="484"/>
      <c r="B23" s="484"/>
      <c r="D23" s="446"/>
      <c r="I23" s="490"/>
    </row>
    <row r="24" spans="1:9" ht="14.4">
      <c r="A24" s="484"/>
      <c r="B24" s="485" t="s">
        <v>2706</v>
      </c>
      <c r="D24" s="1301" t="s">
        <v>1091</v>
      </c>
      <c r="E24" s="1301"/>
      <c r="F24" s="1301"/>
      <c r="I24" s="490"/>
    </row>
    <row r="25" spans="1:9" ht="14.4">
      <c r="A25" s="484"/>
      <c r="B25" s="484"/>
      <c r="D25" s="1301"/>
      <c r="E25" s="1301"/>
      <c r="F25" s="1301"/>
      <c r="I25" s="490"/>
    </row>
    <row r="26" spans="1:9">
      <c r="I26" s="490"/>
    </row>
    <row r="27" spans="1:9" ht="14.4">
      <c r="A27" s="484"/>
      <c r="B27" s="485" t="s">
        <v>2705</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2705</v>
      </c>
      <c r="D33" s="1301" t="s">
        <v>2048</v>
      </c>
      <c r="E33" s="1301"/>
      <c r="F33" s="1301"/>
      <c r="I33" s="490"/>
    </row>
    <row r="34" spans="1:9">
      <c r="D34" s="1301"/>
      <c r="E34" s="1301"/>
      <c r="F34" s="1301"/>
      <c r="I34" s="490"/>
    </row>
    <row r="35" spans="1:9" ht="14.4">
      <c r="A35" s="484"/>
      <c r="B35" s="484"/>
      <c r="D35" s="447"/>
      <c r="I35" s="490"/>
    </row>
    <row r="36" spans="1:9" ht="14.55" customHeight="1">
      <c r="A36" s="484"/>
      <c r="B36" s="485" t="s">
        <v>2706</v>
      </c>
      <c r="D36" s="1301" t="s">
        <v>1214</v>
      </c>
      <c r="E36" s="1301"/>
      <c r="F36" s="1301"/>
      <c r="I36" s="490"/>
    </row>
    <row r="37" spans="1:9" ht="14.4">
      <c r="A37" s="484"/>
      <c r="B37" s="484"/>
      <c r="D37" s="1301"/>
      <c r="E37" s="1301"/>
      <c r="F37" s="1301"/>
      <c r="I37" s="490"/>
    </row>
    <row r="38" spans="1:9" ht="14.4">
      <c r="A38" s="484"/>
      <c r="B38" s="484"/>
      <c r="D38" s="1301"/>
      <c r="E38" s="1301"/>
      <c r="F38" s="1301"/>
      <c r="I38" s="490"/>
    </row>
    <row r="39" spans="1:9" ht="14.4">
      <c r="A39" s="484"/>
      <c r="B39" s="484"/>
      <c r="D39" s="1301"/>
      <c r="E39" s="1301"/>
      <c r="F39" s="1301"/>
      <c r="I39" s="490"/>
    </row>
    <row r="40" spans="1:9" ht="14.4">
      <c r="A40" s="484"/>
      <c r="B40" s="484"/>
      <c r="I40" s="490"/>
    </row>
    <row r="41" spans="1:9" ht="14.4">
      <c r="A41" s="484"/>
      <c r="B41" s="485" t="s">
        <v>2705</v>
      </c>
      <c r="D41" s="1301" t="s">
        <v>1092</v>
      </c>
      <c r="E41" s="1301"/>
      <c r="F41" s="1301"/>
      <c r="I41" s="490"/>
    </row>
    <row r="42" spans="1:9" ht="14.4">
      <c r="A42" s="484"/>
      <c r="B42" s="484"/>
      <c r="D42" s="1301"/>
      <c r="E42" s="1301"/>
      <c r="F42" s="1301"/>
      <c r="I42" s="490"/>
    </row>
    <row r="43" spans="1:9" ht="14.4">
      <c r="A43" s="484"/>
      <c r="B43" s="484"/>
      <c r="D43" s="1301"/>
      <c r="E43" s="1301"/>
      <c r="F43" s="1301"/>
      <c r="I43" s="490"/>
    </row>
    <row r="44" spans="1:9" ht="14.4">
      <c r="A44" s="484"/>
      <c r="B44" s="484"/>
      <c r="D44" s="1301"/>
      <c r="E44" s="1301"/>
      <c r="F44" s="1301"/>
      <c r="I44" s="490"/>
    </row>
    <row r="45" spans="1:9" ht="14.4">
      <c r="A45" s="484"/>
      <c r="B45" s="484"/>
      <c r="D45" s="1301"/>
      <c r="E45" s="1301"/>
      <c r="F45" s="1301"/>
      <c r="I45" s="490"/>
    </row>
    <row r="46" spans="1:9" ht="14.4">
      <c r="A46" s="484"/>
      <c r="B46" s="484"/>
      <c r="D46" s="445"/>
      <c r="E46" s="445"/>
      <c r="F46" s="445"/>
      <c r="I46" s="490"/>
    </row>
    <row r="47" spans="1:9" ht="14.4">
      <c r="A47" s="484"/>
      <c r="B47" s="485" t="s">
        <v>2706</v>
      </c>
      <c r="D47" s="1301" t="s">
        <v>1093</v>
      </c>
      <c r="E47" s="1301"/>
      <c r="F47" s="1301"/>
      <c r="I47" s="490"/>
    </row>
    <row r="48" spans="1:9" ht="14.4">
      <c r="A48" s="484"/>
      <c r="B48" s="484"/>
      <c r="D48" s="1301"/>
      <c r="E48" s="1301"/>
      <c r="F48" s="1301"/>
      <c r="I48" s="490"/>
    </row>
    <row r="49" spans="1:9" ht="14.4">
      <c r="A49" s="484"/>
      <c r="B49" s="484"/>
      <c r="D49" s="1301"/>
      <c r="E49" s="1301"/>
      <c r="F49" s="1301"/>
      <c r="I49" s="490"/>
    </row>
    <row r="50" spans="1:9" ht="23.25" customHeight="1">
      <c r="A50" s="484"/>
      <c r="B50" s="484"/>
      <c r="D50" s="1301"/>
      <c r="E50" s="1301"/>
      <c r="F50" s="1301"/>
      <c r="I50" s="490"/>
    </row>
    <row r="51" spans="1:9" ht="14.4">
      <c r="A51" s="484"/>
      <c r="B51" s="484"/>
      <c r="D51" s="446"/>
      <c r="I51" s="490"/>
    </row>
    <row r="52" spans="1:9" ht="14.55" customHeight="1">
      <c r="A52" s="484"/>
      <c r="B52" s="485" t="s">
        <v>2706</v>
      </c>
      <c r="D52" s="1301" t="s">
        <v>1094</v>
      </c>
      <c r="E52" s="1301"/>
      <c r="F52" s="1301"/>
      <c r="I52" s="490"/>
    </row>
    <row r="53" spans="1:9" ht="14.4">
      <c r="A53" s="484"/>
      <c r="B53" s="484"/>
      <c r="D53" s="1301"/>
      <c r="E53" s="1301"/>
      <c r="F53" s="1301"/>
      <c r="I53" s="490"/>
    </row>
    <row r="54" spans="1:9" ht="14.4">
      <c r="A54" s="484"/>
      <c r="B54" s="484"/>
      <c r="D54" s="1301"/>
      <c r="E54" s="1301"/>
      <c r="F54" s="1301"/>
      <c r="I54" s="490"/>
    </row>
    <row r="55" spans="1:9" ht="14.4">
      <c r="A55" s="484"/>
      <c r="B55" s="484"/>
      <c r="I55" s="490"/>
    </row>
    <row r="56" spans="1:9" ht="14.4">
      <c r="A56" s="484"/>
      <c r="B56" s="485" t="s">
        <v>2705</v>
      </c>
      <c r="D56" s="1324" t="s">
        <v>1095</v>
      </c>
      <c r="E56" s="1324"/>
      <c r="F56" s="1324"/>
      <c r="I56" s="490"/>
    </row>
    <row r="57" spans="1:9" ht="14.4">
      <c r="A57" s="484"/>
      <c r="B57" s="484"/>
      <c r="D57" s="1324"/>
      <c r="E57" s="1324"/>
      <c r="F57" s="1324"/>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2706</v>
      </c>
      <c r="D61" s="1301" t="s">
        <v>1096</v>
      </c>
      <c r="E61" s="1301"/>
      <c r="F61" s="1301"/>
      <c r="I61" s="490"/>
    </row>
    <row r="62" spans="1:9">
      <c r="D62" s="1301"/>
      <c r="E62" s="1301"/>
      <c r="F62" s="1301"/>
      <c r="I62" s="490"/>
    </row>
    <row r="63" spans="1:9">
      <c r="D63" s="1301"/>
      <c r="E63" s="1301"/>
      <c r="F63" s="1301"/>
      <c r="I63" s="490"/>
    </row>
    <row r="64" spans="1:9">
      <c r="I64" s="490"/>
    </row>
    <row r="65" spans="1:9" ht="14.4">
      <c r="A65" s="484"/>
      <c r="B65" s="485" t="s">
        <v>2705</v>
      </c>
      <c r="D65" s="1301" t="s">
        <v>1097</v>
      </c>
      <c r="E65" s="1301"/>
      <c r="F65" s="1301"/>
      <c r="I65" s="490"/>
    </row>
    <row r="66" spans="1:9">
      <c r="D66" s="1301"/>
      <c r="E66" s="1301"/>
      <c r="F66" s="1301"/>
      <c r="I66" s="490"/>
    </row>
    <row r="67" spans="1:9">
      <c r="I67" s="490"/>
    </row>
    <row r="68" spans="1:9" ht="14.4">
      <c r="A68" s="484"/>
      <c r="B68" s="485" t="s">
        <v>2705</v>
      </c>
      <c r="D68" s="1301" t="s">
        <v>1098</v>
      </c>
      <c r="E68" s="1301"/>
      <c r="F68" s="1301"/>
      <c r="I68" s="490"/>
    </row>
    <row r="69" spans="1:9">
      <c r="D69" s="1301"/>
      <c r="E69" s="1301"/>
      <c r="F69" s="1301"/>
      <c r="I69" s="490"/>
    </row>
    <row r="70" spans="1:9">
      <c r="D70" s="1301"/>
      <c r="E70" s="1301"/>
      <c r="F70" s="1301"/>
      <c r="I70" s="490"/>
    </row>
    <row r="71" spans="1:9">
      <c r="I71" s="490"/>
    </row>
    <row r="72" spans="1:9" ht="14.4">
      <c r="A72" s="484"/>
      <c r="B72" s="485" t="s">
        <v>2705</v>
      </c>
      <c r="D72" s="1301" t="s">
        <v>1099</v>
      </c>
      <c r="E72" s="1301"/>
      <c r="F72" s="1301"/>
      <c r="I72" s="490"/>
    </row>
    <row r="73" spans="1:9">
      <c r="D73" s="1301"/>
      <c r="E73" s="1301"/>
      <c r="F73" s="1301"/>
      <c r="I73" s="490"/>
    </row>
    <row r="74" spans="1:9" ht="14.4">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8" customHeight="1">
      <c r="A80" s="484"/>
      <c r="B80" s="485" t="s">
        <v>2705</v>
      </c>
      <c r="D80" s="1301" t="s">
        <v>1245</v>
      </c>
      <c r="E80" s="1301"/>
      <c r="F80" s="1301"/>
      <c r="I80" s="490"/>
    </row>
    <row r="81" spans="1:9" ht="14.4">
      <c r="A81" s="484"/>
      <c r="B81" s="484"/>
      <c r="D81" s="1301"/>
      <c r="E81" s="1301"/>
      <c r="F81" s="1301"/>
      <c r="I81" s="490"/>
    </row>
    <row r="82" spans="1:9" ht="14.4">
      <c r="A82" s="484"/>
      <c r="B82" s="484"/>
      <c r="D82" s="1301"/>
      <c r="E82" s="1301"/>
      <c r="F82" s="1301"/>
      <c r="I82" s="490"/>
    </row>
    <row r="83" spans="1:9" ht="14.4">
      <c r="A83" s="484"/>
      <c r="B83" s="484"/>
      <c r="D83" s="1301"/>
      <c r="E83" s="1301"/>
      <c r="F83" s="1301"/>
      <c r="I83" s="490"/>
    </row>
    <row r="84" spans="1:9" ht="14.4">
      <c r="A84" s="484"/>
      <c r="B84" s="484"/>
      <c r="D84" s="1301"/>
      <c r="E84" s="1301"/>
      <c r="F84" s="1301"/>
      <c r="I84" s="490"/>
    </row>
    <row r="85" spans="1:9" ht="14.4">
      <c r="A85" s="484"/>
      <c r="B85" s="484"/>
      <c r="D85" s="1301"/>
      <c r="E85" s="1301"/>
      <c r="F85" s="1301"/>
      <c r="I85" s="490"/>
    </row>
    <row r="86" spans="1:9" ht="14.4">
      <c r="A86" s="484"/>
      <c r="B86" s="484"/>
      <c r="D86" s="1301"/>
      <c r="E86" s="1301"/>
      <c r="F86" s="1301"/>
      <c r="I86" s="490"/>
    </row>
    <row r="87" spans="1:9" ht="14.4">
      <c r="A87" s="484"/>
      <c r="B87" s="484"/>
      <c r="D87" s="1301"/>
      <c r="E87" s="1301"/>
      <c r="F87" s="1301"/>
      <c r="I87" s="490"/>
    </row>
    <row r="88" spans="1:9" ht="14.4">
      <c r="A88" s="484"/>
      <c r="B88" s="484"/>
      <c r="D88" s="385"/>
      <c r="E88" s="385"/>
      <c r="F88" s="385"/>
      <c r="I88" s="490"/>
    </row>
    <row r="89" spans="1:9" ht="15" customHeight="1">
      <c r="A89" s="484"/>
      <c r="B89" s="485" t="s">
        <v>2705</v>
      </c>
      <c r="D89" s="1301" t="s">
        <v>1742</v>
      </c>
      <c r="E89" s="1301"/>
      <c r="F89" s="1301"/>
      <c r="I89" s="490"/>
    </row>
    <row r="90" spans="1:9" ht="14.4">
      <c r="A90" s="484"/>
      <c r="B90" s="484"/>
      <c r="D90" s="1301"/>
      <c r="E90" s="1301"/>
      <c r="F90" s="1301"/>
      <c r="I90" s="490"/>
    </row>
    <row r="91" spans="1:9" ht="14.4">
      <c r="A91" s="484"/>
      <c r="B91" s="484"/>
      <c r="D91" s="445"/>
      <c r="E91" s="445"/>
      <c r="F91" s="445"/>
      <c r="I91" s="490"/>
    </row>
    <row r="92" spans="1:9" ht="14.4">
      <c r="A92" s="484"/>
      <c r="B92" s="485" t="s">
        <v>2705</v>
      </c>
      <c r="D92" s="1301" t="s">
        <v>1745</v>
      </c>
      <c r="E92" s="1301"/>
      <c r="F92" s="1301"/>
      <c r="I92" s="490"/>
    </row>
    <row r="93" spans="1:9" ht="14.4">
      <c r="A93" s="484"/>
      <c r="B93" s="484"/>
      <c r="D93" s="1301"/>
      <c r="E93" s="1301"/>
      <c r="F93" s="1301"/>
      <c r="I93" s="490"/>
    </row>
    <row r="94" spans="1:9" ht="14.4">
      <c r="A94" s="484"/>
      <c r="B94" s="484"/>
      <c r="D94" s="1301"/>
      <c r="E94" s="1301"/>
      <c r="F94" s="1301"/>
      <c r="I94" s="490"/>
    </row>
    <row r="95" spans="1:9" ht="14.4">
      <c r="A95" s="484"/>
      <c r="B95" s="484"/>
      <c r="D95" s="445"/>
      <c r="E95" s="445"/>
      <c r="F95" s="445"/>
      <c r="I95" s="490"/>
    </row>
    <row r="96" spans="1:9" ht="14.4">
      <c r="A96" s="484"/>
      <c r="B96" s="485" t="s">
        <v>2705</v>
      </c>
      <c r="D96" s="1301" t="s">
        <v>1744</v>
      </c>
      <c r="E96" s="1301"/>
      <c r="F96" s="1301"/>
      <c r="I96" s="490"/>
    </row>
    <row r="97" spans="1:9" s="987" customFormat="1" ht="14.4">
      <c r="A97" s="985"/>
      <c r="B97" s="985"/>
      <c r="C97" s="986"/>
      <c r="D97" s="1301"/>
      <c r="E97" s="1301"/>
      <c r="F97" s="1301"/>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2706</v>
      </c>
      <c r="D100" s="1301" t="s">
        <v>1743</v>
      </c>
      <c r="E100" s="1301"/>
      <c r="F100" s="1301"/>
      <c r="I100" s="490"/>
    </row>
    <row r="101" spans="1:9" ht="14.4">
      <c r="A101" s="484"/>
      <c r="B101" s="484"/>
      <c r="D101" s="1301"/>
      <c r="E101" s="1301"/>
      <c r="F101" s="1301"/>
      <c r="I101" s="490"/>
    </row>
    <row r="102" spans="1:9" ht="14.4">
      <c r="A102" s="484"/>
      <c r="B102" s="484"/>
      <c r="D102" s="445"/>
      <c r="E102" s="445"/>
      <c r="F102" s="445"/>
      <c r="I102" s="490"/>
    </row>
    <row r="103" spans="1:9" ht="14.55" customHeight="1">
      <c r="A103" s="484"/>
      <c r="B103" s="485" t="s">
        <v>2706</v>
      </c>
      <c r="D103" s="1301" t="s">
        <v>1194</v>
      </c>
      <c r="E103" s="1301"/>
      <c r="F103" s="1301"/>
      <c r="I103" s="490"/>
    </row>
    <row r="104" spans="1:9" ht="14.4">
      <c r="A104" s="484"/>
      <c r="B104" s="484"/>
      <c r="D104" s="1301"/>
      <c r="E104" s="1301"/>
      <c r="F104" s="1301"/>
      <c r="I104" s="490"/>
    </row>
    <row r="105" spans="1:9" ht="14.4">
      <c r="A105" s="484"/>
      <c r="B105" s="484"/>
      <c r="D105" s="1301"/>
      <c r="E105" s="1301"/>
      <c r="F105" s="1301"/>
      <c r="I105" s="490"/>
    </row>
    <row r="106" spans="1:9" ht="14.4">
      <c r="A106" s="484"/>
      <c r="B106" s="484"/>
      <c r="D106" s="1301"/>
      <c r="E106" s="1301"/>
      <c r="F106" s="1301"/>
      <c r="I106" s="490"/>
    </row>
    <row r="107" spans="1:9" ht="14.4">
      <c r="A107" s="484"/>
      <c r="B107" s="484"/>
      <c r="D107" s="1301"/>
      <c r="E107" s="1301"/>
      <c r="F107" s="1301"/>
      <c r="I107" s="490"/>
    </row>
    <row r="108" spans="1:9" ht="14.4">
      <c r="A108" s="484"/>
      <c r="B108" s="484"/>
      <c r="D108" s="1301"/>
      <c r="E108" s="1301"/>
      <c r="F108" s="1301"/>
      <c r="I108" s="490"/>
    </row>
    <row r="109" spans="1:9" ht="14.4">
      <c r="A109" s="484"/>
      <c r="B109" s="484"/>
      <c r="D109" s="1301"/>
      <c r="E109" s="1301"/>
      <c r="F109" s="1301"/>
      <c r="I109" s="490"/>
    </row>
    <row r="110" spans="1:9" ht="14.4">
      <c r="A110" s="484"/>
      <c r="B110" s="484"/>
      <c r="D110" s="1301"/>
      <c r="E110" s="1301"/>
      <c r="F110" s="1301"/>
      <c r="I110" s="490"/>
    </row>
    <row r="111" spans="1:9" ht="14.4">
      <c r="A111" s="484"/>
      <c r="B111" s="484"/>
      <c r="D111" s="1301"/>
      <c r="E111" s="1301"/>
      <c r="F111" s="1301"/>
      <c r="I111" s="490"/>
    </row>
    <row r="112" spans="1:9" ht="14.4">
      <c r="A112" s="484"/>
      <c r="B112" s="484"/>
      <c r="D112" s="1301"/>
      <c r="E112" s="1301"/>
      <c r="F112" s="1301"/>
      <c r="I112" s="490"/>
    </row>
    <row r="113" spans="1:9" ht="14.4">
      <c r="A113" s="484"/>
      <c r="B113" s="484"/>
      <c r="D113" s="1301"/>
      <c r="E113" s="1301"/>
      <c r="F113" s="1301"/>
      <c r="I113" s="490"/>
    </row>
    <row r="114" spans="1:9" ht="14.4">
      <c r="A114" s="484"/>
      <c r="B114" s="484"/>
      <c r="D114" s="1301"/>
      <c r="E114" s="1301"/>
      <c r="F114" s="1301"/>
      <c r="I114" s="490"/>
    </row>
    <row r="115" spans="1:9" ht="14.4">
      <c r="A115" s="484"/>
      <c r="B115" s="484"/>
      <c r="D115" s="1301"/>
      <c r="E115" s="1301"/>
      <c r="F115" s="1301"/>
      <c r="I115" s="490"/>
    </row>
    <row r="116" spans="1:9" ht="14.4">
      <c r="A116" s="484"/>
      <c r="B116" s="484"/>
      <c r="D116" s="1301"/>
      <c r="E116" s="1301"/>
      <c r="F116" s="1301"/>
      <c r="I116" s="490"/>
    </row>
    <row r="117" spans="1:9" ht="14.4">
      <c r="A117" s="484"/>
      <c r="B117" s="484"/>
      <c r="D117" s="1301"/>
      <c r="E117" s="1301"/>
      <c r="F117" s="1301"/>
      <c r="I117" s="490"/>
    </row>
    <row r="118" spans="1:9" ht="14.4">
      <c r="A118" s="484"/>
      <c r="B118" s="484"/>
      <c r="D118" s="524"/>
      <c r="E118" s="524"/>
      <c r="F118" s="524"/>
      <c r="I118" s="490"/>
    </row>
    <row r="119" spans="1:9" ht="14.25" customHeight="1">
      <c r="A119" s="484"/>
      <c r="B119" s="485" t="s">
        <v>2706</v>
      </c>
      <c r="D119" s="1323" t="s">
        <v>1103</v>
      </c>
      <c r="E119" s="1323"/>
      <c r="F119" s="1323"/>
      <c r="I119" s="490"/>
    </row>
    <row r="120" spans="1:9" ht="14.4">
      <c r="A120" s="484"/>
      <c r="B120" s="484"/>
      <c r="D120" s="1323"/>
      <c r="E120" s="1323"/>
      <c r="F120" s="1323"/>
      <c r="I120" s="490"/>
    </row>
    <row r="121" spans="1:9" ht="14.4">
      <c r="A121" s="484"/>
      <c r="B121" s="484"/>
      <c r="D121" s="1323"/>
      <c r="E121" s="1323"/>
      <c r="F121" s="1323"/>
      <c r="I121" s="490"/>
    </row>
    <row r="122" spans="1:9" ht="14.4">
      <c r="A122" s="484"/>
      <c r="B122" s="484"/>
      <c r="D122" s="1323"/>
      <c r="E122" s="1323"/>
      <c r="F122" s="1323"/>
      <c r="I122" s="490"/>
    </row>
    <row r="123" spans="1:9" ht="14.4">
      <c r="A123" s="484"/>
      <c r="B123" s="484"/>
      <c r="D123" s="1323"/>
      <c r="E123" s="1323"/>
      <c r="F123" s="1323"/>
      <c r="I123" s="490"/>
    </row>
    <row r="124" spans="1:9" ht="14.4">
      <c r="A124" s="484"/>
      <c r="B124" s="484"/>
      <c r="D124" s="1323"/>
      <c r="E124" s="1323"/>
      <c r="F124" s="1323"/>
      <c r="I124" s="490"/>
    </row>
    <row r="125" spans="1:9" ht="14.4">
      <c r="A125" s="484"/>
      <c r="B125" s="484"/>
      <c r="D125" s="1323"/>
      <c r="E125" s="1323"/>
      <c r="F125" s="1323"/>
      <c r="I125" s="490"/>
    </row>
    <row r="126" spans="1:9" ht="14.4">
      <c r="A126" s="484"/>
      <c r="B126" s="484"/>
      <c r="D126" s="1323"/>
      <c r="E126" s="1323"/>
      <c r="F126" s="1323"/>
      <c r="I126" s="490"/>
    </row>
    <row r="127" spans="1:9">
      <c r="C127" s="402"/>
      <c r="D127" s="525"/>
      <c r="E127" s="525"/>
      <c r="F127" s="525"/>
      <c r="I127" s="490"/>
    </row>
    <row r="128" spans="1:9" ht="14.4">
      <c r="A128" s="484"/>
      <c r="B128" s="485" t="s">
        <v>2706</v>
      </c>
      <c r="C128" s="402"/>
      <c r="D128" s="1323" t="s">
        <v>2049</v>
      </c>
      <c r="E128" s="1323"/>
      <c r="F128" s="1323"/>
      <c r="I128" s="490"/>
    </row>
    <row r="129" spans="1:9" ht="14.4">
      <c r="A129" s="484"/>
      <c r="B129" s="484"/>
      <c r="C129" s="402"/>
      <c r="D129" s="1323"/>
      <c r="E129" s="1323"/>
      <c r="F129" s="1323"/>
      <c r="I129" s="490"/>
    </row>
    <row r="130" spans="1:9">
      <c r="I130" s="490"/>
    </row>
    <row r="131" spans="1:9" ht="14.4">
      <c r="A131" s="484"/>
      <c r="B131" s="485" t="s">
        <v>2705</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4">
      <c r="A137" s="484"/>
      <c r="B137" s="485" t="s">
        <v>2705</v>
      </c>
      <c r="D137" s="1301" t="s">
        <v>1105</v>
      </c>
      <c r="E137" s="1301"/>
      <c r="F137" s="1301"/>
      <c r="I137" s="490"/>
    </row>
    <row r="138" spans="1:9" s="417" customFormat="1" ht="13.8" customHeight="1">
      <c r="A138" s="488"/>
      <c r="B138" s="488"/>
      <c r="C138" s="488"/>
      <c r="D138" s="1301"/>
      <c r="E138" s="1301"/>
      <c r="F138" s="1301"/>
      <c r="I138" s="1155"/>
    </row>
    <row r="139" spans="1:9" ht="13.8" customHeight="1">
      <c r="D139" s="1301"/>
      <c r="E139" s="1301"/>
      <c r="F139" s="1301"/>
      <c r="I139" s="490"/>
    </row>
    <row r="140" spans="1:9" ht="13.8" customHeight="1">
      <c r="D140" s="1301"/>
      <c r="E140" s="1301"/>
      <c r="F140" s="1301"/>
      <c r="I140" s="490"/>
    </row>
    <row r="141" spans="1:9" ht="13.8" customHeight="1">
      <c r="D141" s="1301"/>
      <c r="E141" s="1301"/>
      <c r="F141" s="1301"/>
      <c r="I141" s="490"/>
    </row>
    <row r="142" spans="1:9" ht="13.8" customHeight="1">
      <c r="A142" s="489"/>
      <c r="B142" s="489"/>
      <c r="D142" s="1301"/>
      <c r="E142" s="1301"/>
      <c r="F142" s="1301"/>
      <c r="I142" s="490"/>
    </row>
    <row r="143" spans="1:9" ht="13.8" customHeight="1">
      <c r="D143" s="1301"/>
      <c r="E143" s="1301"/>
      <c r="F143" s="1301"/>
      <c r="I143" s="490"/>
    </row>
    <row r="144" spans="1:9" ht="13.8" customHeight="1">
      <c r="D144" s="1301"/>
      <c r="E144" s="1301"/>
      <c r="F144" s="1301"/>
      <c r="I144" s="490"/>
    </row>
    <row r="145" spans="2:9" ht="13.8" customHeight="1">
      <c r="D145" s="1301"/>
      <c r="E145" s="1301"/>
      <c r="F145" s="1301"/>
      <c r="I145" s="490"/>
    </row>
    <row r="146" spans="2:9" ht="13.8" customHeight="1">
      <c r="D146" s="1301"/>
      <c r="E146" s="1301"/>
      <c r="F146" s="1301"/>
      <c r="I146" s="490"/>
    </row>
    <row r="147" spans="2:9" ht="13.8" customHeight="1">
      <c r="D147" s="1301"/>
      <c r="E147" s="1301"/>
      <c r="F147" s="1301"/>
      <c r="I147" s="490"/>
    </row>
    <row r="148" spans="2:9" ht="13.8" customHeight="1">
      <c r="D148" s="1301"/>
      <c r="E148" s="1301"/>
      <c r="F148" s="1301"/>
      <c r="I148" s="490"/>
    </row>
    <row r="149" spans="2:9" ht="13.8" customHeight="1">
      <c r="D149" s="1301"/>
      <c r="E149" s="1301"/>
      <c r="F149" s="1301"/>
      <c r="I149" s="490"/>
    </row>
    <row r="150" spans="2:9" ht="13.8" customHeight="1">
      <c r="D150" s="476"/>
      <c r="E150" s="446"/>
      <c r="F150" s="446"/>
      <c r="I150" s="490"/>
    </row>
    <row r="151" spans="2:9" ht="13.8" customHeight="1">
      <c r="B151" s="485" t="s">
        <v>2706</v>
      </c>
      <c r="D151" s="1301" t="s">
        <v>1177</v>
      </c>
      <c r="E151" s="1301"/>
      <c r="F151" s="1301"/>
      <c r="I151" s="490"/>
    </row>
    <row r="152" spans="2:9" ht="13.8" customHeight="1">
      <c r="D152" s="1301"/>
      <c r="E152" s="1301"/>
      <c r="F152" s="1301"/>
      <c r="I152" s="490"/>
    </row>
    <row r="153" spans="2:9" ht="13.8" customHeight="1">
      <c r="D153" s="1301"/>
      <c r="E153" s="1301"/>
      <c r="F153" s="1301"/>
      <c r="I153" s="490"/>
    </row>
    <row r="154" spans="2:9" ht="13.8" customHeight="1">
      <c r="D154" s="1301"/>
      <c r="E154" s="1301"/>
      <c r="F154" s="1301"/>
      <c r="I154" s="490"/>
    </row>
    <row r="155" spans="2:9" ht="13.8" customHeight="1">
      <c r="D155" s="1301"/>
      <c r="E155" s="1301"/>
      <c r="F155" s="1301"/>
      <c r="I155" s="490"/>
    </row>
    <row r="156" spans="2:9" ht="13.8" customHeight="1">
      <c r="D156" s="1301"/>
      <c r="E156" s="1301"/>
      <c r="F156" s="1301"/>
      <c r="I156" s="490"/>
    </row>
    <row r="157" spans="2:9" ht="13.8" customHeight="1">
      <c r="D157" s="1301"/>
      <c r="E157" s="1301"/>
      <c r="F157" s="1301"/>
      <c r="I157" s="490"/>
    </row>
    <row r="158" spans="2:9" ht="13.8" customHeight="1">
      <c r="D158" s="1301"/>
      <c r="E158" s="1301"/>
      <c r="F158" s="1301"/>
      <c r="I158" s="490"/>
    </row>
    <row r="159" spans="2:9" ht="13.8" customHeight="1">
      <c r="D159" s="1301"/>
      <c r="E159" s="1301"/>
      <c r="F159" s="1301"/>
      <c r="I159" s="490"/>
    </row>
    <row r="160" spans="2:9" ht="13.8" customHeight="1">
      <c r="D160" s="1301"/>
      <c r="E160" s="1301"/>
      <c r="F160" s="1301"/>
      <c r="I160" s="490"/>
    </row>
    <row r="161" spans="1:9" ht="13.8" customHeight="1">
      <c r="D161" s="1301"/>
      <c r="E161" s="1301"/>
      <c r="F161" s="1301"/>
      <c r="I161" s="490"/>
    </row>
    <row r="162" spans="1:9" ht="13.8" customHeight="1">
      <c r="D162" s="1301"/>
      <c r="E162" s="1301"/>
      <c r="F162" s="1301"/>
      <c r="I162" s="490"/>
    </row>
    <row r="163" spans="1:9" ht="13.8" customHeight="1">
      <c r="D163" s="1301"/>
      <c r="E163" s="1301"/>
      <c r="F163" s="1301"/>
      <c r="I163" s="490"/>
    </row>
    <row r="164" spans="1:9" ht="13.8" customHeight="1">
      <c r="D164" s="1301"/>
      <c r="E164" s="1301"/>
      <c r="F164" s="1301"/>
      <c r="I164" s="490"/>
    </row>
    <row r="165" spans="1:9" ht="13.8" customHeight="1">
      <c r="D165" s="1301"/>
      <c r="E165" s="1301"/>
      <c r="F165" s="1301"/>
      <c r="I165" s="490"/>
    </row>
    <row r="166" spans="1:9" ht="13.8" customHeight="1">
      <c r="D166" s="1301"/>
      <c r="E166" s="1301"/>
      <c r="F166" s="1301"/>
      <c r="I166" s="490"/>
    </row>
    <row r="167" spans="1:9" ht="13.8" customHeight="1">
      <c r="D167" s="1301"/>
      <c r="E167" s="1301"/>
      <c r="F167" s="1301"/>
      <c r="I167" s="490"/>
    </row>
    <row r="168" spans="1:9" ht="13.8" customHeight="1">
      <c r="D168" s="1301"/>
      <c r="E168" s="1301"/>
      <c r="F168" s="1301"/>
      <c r="I168" s="490"/>
    </row>
    <row r="169" spans="1:9" ht="13.8" customHeight="1">
      <c r="D169" s="1320" t="s">
        <v>2072</v>
      </c>
      <c r="E169" s="1320"/>
      <c r="F169" s="1320"/>
      <c r="G169" s="507"/>
      <c r="I169" s="490"/>
    </row>
    <row r="170" spans="1:9" ht="13.8" customHeight="1">
      <c r="D170" s="1318"/>
      <c r="E170" s="1318"/>
      <c r="F170" s="1318"/>
      <c r="G170" s="1318"/>
      <c r="I170" s="490"/>
    </row>
    <row r="171" spans="1:9" ht="14.55" customHeight="1">
      <c r="A171" s="489"/>
      <c r="B171" s="485" t="s">
        <v>2706</v>
      </c>
      <c r="C171" s="476"/>
      <c r="D171" s="1272" t="s">
        <v>2212</v>
      </c>
      <c r="E171" s="1272"/>
      <c r="F171" s="1272"/>
      <c r="G171" s="476"/>
      <c r="I171" s="490"/>
    </row>
    <row r="172" spans="1:9" ht="14.55" customHeight="1">
      <c r="A172" s="489"/>
      <c r="B172" s="489"/>
      <c r="C172" s="476"/>
      <c r="D172" s="1272"/>
      <c r="E172" s="1272"/>
      <c r="F172" s="1272"/>
      <c r="G172" s="476"/>
      <c r="I172" s="490"/>
    </row>
    <row r="173" spans="1:9" ht="14.55" customHeight="1">
      <c r="A173" s="489"/>
      <c r="B173" s="489"/>
      <c r="C173" s="476"/>
      <c r="D173" s="1272"/>
      <c r="E173" s="1272"/>
      <c r="F173" s="1272"/>
      <c r="G173" s="476"/>
      <c r="I173" s="490"/>
    </row>
    <row r="174" spans="1:9" ht="14.55" customHeight="1">
      <c r="A174" s="489"/>
      <c r="B174" s="489"/>
      <c r="C174" s="476"/>
      <c r="D174" s="1272"/>
      <c r="E174" s="1272"/>
      <c r="F174" s="1272"/>
      <c r="G174" s="476"/>
      <c r="I174" s="490"/>
    </row>
    <row r="175" spans="1:9" ht="13.8" customHeight="1">
      <c r="A175" s="489"/>
      <c r="B175" s="489"/>
      <c r="C175" s="476"/>
      <c r="D175" s="1272"/>
      <c r="E175" s="1272"/>
      <c r="F175" s="1272"/>
      <c r="G175" s="476"/>
      <c r="I175" s="490"/>
    </row>
    <row r="176" spans="1:9" ht="13.8" customHeight="1">
      <c r="A176" s="489"/>
      <c r="B176" s="489"/>
      <c r="C176" s="476"/>
      <c r="D176" s="476"/>
      <c r="E176" s="476"/>
      <c r="F176" s="476"/>
      <c r="G176" s="476"/>
      <c r="I176" s="490"/>
    </row>
    <row r="177" spans="1:9" ht="13.8" customHeight="1">
      <c r="A177" s="489"/>
      <c r="B177" s="485" t="s">
        <v>2706</v>
      </c>
      <c r="C177" s="476"/>
      <c r="D177" s="1272" t="s">
        <v>1106</v>
      </c>
      <c r="E177" s="1272"/>
      <c r="F177" s="1272"/>
      <c r="G177" s="476"/>
      <c r="I177" s="490"/>
    </row>
    <row r="178" spans="1:9" ht="13.8" customHeight="1">
      <c r="A178" s="489"/>
      <c r="B178" s="489"/>
      <c r="C178" s="476"/>
      <c r="D178" s="1272"/>
      <c r="E178" s="1272"/>
      <c r="F178" s="1272"/>
      <c r="G178" s="476"/>
      <c r="I178" s="490"/>
    </row>
    <row r="179" spans="1:9" ht="13.8" customHeight="1">
      <c r="A179" s="489"/>
      <c r="B179" s="489"/>
      <c r="C179" s="476"/>
      <c r="D179" s="1272"/>
      <c r="E179" s="1272"/>
      <c r="F179" s="1272"/>
      <c r="G179" s="476"/>
      <c r="I179" s="490"/>
    </row>
    <row r="180" spans="1:9" ht="13.8" customHeight="1">
      <c r="A180" s="489"/>
      <c r="B180" s="489"/>
      <c r="C180" s="476"/>
      <c r="D180" s="1272"/>
      <c r="E180" s="1272"/>
      <c r="F180" s="1272"/>
      <c r="G180" s="476"/>
      <c r="I180" s="490"/>
    </row>
    <row r="181" spans="1:9" ht="13.8" customHeight="1">
      <c r="D181" s="446"/>
      <c r="E181" s="446"/>
      <c r="F181" s="446"/>
      <c r="I181" s="490"/>
    </row>
    <row r="182" spans="1:9" ht="13.8" customHeight="1">
      <c r="B182" s="485" t="s">
        <v>2706</v>
      </c>
      <c r="D182" s="1313" t="s">
        <v>2050</v>
      </c>
      <c r="E182" s="1313"/>
      <c r="F182" s="1313"/>
      <c r="I182" s="490"/>
    </row>
    <row r="183" spans="1:9" ht="13.8" customHeight="1">
      <c r="D183" s="1313"/>
      <c r="E183" s="1313"/>
      <c r="F183" s="1313"/>
      <c r="I183" s="490"/>
    </row>
    <row r="184" spans="1:9" ht="13.8" customHeight="1">
      <c r="D184" s="1313"/>
      <c r="E184" s="1313"/>
      <c r="F184" s="1313"/>
      <c r="I184" s="490"/>
    </row>
    <row r="185" spans="1:9" ht="13.8"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8"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2705</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2706</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2706</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2706</v>
      </c>
      <c r="D209" s="386" t="s">
        <v>1894</v>
      </c>
      <c r="E209" s="385"/>
      <c r="F209" s="385"/>
      <c r="I209" s="490"/>
    </row>
    <row r="210" spans="1:9" ht="14.4">
      <c r="A210" s="484"/>
      <c r="B210" s="484"/>
      <c r="D210" s="1288" t="s">
        <v>1901</v>
      </c>
      <c r="E210" s="1288"/>
      <c r="F210" s="1288"/>
      <c r="I210" s="490"/>
    </row>
    <row r="211" spans="1:9">
      <c r="D211" s="385"/>
      <c r="E211" s="1325" t="s">
        <v>1927</v>
      </c>
      <c r="F211" s="1325"/>
      <c r="I211" s="490"/>
    </row>
    <row r="212" spans="1:9">
      <c r="D212" s="447"/>
      <c r="I212" s="490"/>
    </row>
    <row r="213" spans="1:9">
      <c r="B213" s="485" t="s">
        <v>2706</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4">
      <c r="A217" s="484"/>
      <c r="B217" s="485" t="s">
        <v>2706</v>
      </c>
      <c r="D217" s="1301" t="s">
        <v>1216</v>
      </c>
      <c r="E217" s="1301"/>
      <c r="F217" s="1301"/>
      <c r="I217" s="490"/>
    </row>
    <row r="218" spans="1:9" ht="14.55" customHeight="1">
      <c r="A218" s="484"/>
      <c r="B218" s="402"/>
      <c r="D218" s="1301"/>
      <c r="E218" s="1301"/>
      <c r="F218" s="1301"/>
      <c r="I218" s="490"/>
    </row>
    <row r="219" spans="1:9" ht="14.4">
      <c r="A219" s="484"/>
      <c r="D219" s="1301"/>
      <c r="E219" s="1301"/>
      <c r="F219" s="1301"/>
      <c r="I219" s="490"/>
    </row>
    <row r="220" spans="1:9" ht="14.4">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8" customHeight="1">
      <c r="A227" s="490"/>
      <c r="C227" s="490"/>
      <c r="D227" s="1309" t="s">
        <v>546</v>
      </c>
      <c r="E227" s="1309"/>
      <c r="F227" s="1309"/>
      <c r="I227" s="490"/>
    </row>
    <row r="228" spans="1:9" ht="14.4">
      <c r="A228" s="484"/>
      <c r="B228" s="485" t="s">
        <v>2705</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4">
      <c r="A231" s="484"/>
      <c r="B231" s="484"/>
      <c r="D231" s="1301"/>
      <c r="E231" s="1301"/>
      <c r="F231" s="1301"/>
      <c r="I231" s="490"/>
    </row>
    <row r="232" spans="1:9" ht="14.4">
      <c r="A232" s="484"/>
      <c r="B232" s="484"/>
      <c r="D232" s="445"/>
      <c r="E232" s="445"/>
      <c r="F232" s="445"/>
      <c r="I232" s="490"/>
    </row>
    <row r="233" spans="1:9" ht="14.4">
      <c r="A233" s="484"/>
      <c r="B233" s="485" t="s">
        <v>2705</v>
      </c>
      <c r="D233" s="1301" t="s">
        <v>1754</v>
      </c>
      <c r="E233" s="1301"/>
      <c r="F233" s="1301"/>
      <c r="I233" s="490"/>
    </row>
    <row r="234" spans="1:9" ht="14.4">
      <c r="A234" s="484"/>
      <c r="B234" s="484"/>
      <c r="D234" s="1301"/>
      <c r="E234" s="1301"/>
      <c r="F234" s="1301"/>
      <c r="I234" s="490"/>
    </row>
    <row r="235" spans="1:9" ht="14.4">
      <c r="A235" s="484"/>
      <c r="B235" s="484"/>
      <c r="D235" s="1301"/>
      <c r="E235" s="1301"/>
      <c r="F235" s="1301"/>
      <c r="I235" s="490"/>
    </row>
    <row r="236" spans="1:9" ht="14.4">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4">
      <c r="A239" s="484"/>
      <c r="B239" s="484"/>
      <c r="D239" s="1301" t="s">
        <v>1118</v>
      </c>
      <c r="E239" s="1301"/>
      <c r="F239" s="1301"/>
      <c r="I239" s="490"/>
    </row>
    <row r="240" spans="1:9" ht="14.4">
      <c r="A240" s="484"/>
      <c r="B240" s="484"/>
      <c r="D240" s="1301"/>
      <c r="E240" s="1301"/>
      <c r="F240" s="1301"/>
      <c r="I240" s="490"/>
    </row>
    <row r="241" spans="1:9" ht="14.4">
      <c r="A241" s="484"/>
      <c r="B241" s="484"/>
      <c r="D241" s="1301"/>
      <c r="E241" s="1301"/>
      <c r="F241" s="1301"/>
      <c r="I241" s="490"/>
    </row>
    <row r="242" spans="1:9" ht="14.4">
      <c r="A242" s="484"/>
      <c r="B242" s="484"/>
      <c r="D242" s="1301"/>
      <c r="E242" s="1301"/>
      <c r="F242" s="1301"/>
      <c r="I242" s="490"/>
    </row>
    <row r="243" spans="1:9" ht="14.4">
      <c r="A243" s="484"/>
      <c r="B243" s="484"/>
      <c r="D243" s="1301"/>
      <c r="E243" s="1301"/>
      <c r="F243" s="1301"/>
      <c r="I243" s="490"/>
    </row>
    <row r="244" spans="1:9" ht="14.4">
      <c r="A244" s="484"/>
      <c r="B244" s="484"/>
      <c r="D244" s="446"/>
      <c r="E244" s="446"/>
      <c r="F244" s="446"/>
      <c r="I244" s="490"/>
    </row>
    <row r="245" spans="1:9" ht="14.4">
      <c r="A245" s="484"/>
      <c r="B245" s="485" t="s">
        <v>2705</v>
      </c>
      <c r="D245" s="1301" t="s">
        <v>2052</v>
      </c>
      <c r="E245" s="1301"/>
      <c r="F245" s="1301"/>
      <c r="I245" s="490"/>
    </row>
    <row r="246" spans="1:9" ht="14.4">
      <c r="A246" s="484"/>
      <c r="B246" s="484"/>
      <c r="D246" s="1301"/>
      <c r="E246" s="1301"/>
      <c r="F246" s="1301"/>
      <c r="I246" s="490"/>
    </row>
    <row r="247" spans="1:9" ht="14.4">
      <c r="A247" s="484"/>
      <c r="B247" s="484"/>
      <c r="D247" s="1301"/>
      <c r="E247" s="1301"/>
      <c r="F247" s="1301"/>
      <c r="I247" s="490"/>
    </row>
    <row r="248" spans="1:9" ht="14.4">
      <c r="A248" s="484"/>
      <c r="B248" s="484"/>
      <c r="E248" s="1036" t="s">
        <v>1895</v>
      </c>
      <c r="I248" s="490"/>
    </row>
    <row r="249" spans="1:9" ht="14.4">
      <c r="A249" s="484"/>
      <c r="B249" s="484"/>
      <c r="D249" s="446"/>
      <c r="E249" s="446"/>
      <c r="F249" s="446"/>
      <c r="I249" s="490"/>
    </row>
    <row r="250" spans="1:9" ht="14.55" customHeight="1">
      <c r="A250" s="484"/>
      <c r="B250" s="485" t="s">
        <v>2706</v>
      </c>
      <c r="D250" s="1301" t="s">
        <v>2053</v>
      </c>
      <c r="E250" s="1301"/>
      <c r="F250" s="1301"/>
      <c r="I250" s="490"/>
    </row>
    <row r="251" spans="1:9" ht="14.4">
      <c r="A251" s="484"/>
      <c r="B251" s="484"/>
      <c r="D251" s="1301"/>
      <c r="E251" s="1301"/>
      <c r="F251" s="1301"/>
      <c r="I251" s="490"/>
    </row>
    <row r="252" spans="1:9" ht="14.4">
      <c r="A252" s="484"/>
      <c r="B252" s="484"/>
      <c r="D252" s="1301"/>
      <c r="E252" s="1301"/>
      <c r="F252" s="1301"/>
      <c r="I252" s="490"/>
    </row>
    <row r="253" spans="1:9" ht="14.4">
      <c r="A253" s="484"/>
      <c r="B253" s="484"/>
      <c r="D253" s="1301"/>
      <c r="E253" s="1301"/>
      <c r="F253" s="1301"/>
      <c r="I253" s="490"/>
    </row>
    <row r="254" spans="1:9" ht="14.4">
      <c r="A254" s="484"/>
      <c r="B254" s="484"/>
      <c r="D254" s="1301"/>
      <c r="E254" s="1301"/>
      <c r="F254" s="1301"/>
      <c r="I254" s="490"/>
    </row>
    <row r="255" spans="1:9" ht="14.4">
      <c r="A255" s="484"/>
      <c r="B255" s="484"/>
      <c r="D255" s="445"/>
      <c r="E255" s="445"/>
      <c r="F255" s="445"/>
      <c r="I255" s="490"/>
    </row>
    <row r="256" spans="1:9" ht="14.4">
      <c r="A256" s="484"/>
      <c r="B256" s="485" t="s">
        <v>2705</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2705</v>
      </c>
      <c r="D259" s="1301" t="s">
        <v>1119</v>
      </c>
      <c r="E259" s="1301"/>
      <c r="F259" s="1301"/>
      <c r="I259" s="490"/>
    </row>
    <row r="260" spans="1:9" ht="14.4">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5" customHeight="1">
      <c r="A267" s="484"/>
      <c r="B267" s="485" t="s">
        <v>2705</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55" customHeight="1">
      <c r="A271" s="484"/>
      <c r="B271" s="485" t="s">
        <v>2706</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4">
      <c r="A278" s="484"/>
      <c r="B278" s="485" t="s">
        <v>2706</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4">
      <c r="A290" s="484"/>
      <c r="B290" s="485" t="s">
        <v>2706</v>
      </c>
      <c r="D290" s="1301" t="s">
        <v>1125</v>
      </c>
      <c r="E290" s="1301"/>
      <c r="F290" s="1301"/>
      <c r="I290" s="490"/>
    </row>
    <row r="291" spans="1:9" ht="14.4">
      <c r="A291" s="484"/>
      <c r="B291" s="484"/>
      <c r="D291" s="1301"/>
      <c r="E291" s="1301"/>
      <c r="F291" s="1301"/>
      <c r="I291" s="490"/>
    </row>
    <row r="292" spans="1:9">
      <c r="D292" s="446"/>
      <c r="E292" s="446"/>
      <c r="F292" s="446"/>
      <c r="I292" s="490"/>
    </row>
    <row r="293" spans="1:9" ht="14.4">
      <c r="A293" s="484"/>
      <c r="B293" s="485" t="s">
        <v>2706</v>
      </c>
      <c r="D293" s="1301" t="s">
        <v>1126</v>
      </c>
      <c r="E293" s="1301"/>
      <c r="F293" s="1301"/>
      <c r="I293" s="490"/>
    </row>
    <row r="294" spans="1:9" ht="14.4">
      <c r="A294" s="484"/>
      <c r="B294" s="484"/>
      <c r="D294" s="1301"/>
      <c r="E294" s="1301"/>
      <c r="F294" s="1301"/>
      <c r="I294" s="490"/>
    </row>
    <row r="295" spans="1:9" ht="14.4">
      <c r="A295" s="484"/>
      <c r="B295" s="484"/>
      <c r="D295" s="1301"/>
      <c r="E295" s="1301"/>
      <c r="F295" s="1301"/>
      <c r="I295" s="490"/>
    </row>
    <row r="296" spans="1:9">
      <c r="D296" s="446"/>
      <c r="E296" s="446"/>
      <c r="F296" s="446"/>
      <c r="I296" s="490"/>
    </row>
    <row r="297" spans="1:9" ht="14.4">
      <c r="A297" s="484"/>
      <c r="B297" s="485" t="s">
        <v>2706</v>
      </c>
      <c r="D297" s="1301" t="s">
        <v>1127</v>
      </c>
      <c r="E297" s="1301"/>
      <c r="F297" s="1301"/>
      <c r="I297" s="490"/>
    </row>
    <row r="298" spans="1:9" ht="14.4">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2706</v>
      </c>
      <c r="D305" s="1299" t="s">
        <v>1129</v>
      </c>
      <c r="E305" s="1299"/>
      <c r="F305" s="1299"/>
      <c r="I305" s="490"/>
    </row>
    <row r="306" spans="1:9" ht="14.4">
      <c r="A306" s="484"/>
      <c r="B306" s="484"/>
      <c r="D306" s="494"/>
      <c r="E306" s="495"/>
      <c r="F306" s="495"/>
      <c r="I306" s="490"/>
    </row>
    <row r="307" spans="1:9" ht="13.8" customHeight="1">
      <c r="B307" s="485" t="s">
        <v>2706</v>
      </c>
      <c r="D307" s="1310" t="s">
        <v>1219</v>
      </c>
      <c r="E307" s="1310"/>
      <c r="F307" s="1310"/>
      <c r="I307" s="490"/>
    </row>
    <row r="308" spans="1:9" ht="14.4">
      <c r="A308" s="484"/>
      <c r="B308" s="484"/>
      <c r="D308" s="1310"/>
      <c r="E308" s="1310"/>
      <c r="F308" s="1310"/>
      <c r="I308" s="490"/>
    </row>
    <row r="309" spans="1:9" ht="14.4">
      <c r="A309" s="484"/>
      <c r="B309" s="484"/>
      <c r="D309" s="1310"/>
      <c r="E309" s="1310"/>
      <c r="F309" s="1310"/>
      <c r="I309" s="490"/>
    </row>
    <row r="310" spans="1:9" ht="14.4">
      <c r="A310" s="484"/>
      <c r="B310" s="484"/>
      <c r="D310" s="1310"/>
      <c r="E310" s="1310"/>
      <c r="F310" s="1310"/>
      <c r="I310" s="490"/>
    </row>
    <row r="311" spans="1:9" ht="14.4">
      <c r="A311" s="484"/>
      <c r="B311" s="484"/>
      <c r="D311" s="1310"/>
      <c r="E311" s="1310"/>
      <c r="F311" s="1310"/>
      <c r="I311" s="490"/>
    </row>
    <row r="312" spans="1:9" ht="14.4">
      <c r="A312" s="484"/>
      <c r="B312" s="484"/>
      <c r="D312" s="494"/>
      <c r="E312" s="495"/>
      <c r="F312" s="495"/>
      <c r="I312" s="490"/>
    </row>
    <row r="313" spans="1:9" ht="13.8" customHeight="1">
      <c r="B313" s="485" t="s">
        <v>2706</v>
      </c>
      <c r="D313" s="1310" t="s">
        <v>1130</v>
      </c>
      <c r="E313" s="1310"/>
      <c r="F313" s="1310"/>
      <c r="I313" s="490"/>
    </row>
    <row r="314" spans="1:9">
      <c r="D314" s="1310"/>
      <c r="E314" s="1310"/>
      <c r="F314" s="1310"/>
      <c r="I314" s="490"/>
    </row>
    <row r="315" spans="1:9" ht="14.4">
      <c r="A315" s="484"/>
      <c r="B315" s="484"/>
      <c r="D315" s="494"/>
      <c r="E315" s="495"/>
      <c r="F315" s="495"/>
      <c r="I315" s="490"/>
    </row>
    <row r="316" spans="1:9">
      <c r="B316" s="485" t="s">
        <v>2706</v>
      </c>
      <c r="D316" s="1299" t="s">
        <v>1131</v>
      </c>
      <c r="E316" s="1299"/>
      <c r="F316" s="1299"/>
      <c r="I316" s="490"/>
    </row>
    <row r="317" spans="1:9">
      <c r="E317" s="446"/>
      <c r="F317" s="446"/>
      <c r="I317" s="490"/>
    </row>
    <row r="318" spans="1:9" ht="14.4">
      <c r="A318" s="484"/>
      <c r="B318" s="485" t="s">
        <v>2706</v>
      </c>
      <c r="D318" s="1301" t="s">
        <v>2244</v>
      </c>
      <c r="E318" s="1301"/>
      <c r="F318" s="1301"/>
      <c r="I318" s="490"/>
    </row>
    <row r="319" spans="1:9" ht="14.4">
      <c r="A319" s="484"/>
      <c r="B319" s="484"/>
      <c r="D319" s="1301"/>
      <c r="E319" s="1301"/>
      <c r="F319" s="1301"/>
      <c r="I319" s="490"/>
    </row>
    <row r="320" spans="1:9" ht="14.4">
      <c r="A320" s="484"/>
      <c r="B320" s="484"/>
      <c r="D320" s="1301"/>
      <c r="E320" s="1301"/>
      <c r="F320" s="1301"/>
      <c r="I320" s="490"/>
    </row>
    <row r="321" spans="1:9" ht="14.4">
      <c r="A321" s="484"/>
      <c r="B321" s="484"/>
      <c r="D321" s="1301"/>
      <c r="E321" s="1301"/>
      <c r="F321" s="1301"/>
      <c r="I321" s="490"/>
    </row>
    <row r="322" spans="1:9" ht="14.4">
      <c r="A322" s="484"/>
      <c r="B322" s="484"/>
      <c r="D322" s="1301"/>
      <c r="E322" s="1301"/>
      <c r="F322" s="1301"/>
      <c r="I322" s="490"/>
    </row>
    <row r="323" spans="1:9" ht="14.4">
      <c r="A323" s="484"/>
      <c r="B323" s="484"/>
      <c r="D323" s="1301"/>
      <c r="E323" s="1301"/>
      <c r="F323" s="1301"/>
      <c r="I323" s="490"/>
    </row>
    <row r="324" spans="1:9" ht="14.4">
      <c r="A324" s="484"/>
      <c r="B324" s="484"/>
      <c r="D324" s="1301"/>
      <c r="E324" s="1301"/>
      <c r="F324" s="1301"/>
      <c r="I324" s="490"/>
    </row>
    <row r="325" spans="1:9" ht="14.4">
      <c r="A325" s="484"/>
      <c r="B325" s="484"/>
      <c r="D325" s="1301"/>
      <c r="E325" s="1301"/>
      <c r="F325" s="1301"/>
      <c r="I325" s="490"/>
    </row>
    <row r="326" spans="1:9" ht="14.4">
      <c r="A326" s="484"/>
      <c r="B326" s="484"/>
      <c r="D326" s="1301"/>
      <c r="E326" s="1301"/>
      <c r="F326" s="1301"/>
      <c r="I326" s="490"/>
    </row>
    <row r="327" spans="1:9" ht="14.4">
      <c r="A327" s="484"/>
      <c r="B327" s="484"/>
      <c r="D327" s="1301"/>
      <c r="E327" s="1301"/>
      <c r="F327" s="1301"/>
      <c r="I327" s="490"/>
    </row>
    <row r="328" spans="1:9" ht="14.4">
      <c r="A328" s="484"/>
      <c r="B328" s="484"/>
      <c r="D328" s="1301"/>
      <c r="E328" s="1301"/>
      <c r="F328" s="1301"/>
      <c r="I328" s="490"/>
    </row>
    <row r="329" spans="1:9" ht="14.4">
      <c r="A329" s="484"/>
      <c r="B329" s="484"/>
      <c r="D329" s="1301"/>
      <c r="E329" s="1301"/>
      <c r="F329" s="1301"/>
      <c r="I329" s="490"/>
    </row>
    <row r="330" spans="1:9" ht="14.4">
      <c r="A330" s="484"/>
      <c r="B330" s="484"/>
      <c r="D330" s="1301"/>
      <c r="E330" s="1301"/>
      <c r="F330" s="1301"/>
      <c r="I330" s="490"/>
    </row>
    <row r="331" spans="1:9" ht="14.4">
      <c r="A331" s="484"/>
      <c r="B331" s="484"/>
      <c r="D331" s="1301"/>
      <c r="E331" s="1301"/>
      <c r="F331" s="1301"/>
      <c r="I331" s="490"/>
    </row>
    <row r="332" spans="1:9" ht="14.4">
      <c r="A332" s="484"/>
      <c r="B332" s="484"/>
      <c r="D332" s="1301"/>
      <c r="E332" s="1301"/>
      <c r="F332" s="1301"/>
      <c r="I332" s="490"/>
    </row>
    <row r="333" spans="1:9">
      <c r="D333" s="446"/>
      <c r="E333" s="446"/>
      <c r="F333" s="446"/>
      <c r="I333" s="490"/>
    </row>
    <row r="334" spans="1:9" ht="14.4">
      <c r="A334" s="484"/>
      <c r="B334" s="485" t="s">
        <v>2706</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2706</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329" t="s">
        <v>979</v>
      </c>
      <c r="E351" s="1329"/>
      <c r="F351" s="1329"/>
      <c r="G351" s="1027"/>
      <c r="H351" s="1027"/>
      <c r="I351" s="1156"/>
    </row>
    <row r="352" spans="1:9" ht="13.8"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2706</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4">
      <c r="A360" s="484"/>
      <c r="B360" s="485" t="s">
        <v>2706</v>
      </c>
      <c r="C360" s="476"/>
      <c r="D360" s="1318" t="s">
        <v>2056</v>
      </c>
      <c r="E360" s="1318"/>
      <c r="F360" s="1318"/>
      <c r="I360" s="480"/>
    </row>
    <row r="361" spans="1:9">
      <c r="A361" s="476"/>
      <c r="B361" s="476"/>
      <c r="C361" s="476"/>
      <c r="D361" s="447"/>
      <c r="E361" s="447"/>
      <c r="F361" s="446"/>
      <c r="I361" s="490"/>
    </row>
    <row r="362" spans="1:9">
      <c r="A362" s="476"/>
      <c r="B362" s="485" t="s">
        <v>2706</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5" customHeight="1">
      <c r="A375" s="476"/>
      <c r="B375" s="485" t="s">
        <v>2706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2706</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8"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2706</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5" customHeight="1">
      <c r="A423" s="484"/>
      <c r="B423" s="485" t="s">
        <v>2706</v>
      </c>
      <c r="D423" s="1272" t="s">
        <v>1881</v>
      </c>
      <c r="E423" s="1272"/>
      <c r="F423" s="1272"/>
      <c r="I423" s="490"/>
    </row>
    <row r="424" spans="1:9" ht="14.55" customHeight="1">
      <c r="A424" s="484"/>
      <c r="D424" s="1272"/>
      <c r="E424" s="1272"/>
      <c r="F424" s="1272"/>
      <c r="I424" s="490"/>
    </row>
    <row r="425" spans="1:9" ht="14.55" customHeight="1">
      <c r="A425" s="484"/>
      <c r="D425" s="1272"/>
      <c r="E425" s="1272"/>
      <c r="F425" s="1272"/>
      <c r="I425" s="490"/>
    </row>
    <row r="426" spans="1:9" ht="14.55" customHeight="1">
      <c r="A426" s="484"/>
      <c r="D426" s="1272"/>
      <c r="E426" s="1272"/>
      <c r="F426" s="1272"/>
      <c r="I426" s="490"/>
    </row>
    <row r="427" spans="1:9" ht="14.55" customHeight="1">
      <c r="A427" s="484"/>
      <c r="D427" s="1272"/>
      <c r="E427" s="1272"/>
      <c r="F427" s="1272"/>
      <c r="I427" s="490"/>
    </row>
    <row r="428" spans="1:9" ht="14.55" customHeight="1">
      <c r="A428" s="484"/>
      <c r="D428" s="385"/>
      <c r="E428" s="385"/>
      <c r="F428" s="385"/>
      <c r="I428" s="490"/>
    </row>
    <row r="429" spans="1:9" ht="13.8" customHeight="1">
      <c r="A429" s="484"/>
      <c r="B429" s="485" t="s">
        <v>2706</v>
      </c>
      <c r="C429" s="476"/>
      <c r="D429" s="1272" t="s">
        <v>1240</v>
      </c>
      <c r="E429" s="1272"/>
      <c r="F429" s="1272"/>
      <c r="I429" s="490"/>
    </row>
    <row r="430" spans="1:9" ht="14.4">
      <c r="A430" s="497"/>
      <c r="B430" s="497"/>
      <c r="C430" s="476"/>
      <c r="D430" s="1272"/>
      <c r="E430" s="1272"/>
      <c r="F430" s="1272"/>
      <c r="I430" s="490"/>
    </row>
    <row r="431" spans="1:9" ht="14.4">
      <c r="A431" s="497"/>
      <c r="B431" s="497"/>
      <c r="C431" s="476"/>
      <c r="D431" s="1272"/>
      <c r="E431" s="1272"/>
      <c r="F431" s="1272"/>
      <c r="I431" s="490"/>
    </row>
    <row r="432" spans="1:9" ht="14.4">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4">
      <c r="A435" s="484"/>
      <c r="B435" s="485" t="s">
        <v>2706</v>
      </c>
      <c r="C435" s="487"/>
      <c r="D435" s="1301" t="s">
        <v>2058</v>
      </c>
      <c r="E435" s="1301"/>
      <c r="F435" s="1301"/>
      <c r="I435" s="490"/>
    </row>
    <row r="436" spans="1:9" ht="14.4">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99999999999997" customHeight="1">
      <c r="D465" s="1301"/>
      <c r="E465" s="1301"/>
      <c r="F465" s="1301"/>
      <c r="I465" s="490"/>
    </row>
    <row r="466" spans="1:9">
      <c r="D466" s="446"/>
      <c r="E466" s="446"/>
      <c r="F466" s="446"/>
      <c r="I466" s="490"/>
    </row>
    <row r="467" spans="1:9" ht="14.4">
      <c r="A467" s="484"/>
      <c r="B467" s="485" t="s">
        <v>2706</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4">
      <c r="B471" s="485" t="s">
        <v>2706</v>
      </c>
      <c r="C471" s="484"/>
      <c r="D471" s="1301" t="s">
        <v>1197</v>
      </c>
      <c r="E471" s="1301"/>
      <c r="F471" s="1301"/>
      <c r="I471" s="490"/>
    </row>
    <row r="472" spans="1:9">
      <c r="D472" s="1301"/>
      <c r="E472" s="1301"/>
      <c r="F472" s="1301"/>
      <c r="I472" s="490"/>
    </row>
    <row r="473" spans="1:9">
      <c r="D473" s="446"/>
      <c r="E473" s="446"/>
      <c r="F473" s="446"/>
      <c r="I473" s="490"/>
    </row>
    <row r="474" spans="1:9" ht="14.4">
      <c r="B474" s="485" t="s">
        <v>2706</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2706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2706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2706</v>
      </c>
      <c r="C486" s="402"/>
      <c r="D486" s="1301"/>
      <c r="E486" s="1301"/>
      <c r="F486" s="1301"/>
      <c r="I486" s="490"/>
    </row>
    <row r="487" spans="1:9">
      <c r="A487" s="402"/>
      <c r="C487" s="402"/>
      <c r="D487" s="1301"/>
      <c r="E487" s="1301"/>
      <c r="F487" s="1301"/>
      <c r="I487" s="490"/>
    </row>
    <row r="488" spans="1:9">
      <c r="A488" s="402"/>
      <c r="B488" s="485" t="s">
        <v>2706</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2706</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4">
      <c r="A499" s="484"/>
      <c r="B499" s="484"/>
      <c r="D499" s="1318" t="s">
        <v>1141</v>
      </c>
      <c r="E499" s="1318"/>
      <c r="F499" s="1318"/>
      <c r="I499" s="490"/>
    </row>
    <row r="500" spans="1:9" ht="14.4">
      <c r="A500" s="484"/>
      <c r="B500" s="484"/>
      <c r="D500" s="447"/>
      <c r="I500" s="490"/>
    </row>
    <row r="501" spans="1:9" ht="14.4">
      <c r="A501" s="484"/>
      <c r="B501" s="485" t="s">
        <v>2706</v>
      </c>
      <c r="D501" s="1272" t="s">
        <v>1142</v>
      </c>
      <c r="E501" s="1272"/>
      <c r="F501" s="1272"/>
      <c r="I501" s="490"/>
    </row>
    <row r="502" spans="1:9" ht="14.4">
      <c r="A502" s="484"/>
      <c r="B502" s="484"/>
      <c r="D502" s="1272"/>
      <c r="E502" s="1272"/>
      <c r="F502" s="1272"/>
      <c r="I502" s="490"/>
    </row>
    <row r="503" spans="1:9" ht="14.4">
      <c r="A503" s="484"/>
      <c r="B503" s="484"/>
      <c r="D503" s="446"/>
      <c r="I503" s="490"/>
    </row>
    <row r="504" spans="1:9" ht="12.75" customHeight="1">
      <c r="B504" s="485" t="s">
        <v>2706</v>
      </c>
      <c r="D504" s="1313" t="s">
        <v>1273</v>
      </c>
      <c r="E504" s="1313"/>
      <c r="F504" s="1313"/>
      <c r="I504" s="490"/>
    </row>
    <row r="505" spans="1:9" ht="14.4">
      <c r="A505" s="484"/>
      <c r="D505" s="1313"/>
      <c r="E505" s="1313"/>
      <c r="F505" s="1313"/>
      <c r="I505" s="490"/>
    </row>
    <row r="506" spans="1:9" ht="14.4">
      <c r="A506" s="484"/>
      <c r="B506" s="484"/>
      <c r="D506" s="1313"/>
      <c r="E506" s="1313"/>
      <c r="F506" s="1313"/>
      <c r="I506" s="490"/>
    </row>
    <row r="507" spans="1:9" ht="14.4">
      <c r="A507" s="484"/>
      <c r="B507" s="484"/>
      <c r="D507" s="1313"/>
      <c r="E507" s="1313"/>
      <c r="F507" s="1313"/>
      <c r="I507" s="490"/>
    </row>
    <row r="508" spans="1:9" ht="14.4">
      <c r="A508" s="484"/>
      <c r="D508" s="520"/>
      <c r="E508" s="520"/>
      <c r="F508" s="520"/>
      <c r="I508" s="490"/>
    </row>
    <row r="509" spans="1:9" ht="14.4">
      <c r="A509" s="484"/>
      <c r="B509" s="485" t="s">
        <v>2706</v>
      </c>
      <c r="D509" s="1299" t="s">
        <v>1143</v>
      </c>
      <c r="E509" s="1299"/>
      <c r="F509" s="1299"/>
      <c r="I509" s="490"/>
    </row>
    <row r="510" spans="1:9" ht="14.4">
      <c r="A510" s="484"/>
      <c r="B510" s="484"/>
      <c r="D510" s="446"/>
      <c r="I510" s="490"/>
    </row>
    <row r="511" spans="1:9" ht="14.4">
      <c r="A511" s="484"/>
      <c r="B511" s="485" t="s">
        <v>2706</v>
      </c>
      <c r="D511" s="1301" t="s">
        <v>1144</v>
      </c>
      <c r="E511" s="1301"/>
      <c r="F511" s="1301"/>
      <c r="I511" s="490"/>
    </row>
    <row r="512" spans="1:9" ht="14.4">
      <c r="A512" s="484"/>
      <c r="D512" s="1301"/>
      <c r="E512" s="1301"/>
      <c r="F512" s="1301"/>
      <c r="I512" s="490"/>
    </row>
    <row r="513" spans="1:9">
      <c r="A513" s="490"/>
      <c r="B513" s="490"/>
      <c r="D513" s="447"/>
      <c r="I513" s="490"/>
    </row>
    <row r="514" spans="1:9">
      <c r="A514" s="490"/>
      <c r="B514" s="485" t="s">
        <v>2706</v>
      </c>
      <c r="D514" s="1299" t="s">
        <v>1145</v>
      </c>
      <c r="E514" s="1299"/>
      <c r="F514" s="1299"/>
      <c r="I514" s="490"/>
    </row>
    <row r="515" spans="1:9">
      <c r="D515" s="446"/>
      <c r="E515" s="446"/>
      <c r="F515" s="446"/>
      <c r="I515" s="490"/>
    </row>
    <row r="516" spans="1:9">
      <c r="B516" s="485" t="s">
        <v>2706</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4">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8" customHeight="1">
      <c r="A527" s="483"/>
      <c r="B527" s="485" t="s">
        <v>2705</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2705</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2706</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8" customHeight="1">
      <c r="A548" s="484"/>
      <c r="B548" s="485" t="s">
        <v>2705</v>
      </c>
      <c r="C548" s="487"/>
      <c r="D548" s="1299" t="s">
        <v>884</v>
      </c>
      <c r="E548" s="1299"/>
      <c r="F548" s="1299"/>
      <c r="I548" s="490"/>
    </row>
    <row r="549" spans="1:9" ht="13.8" customHeight="1">
      <c r="A549" s="487"/>
      <c r="B549" s="487"/>
      <c r="C549" s="487"/>
      <c r="D549" s="446"/>
      <c r="I549" s="490"/>
    </row>
    <row r="550" spans="1:9" ht="14.4">
      <c r="A550" s="484"/>
      <c r="B550" s="485" t="s">
        <v>2705</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4">
      <c r="A553" s="484"/>
      <c r="B553" s="485" t="s">
        <v>2705</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4">
      <c r="A556" s="484"/>
      <c r="B556" s="485" t="s">
        <v>2705</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4">
      <c r="A559" s="484"/>
      <c r="B559" s="485" t="s">
        <v>2705</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4">
      <c r="A563" s="484"/>
      <c r="B563" s="485" t="s">
        <v>2706</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4">
      <c r="A566" s="484"/>
      <c r="B566" s="485" t="s">
        <v>2705</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4">
      <c r="A569" s="484"/>
      <c r="B569" s="485" t="s">
        <v>2705</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2705</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4">
      <c r="A578" s="484"/>
      <c r="B578" s="485" t="s">
        <v>2705</v>
      </c>
      <c r="C578" s="487"/>
      <c r="D578" s="1301" t="s">
        <v>2062</v>
      </c>
      <c r="E578" s="1301"/>
      <c r="F578" s="1301"/>
      <c r="I578" s="490"/>
    </row>
    <row r="579" spans="1:9" ht="14.4">
      <c r="A579" s="484"/>
      <c r="B579" s="484"/>
      <c r="C579" s="487"/>
      <c r="D579" s="1301"/>
      <c r="E579" s="1301"/>
      <c r="F579" s="1301"/>
      <c r="I579" s="490"/>
    </row>
    <row r="580" spans="1:9" ht="14.4">
      <c r="A580" s="484"/>
      <c r="B580" s="484"/>
      <c r="C580" s="487"/>
      <c r="D580" s="1301"/>
      <c r="E580" s="1301"/>
      <c r="F580" s="1301"/>
      <c r="I580" s="490"/>
    </row>
    <row r="581" spans="1:9" ht="14.4">
      <c r="A581" s="484"/>
      <c r="B581" s="484"/>
      <c r="C581" s="487"/>
      <c r="D581" s="1301"/>
      <c r="E581" s="1301"/>
      <c r="F581" s="1301"/>
      <c r="I581" s="490"/>
    </row>
    <row r="582" spans="1:9" ht="14.4">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2705</v>
      </c>
      <c r="D588" s="1313" t="s">
        <v>888</v>
      </c>
      <c r="E588" s="1313"/>
      <c r="F588" s="1313"/>
      <c r="I588" s="490"/>
    </row>
    <row r="589" spans="1:9">
      <c r="A589" s="490"/>
      <c r="B589" s="490"/>
      <c r="D589" s="476"/>
      <c r="I589" s="490"/>
    </row>
    <row r="590" spans="1:9">
      <c r="A590" s="490"/>
      <c r="B590" s="485" t="s">
        <v>2705</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2706</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2705</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2706</v>
      </c>
      <c r="D602" s="1313" t="s">
        <v>1069</v>
      </c>
      <c r="E602" s="1313"/>
      <c r="F602" s="1313"/>
      <c r="I602" s="490"/>
    </row>
    <row r="603" spans="1:9">
      <c r="A603" s="490"/>
      <c r="B603" s="490"/>
      <c r="D603" s="1313"/>
      <c r="E603" s="1313"/>
      <c r="F603" s="1313"/>
      <c r="I603" s="490"/>
    </row>
    <row r="604" spans="1:9" ht="14.4">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2705</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2705</v>
      </c>
      <c r="D620" s="1307" t="s">
        <v>1111</v>
      </c>
      <c r="E620" s="1307"/>
      <c r="F620" s="1307"/>
      <c r="I620" s="490"/>
    </row>
    <row r="621" spans="1:9">
      <c r="D621" s="1307"/>
      <c r="E621" s="1307"/>
      <c r="F621" s="1307"/>
      <c r="I621" s="490"/>
    </row>
    <row r="622" spans="1:9">
      <c r="I622" s="490"/>
    </row>
    <row r="623" spans="1:9">
      <c r="B623" s="485" t="s">
        <v>2705</v>
      </c>
      <c r="D623" s="1307" t="s">
        <v>1112</v>
      </c>
      <c r="E623" s="1307"/>
      <c r="F623" s="1307"/>
      <c r="I623" s="490"/>
    </row>
    <row r="624" spans="1:9">
      <c r="C624" s="500"/>
      <c r="D624" s="1307"/>
      <c r="E624" s="1307"/>
      <c r="F624" s="1307"/>
      <c r="I624" s="490"/>
    </row>
    <row r="625" spans="1:9">
      <c r="C625" s="500"/>
      <c r="I625" s="490"/>
    </row>
    <row r="626" spans="1:9">
      <c r="B626" s="485" t="s">
        <v>2705</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2705</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4">
      <c r="A640" s="484"/>
      <c r="B640" s="485" t="s">
        <v>2706</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4">
      <c r="A643" s="484"/>
      <c r="B643" s="485" t="s">
        <v>2706</v>
      </c>
      <c r="C643" s="487"/>
      <c r="D643" s="1301" t="s">
        <v>1225</v>
      </c>
      <c r="E643" s="1301"/>
      <c r="F643" s="1301"/>
      <c r="I643" s="490"/>
    </row>
    <row r="644" spans="1:9" ht="14.4">
      <c r="A644" s="484"/>
      <c r="B644" s="484"/>
      <c r="C644" s="487"/>
      <c r="D644" s="1301"/>
      <c r="E644" s="1301"/>
      <c r="F644" s="1301"/>
      <c r="I644" s="490"/>
    </row>
    <row r="645" spans="1:9" ht="14.4">
      <c r="A645" s="484"/>
      <c r="B645" s="484"/>
      <c r="C645" s="487"/>
      <c r="D645" s="1301"/>
      <c r="E645" s="1301"/>
      <c r="F645" s="1301"/>
      <c r="I645" s="490"/>
    </row>
    <row r="646" spans="1:9">
      <c r="A646" s="487"/>
      <c r="B646" s="485" t="s">
        <v>2706</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2706</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5" customHeight="1">
      <c r="A657" s="484"/>
      <c r="B657" s="484"/>
      <c r="C657" s="487"/>
      <c r="D657" s="385"/>
      <c r="E657" s="385"/>
      <c r="F657" s="385"/>
      <c r="I657" s="490"/>
    </row>
    <row r="658" spans="1:9" ht="12.75" customHeight="1">
      <c r="A658" s="483"/>
      <c r="B658" s="485" t="s">
        <v>2706</v>
      </c>
      <c r="C658" s="487"/>
      <c r="D658" s="1301" t="s">
        <v>1283</v>
      </c>
      <c r="E658" s="1301"/>
      <c r="F658" s="1301"/>
      <c r="I658" s="490"/>
    </row>
    <row r="659" spans="1:9" ht="14.4">
      <c r="A659" s="483"/>
      <c r="B659" s="484"/>
      <c r="C659" s="487"/>
      <c r="D659" s="1301"/>
      <c r="E659" s="1301"/>
      <c r="F659" s="1301"/>
      <c r="I659" s="490"/>
    </row>
    <row r="660" spans="1:9" ht="14.4">
      <c r="A660" s="483"/>
      <c r="B660" s="484"/>
      <c r="C660" s="487"/>
      <c r="D660" s="1301"/>
      <c r="E660" s="1301"/>
      <c r="F660" s="1301"/>
      <c r="I660" s="490"/>
    </row>
    <row r="661" spans="1:9" ht="14.4">
      <c r="A661" s="483"/>
      <c r="B661" s="484"/>
      <c r="C661" s="487"/>
      <c r="D661" s="1301"/>
      <c r="E661" s="1301"/>
      <c r="F661" s="1301"/>
      <c r="I661" s="490"/>
    </row>
    <row r="662" spans="1:9" ht="14.4">
      <c r="A662" s="483"/>
      <c r="B662" s="484"/>
      <c r="C662" s="487"/>
      <c r="D662" s="1301"/>
      <c r="E662" s="1301"/>
      <c r="F662" s="1301"/>
      <c r="I662" s="490"/>
    </row>
    <row r="663" spans="1:9" ht="14.25" customHeight="1">
      <c r="A663" s="483"/>
      <c r="B663" s="484"/>
      <c r="C663" s="487"/>
      <c r="F663" s="386"/>
      <c r="I663" s="490"/>
    </row>
    <row r="664" spans="1:9" ht="12.75" customHeight="1">
      <c r="A664" s="483"/>
      <c r="B664" s="485" t="s">
        <v>2706</v>
      </c>
      <c r="C664" s="487"/>
      <c r="D664" s="1301" t="s">
        <v>1282</v>
      </c>
      <c r="E664" s="1301"/>
      <c r="F664" s="1301"/>
      <c r="I664" s="490"/>
    </row>
    <row r="665" spans="1:9" ht="14.4">
      <c r="A665" s="483"/>
      <c r="B665" s="484"/>
      <c r="C665" s="487"/>
      <c r="D665" s="1301"/>
      <c r="E665" s="1301"/>
      <c r="F665" s="1301"/>
      <c r="I665" s="490"/>
    </row>
    <row r="666" spans="1:9" ht="14.4">
      <c r="A666" s="484"/>
      <c r="B666" s="484"/>
      <c r="C666" s="487"/>
      <c r="D666" s="1301"/>
      <c r="E666" s="1301"/>
      <c r="F666" s="1301"/>
      <c r="I666" s="490"/>
    </row>
    <row r="667" spans="1:9" ht="14.4">
      <c r="A667" s="484"/>
      <c r="B667" s="484"/>
      <c r="C667" s="487"/>
      <c r="D667" s="1301"/>
      <c r="E667" s="1301"/>
      <c r="F667" s="1301"/>
      <c r="I667" s="490"/>
    </row>
    <row r="668" spans="1:9" ht="14.4">
      <c r="A668" s="484"/>
      <c r="B668" s="484"/>
      <c r="C668" s="487"/>
      <c r="D668" s="445"/>
      <c r="E668" s="445"/>
      <c r="F668" s="445"/>
      <c r="I668" s="490"/>
    </row>
    <row r="669" spans="1:9" ht="12.75" customHeight="1">
      <c r="A669" s="483"/>
      <c r="B669" s="485" t="s">
        <v>2706</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4">
      <c r="A685" s="484"/>
      <c r="B685" s="485" t="s">
        <v>2705</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2706</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4">
      <c r="A694" s="484"/>
      <c r="B694" s="485" t="s">
        <v>2705</v>
      </c>
      <c r="C694" s="483"/>
      <c r="D694" s="1299" t="s">
        <v>917</v>
      </c>
      <c r="E694" s="1299"/>
      <c r="F694" s="1299"/>
      <c r="H694" s="501"/>
      <c r="I694" s="483"/>
      <c r="J694" s="501"/>
      <c r="K694" s="501"/>
    </row>
    <row r="695" spans="1:11" ht="14.4">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2706</v>
      </c>
      <c r="C698" s="483"/>
      <c r="D698" s="1299" t="s">
        <v>2468</v>
      </c>
      <c r="E698" s="1299"/>
      <c r="F698" s="1299"/>
      <c r="H698" s="501"/>
      <c r="I698" s="483"/>
      <c r="J698" s="501"/>
      <c r="K698" s="501"/>
    </row>
    <row r="699" spans="1:11" ht="14.4">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4">
      <c r="A702" s="484"/>
      <c r="B702" s="485" t="s">
        <v>2705</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2705</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4">
      <c r="A712" s="484"/>
      <c r="B712" s="485" t="s">
        <v>2706</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2706</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2706</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2706</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4">
      <c r="A738" s="484"/>
      <c r="B738" s="485" t="s">
        <v>2706</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4">
      <c r="A744" s="484"/>
      <c r="B744" s="485" t="s">
        <v>2706</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8"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4">
      <c r="A758" s="484"/>
      <c r="B758" s="485" t="s">
        <v>2705</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4">
      <c r="A765" s="503"/>
      <c r="B765" s="485" t="s">
        <v>2706</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4">
      <c r="A770" s="484"/>
      <c r="B770" s="485" t="s">
        <v>2705</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4">
      <c r="A774" s="484"/>
      <c r="B774" s="485" t="s">
        <v>2706</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2706</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2705</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2706</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4">
      <c r="A794" s="175"/>
      <c r="B794" s="485" t="s">
        <v>2706</v>
      </c>
      <c r="C794" s="989"/>
      <c r="D794" s="1294" t="s">
        <v>1758</v>
      </c>
      <c r="E794" s="1294"/>
      <c r="F794" s="1294"/>
      <c r="G794" s="988"/>
      <c r="I794" s="483"/>
    </row>
    <row r="795" spans="1:9" ht="14.4">
      <c r="A795" s="175"/>
      <c r="B795" s="175"/>
      <c r="C795" s="989"/>
      <c r="D795" s="1294"/>
      <c r="E795" s="1294"/>
      <c r="F795" s="1294"/>
      <c r="G795" s="988"/>
      <c r="I795" s="490"/>
    </row>
    <row r="796" spans="1:9" ht="14.4">
      <c r="A796" s="175"/>
      <c r="B796" s="175"/>
      <c r="C796" s="989"/>
      <c r="D796" s="1294"/>
      <c r="E796" s="1294"/>
      <c r="F796" s="1294"/>
      <c r="G796" s="988"/>
      <c r="I796" s="490"/>
    </row>
    <row r="797" spans="1:9" ht="14.4">
      <c r="A797" s="175"/>
      <c r="B797" s="175"/>
      <c r="C797" s="989"/>
      <c r="D797" s="118"/>
      <c r="E797" s="3"/>
      <c r="F797" s="3"/>
      <c r="G797" s="988"/>
      <c r="I797" s="490"/>
    </row>
    <row r="798" spans="1:9" ht="14.4">
      <c r="A798" s="175"/>
      <c r="B798" s="485" t="s">
        <v>2706</v>
      </c>
      <c r="C798" s="989"/>
      <c r="D798" s="1294" t="s">
        <v>1759</v>
      </c>
      <c r="E798" s="1294"/>
      <c r="F798" s="1294"/>
      <c r="G798" s="988"/>
      <c r="I798" s="483"/>
    </row>
    <row r="799" spans="1:9" ht="14.4">
      <c r="A799" s="175"/>
      <c r="B799" s="175"/>
      <c r="C799" s="989"/>
      <c r="D799" s="1294"/>
      <c r="E799" s="1294"/>
      <c r="F799" s="1294"/>
      <c r="G799" s="988"/>
      <c r="I799" s="490"/>
    </row>
    <row r="800" spans="1:9" ht="14.4">
      <c r="A800" s="175"/>
      <c r="B800" s="175"/>
      <c r="C800" s="989"/>
      <c r="D800" s="1294"/>
      <c r="E800" s="1294"/>
      <c r="F800" s="1294"/>
      <c r="G800" s="988"/>
      <c r="I800" s="490"/>
    </row>
    <row r="801" spans="1:9" ht="14.4">
      <c r="A801" s="175"/>
      <c r="B801" s="175"/>
      <c r="C801" s="989"/>
      <c r="D801" s="1294"/>
      <c r="E801" s="1294"/>
      <c r="F801" s="1294"/>
      <c r="G801" s="988"/>
      <c r="I801" s="490"/>
    </row>
    <row r="802" spans="1:9" ht="14.4">
      <c r="A802" s="175"/>
      <c r="B802" s="175"/>
      <c r="C802" s="989"/>
      <c r="D802" s="1294"/>
      <c r="E802" s="1294"/>
      <c r="F802" s="1294"/>
      <c r="G802" s="988"/>
      <c r="I802" s="490"/>
    </row>
    <row r="803" spans="1:9" ht="14.4">
      <c r="A803" s="175"/>
      <c r="B803" s="175"/>
      <c r="C803" s="989"/>
      <c r="D803" s="1294"/>
      <c r="E803" s="1294"/>
      <c r="F803" s="1294"/>
      <c r="G803" s="988"/>
      <c r="I803" s="490"/>
    </row>
    <row r="804" spans="1:9" ht="14.4">
      <c r="A804" s="175"/>
      <c r="B804" s="175"/>
      <c r="C804" s="989"/>
      <c r="D804" s="1294" t="s">
        <v>1802</v>
      </c>
      <c r="E804" s="1294"/>
      <c r="F804" s="1294"/>
      <c r="G804" s="988"/>
      <c r="I804" s="490"/>
    </row>
    <row r="805" spans="1:9" ht="14.4">
      <c r="A805" s="175"/>
      <c r="B805" s="175"/>
      <c r="C805" s="989"/>
      <c r="D805" s="1294"/>
      <c r="E805" s="1294"/>
      <c r="F805" s="1294"/>
      <c r="G805" s="988"/>
      <c r="I805" s="490"/>
    </row>
    <row r="806" spans="1:9" ht="14.4">
      <c r="A806" s="175"/>
      <c r="B806" s="175"/>
      <c r="C806" s="989"/>
      <c r="D806" s="1294"/>
      <c r="E806" s="1294"/>
      <c r="F806" s="1294"/>
      <c r="G806" s="988"/>
      <c r="I806" s="490"/>
    </row>
    <row r="807" spans="1:9" ht="14.4">
      <c r="A807" s="175"/>
      <c r="B807" s="354"/>
      <c r="C807" s="989"/>
      <c r="D807" s="990"/>
      <c r="E807" s="990"/>
      <c r="F807" s="990"/>
      <c r="G807" s="988"/>
      <c r="I807" s="490"/>
    </row>
    <row r="808" spans="1:9" ht="14.4">
      <c r="A808" s="175"/>
      <c r="B808" s="485" t="s">
        <v>2706</v>
      </c>
      <c r="C808" s="989"/>
      <c r="D808" s="1294" t="s">
        <v>1760</v>
      </c>
      <c r="E808" s="1294"/>
      <c r="F808" s="1294"/>
      <c r="G808" s="988"/>
      <c r="I808" s="483"/>
    </row>
    <row r="809" spans="1:9" ht="14.4">
      <c r="A809" s="175"/>
      <c r="B809" s="175"/>
      <c r="C809" s="989"/>
      <c r="D809" s="1294"/>
      <c r="E809" s="1294"/>
      <c r="F809" s="1294"/>
      <c r="G809" s="988"/>
      <c r="I809" s="490"/>
    </row>
    <row r="810" spans="1:9" ht="14.4">
      <c r="A810" s="175"/>
      <c r="B810" s="175"/>
      <c r="C810" s="989"/>
      <c r="D810" s="1294"/>
      <c r="E810" s="1294"/>
      <c r="F810" s="1294"/>
      <c r="G810" s="988"/>
      <c r="I810" s="490"/>
    </row>
    <row r="811" spans="1:9" ht="14.4">
      <c r="A811" s="175"/>
      <c r="B811" s="175"/>
      <c r="C811" s="989"/>
      <c r="D811" s="1294"/>
      <c r="E811" s="1294"/>
      <c r="F811" s="1294"/>
      <c r="G811" s="988"/>
      <c r="I811" s="490"/>
    </row>
    <row r="812" spans="1:9" ht="14.4">
      <c r="A812" s="175"/>
      <c r="B812" s="175"/>
      <c r="C812" s="989"/>
      <c r="D812" s="1294"/>
      <c r="E812" s="1294"/>
      <c r="F812" s="1294"/>
      <c r="G812" s="988"/>
      <c r="I812" s="490"/>
    </row>
    <row r="813" spans="1:9" ht="14.4">
      <c r="A813" s="175"/>
      <c r="B813" s="175"/>
      <c r="C813" s="989"/>
      <c r="D813" s="1294"/>
      <c r="E813" s="1294"/>
      <c r="F813" s="1294"/>
      <c r="G813" s="988"/>
      <c r="I813" s="490"/>
    </row>
    <row r="814" spans="1:9" ht="14.4">
      <c r="A814" s="175"/>
      <c r="B814" s="175"/>
      <c r="C814" s="989"/>
      <c r="D814" s="982"/>
      <c r="E814" s="982"/>
      <c r="F814" s="982"/>
      <c r="G814" s="988"/>
      <c r="I814" s="490"/>
    </row>
    <row r="815" spans="1:9" ht="14.4">
      <c r="A815" s="175"/>
      <c r="B815" s="485" t="s">
        <v>2706</v>
      </c>
      <c r="C815" s="989"/>
      <c r="D815" s="1294" t="s">
        <v>1761</v>
      </c>
      <c r="E815" s="1294"/>
      <c r="F815" s="1294"/>
      <c r="G815" s="988"/>
      <c r="I815" s="483"/>
    </row>
    <row r="816" spans="1:9" ht="14.4">
      <c r="A816" s="175"/>
      <c r="B816" s="175"/>
      <c r="C816" s="989"/>
      <c r="D816" s="1294"/>
      <c r="E816" s="1294"/>
      <c r="F816" s="1294"/>
      <c r="G816" s="988"/>
      <c r="I816" s="490"/>
    </row>
    <row r="817" spans="1:9" ht="14.4">
      <c r="A817" s="175"/>
      <c r="B817" s="175"/>
      <c r="C817" s="989"/>
      <c r="D817" s="1294"/>
      <c r="E817" s="1294"/>
      <c r="F817" s="1294"/>
      <c r="G817" s="988"/>
      <c r="I817" s="490"/>
    </row>
    <row r="818" spans="1:9" ht="14.4">
      <c r="A818" s="175"/>
      <c r="B818" s="175"/>
      <c r="C818" s="989"/>
      <c r="D818" s="1294"/>
      <c r="E818" s="1294"/>
      <c r="F818" s="1294"/>
      <c r="G818" s="988"/>
      <c r="I818" s="490"/>
    </row>
    <row r="819" spans="1:9" ht="14.4">
      <c r="A819" s="175"/>
      <c r="B819" s="175"/>
      <c r="C819" s="989"/>
      <c r="D819" s="1294"/>
      <c r="E819" s="1294"/>
      <c r="F819" s="1294"/>
      <c r="G819" s="988"/>
      <c r="I819" s="490"/>
    </row>
    <row r="820" spans="1:9" ht="14.4">
      <c r="A820" s="175"/>
      <c r="B820" s="175"/>
      <c r="C820" s="989"/>
      <c r="D820" s="1294"/>
      <c r="E820" s="1294"/>
      <c r="F820" s="1294"/>
      <c r="G820" s="988"/>
      <c r="I820" s="490"/>
    </row>
    <row r="821" spans="1:9" ht="14.4">
      <c r="A821" s="175"/>
      <c r="B821" s="175"/>
      <c r="C821" s="989"/>
      <c r="D821" s="982"/>
      <c r="E821" s="982"/>
      <c r="F821" s="982"/>
      <c r="G821" s="988"/>
      <c r="I821" s="490"/>
    </row>
    <row r="822" spans="1:9" ht="14.4">
      <c r="A822" s="175"/>
      <c r="B822" s="485" t="s">
        <v>2706</v>
      </c>
      <c r="C822" s="989"/>
      <c r="D822" s="1289" t="s">
        <v>1762</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2705</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2705</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2706</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2706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2706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2705</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2705</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2706</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2706</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2705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2705</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2705</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2706</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2706</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2706</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2705</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2705</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2705</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2706</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2706</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2706</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2706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2705</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2706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2706</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2706</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2705</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2706</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2705</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2706</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2705</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2705</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2706</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2705</v>
      </c>
      <c r="C1062" s="402"/>
      <c r="D1062" s="402" t="s">
        <v>1812</v>
      </c>
      <c r="I1062" s="490"/>
    </row>
    <row r="1063" spans="1:9">
      <c r="A1063" s="402"/>
      <c r="B1063" s="402"/>
      <c r="C1063" s="402"/>
      <c r="I1063" s="490"/>
    </row>
    <row r="1064" spans="1:9">
      <c r="A1064" s="402"/>
      <c r="B1064" s="485" t="s">
        <v>2705</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2705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2706</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2706</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2706</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2706</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2706</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2706</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2706</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2705</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21" zoomScale="80" zoomScaleNormal="80" workbookViewId="0">
      <selection activeCell="A1065" sqref="A1065:B1065"/>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21875" hidden="1" customWidth="1"/>
    <col min="59" max="59" width="11.21875" hidden="1" customWidth="1"/>
    <col min="60" max="60" width="3.77734375" hidden="1" customWidth="1"/>
    <col min="61" max="61" width="8.21875" hidden="1" customWidth="1"/>
    <col min="62" max="16384" width="3.77734375" hidden="1"/>
  </cols>
  <sheetData>
    <row r="1" spans="1:58" ht="13.05" customHeight="1">
      <c r="J1" s="100"/>
      <c r="AS1" s="1031">
        <v>4</v>
      </c>
      <c r="BD1" s="3" t="s">
        <v>2496</v>
      </c>
      <c r="BE1" s="3"/>
      <c r="BF1" s="3"/>
    </row>
    <row r="2" spans="1:58" ht="13.05" customHeight="1">
      <c r="BD2" s="3" t="s">
        <v>2497</v>
      </c>
      <c r="BE2" s="3" t="s">
        <v>2498</v>
      </c>
      <c r="BF2" s="3" t="s">
        <v>2499</v>
      </c>
    </row>
    <row r="3" spans="1:58" ht="13.05" customHeight="1">
      <c r="BD3" s="3" t="s">
        <v>2594</v>
      </c>
      <c r="BE3" t="str">
        <f>AC220</f>
        <v>Northern (Butte, El Dorado, Placer, Sacramento, San Joaquin, Shasta, Solano, Sutter, Yuba, and Yolo Counties)</v>
      </c>
    </row>
    <row r="4" spans="1:58" ht="13.05" customHeight="1">
      <c r="BD4" s="3" t="s">
        <v>2506</v>
      </c>
      <c r="BE4" s="1246"/>
    </row>
    <row r="5" spans="1:58" ht="13.05" customHeight="1">
      <c r="BD5" s="3" t="s">
        <v>2507</v>
      </c>
      <c r="BE5">
        <f>SUMIF($AC$718:$AC$752,"&lt;=20%",$G$718:G$752)</f>
        <v>0</v>
      </c>
      <c r="BF5" s="3" t="s">
        <v>2512</v>
      </c>
    </row>
    <row r="6" spans="1:58" ht="13.05" customHeight="1">
      <c r="BD6" s="3" t="s">
        <v>2508</v>
      </c>
      <c r="BE6" s="1249">
        <f>SUMIF($AC$718:$AC$752,"&lt;=25%",$G$718:G$752)-SUM($BE$5:BE5)</f>
        <v>0</v>
      </c>
    </row>
    <row r="7" spans="1:58" ht="13.05" customHeight="1">
      <c r="BD7" s="1247" t="s">
        <v>2500</v>
      </c>
      <c r="BE7" s="1249">
        <f>SUMIF($AC$718:$AC$752,"&lt;=30%",$G$718:G$752)-SUM($BE$5:BE6)</f>
        <v>6</v>
      </c>
    </row>
    <row r="8" spans="1:58" ht="26.25" customHeight="1">
      <c r="A8" s="1407" t="s">
        <v>100</v>
      </c>
      <c r="B8" s="1407"/>
      <c r="C8" s="140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1407"/>
      <c r="AM8" s="1407"/>
      <c r="AN8" s="1407"/>
      <c r="AO8" s="1407"/>
      <c r="AP8" s="1407"/>
      <c r="AQ8" s="1407"/>
      <c r="AR8" s="1407"/>
      <c r="AS8" s="1407"/>
      <c r="AT8" s="1407"/>
      <c r="AU8" s="898"/>
      <c r="AV8" s="898"/>
      <c r="AW8" s="898"/>
      <c r="AX8" s="898"/>
      <c r="AY8" s="898"/>
      <c r="BD8" s="3" t="s">
        <v>2509</v>
      </c>
      <c r="BE8" s="1249">
        <f>SUMIF($AC$718:$AC$752,"&lt;=35%",$G$718:G$752)-SUM($BE$5:BE7)</f>
        <v>0</v>
      </c>
    </row>
    <row r="9" spans="1:58" ht="13.05" customHeight="1">
      <c r="A9" s="1369" t="s">
        <v>2076</v>
      </c>
      <c r="B9" s="1369"/>
      <c r="C9" s="1369"/>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369"/>
      <c r="AG9" s="1369"/>
      <c r="AH9" s="1369"/>
      <c r="AI9" s="1369"/>
      <c r="AJ9" s="1369"/>
      <c r="AK9" s="1369"/>
      <c r="AL9" s="1369"/>
      <c r="AM9" s="1369"/>
      <c r="AN9" s="1369"/>
      <c r="AO9" s="1369"/>
      <c r="AP9" s="1369"/>
      <c r="AQ9" s="1369"/>
      <c r="AR9" s="1369"/>
      <c r="AS9" s="1369"/>
      <c r="AT9" s="1369"/>
      <c r="AU9" s="13"/>
      <c r="AV9" s="13"/>
      <c r="AW9" s="13"/>
      <c r="AX9" s="13"/>
      <c r="AY9" s="13"/>
      <c r="BD9" s="1248" t="s">
        <v>2501</v>
      </c>
      <c r="BE9" s="1249">
        <f>SUMIF($AC$718:$AC$752,"&lt;=40%",$G$718:G$752)-SUM($BE$5:BE8)</f>
        <v>0</v>
      </c>
    </row>
    <row r="10" spans="1:58" ht="13.05" customHeight="1">
      <c r="A10" s="1369" t="s">
        <v>2458</v>
      </c>
      <c r="B10" s="1369"/>
      <c r="C10" s="1369"/>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
      <c r="AV10" s="13"/>
      <c r="AW10" s="13"/>
      <c r="AX10" s="13"/>
      <c r="AY10" s="13"/>
      <c r="BD10" s="3" t="s">
        <v>2510</v>
      </c>
      <c r="BE10" s="1249">
        <f>SUMIF($AC$718:$AC$752,"&lt;=45%",$G$718:G$752)-SUM($BE$5:BE9)</f>
        <v>0</v>
      </c>
    </row>
    <row r="11" spans="1:58" ht="13.05" customHeight="1">
      <c r="A11" s="1369" t="s">
        <v>2604</v>
      </c>
      <c r="B11" s="1369"/>
      <c r="C11" s="1369"/>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J11" s="1369"/>
      <c r="AK11" s="1369"/>
      <c r="AL11" s="1369"/>
      <c r="AM11" s="1369"/>
      <c r="AN11" s="1369"/>
      <c r="AO11" s="1369"/>
      <c r="AP11" s="1369"/>
      <c r="AQ11" s="1369"/>
      <c r="AR11" s="1369"/>
      <c r="AS11" s="1369"/>
      <c r="AT11" s="1369"/>
      <c r="AU11" s="13"/>
      <c r="AV11" s="13"/>
      <c r="AW11" s="13"/>
      <c r="AX11" s="13"/>
      <c r="AY11" s="13"/>
      <c r="BD11" s="1247" t="s">
        <v>2502</v>
      </c>
      <c r="BE11" s="1249">
        <f>SUMIF($AC$718:$AC$752,"&lt;=50%",$G$718:G$752)-SUM($BE$5:BE10)</f>
        <v>28</v>
      </c>
    </row>
    <row r="12" spans="1:58" ht="13.05" customHeight="1">
      <c r="A12" s="1408" t="s">
        <v>2610</v>
      </c>
      <c r="B12" s="1408"/>
      <c r="C12" s="1408"/>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6"/>
      <c r="AV12" s="6"/>
      <c r="AW12" s="6"/>
      <c r="AX12" s="6"/>
      <c r="AY12" s="6"/>
      <c r="BD12" s="3" t="s">
        <v>2511</v>
      </c>
      <c r="BE12" s="1249">
        <f>SUMIF($AC$718:$AC$752,"&lt;=55%",$G$718:G$752)-SUM($BE$5:BE11)</f>
        <v>0</v>
      </c>
    </row>
    <row r="13" spans="1:58" ht="13.0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11</v>
      </c>
    </row>
    <row r="14" spans="1:58" ht="13.0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05" customHeight="1">
      <c r="A16" s="57" t="s">
        <v>2078</v>
      </c>
      <c r="C16" s="4"/>
      <c r="D16" s="4"/>
      <c r="E16" s="4"/>
      <c r="F16" s="4"/>
      <c r="G16" s="4"/>
      <c r="H16" s="1481" t="s">
        <v>2612</v>
      </c>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c r="BD16" s="1248" t="s">
        <v>656</v>
      </c>
      <c r="BE16" s="1249" t="str">
        <f>Application!H18</f>
        <v>The Junction</v>
      </c>
    </row>
    <row r="17" spans="1:58" ht="13.05" customHeight="1">
      <c r="BD17" s="1247" t="s">
        <v>2518</v>
      </c>
      <c r="BE17" s="1249">
        <f>Application!AA934</f>
        <v>0</v>
      </c>
    </row>
    <row r="18" spans="1:58" ht="13.05" customHeight="1">
      <c r="A18" s="57" t="s">
        <v>101</v>
      </c>
      <c r="C18" s="4"/>
      <c r="D18" s="4"/>
      <c r="E18" s="4"/>
      <c r="F18" s="4"/>
      <c r="G18" s="4"/>
      <c r="H18" s="1361" t="s">
        <v>2613</v>
      </c>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BD18" s="1248" t="s">
        <v>2519</v>
      </c>
      <c r="BE18" s="1249">
        <f>'CalHFA Addendum'!N11</f>
        <v>0</v>
      </c>
    </row>
    <row r="19" spans="1:58" ht="13.05" customHeight="1">
      <c r="BD19" s="1247" t="s">
        <v>2520</v>
      </c>
      <c r="BE19" s="1249">
        <f>Application!M26</f>
        <v>1739588</v>
      </c>
    </row>
    <row r="20" spans="1:58" ht="13.05" customHeight="1">
      <c r="A20" s="1409" t="s">
        <v>873</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900"/>
      <c r="AV20" s="900"/>
      <c r="AW20" s="900"/>
      <c r="AX20" s="900"/>
      <c r="AY20" s="900"/>
      <c r="BD20" s="1248" t="s">
        <v>2521</v>
      </c>
      <c r="BE20" s="1249">
        <f>Application!M27</f>
        <v>12351719</v>
      </c>
    </row>
    <row r="21" spans="1:58" ht="13.05" customHeight="1">
      <c r="A21" s="1483" t="s">
        <v>1009</v>
      </c>
      <c r="B21" s="1483"/>
      <c r="C21" s="1483"/>
      <c r="D21" s="1483"/>
      <c r="E21" s="1483"/>
      <c r="F21" s="1483"/>
      <c r="G21" s="1483"/>
      <c r="H21" s="1483"/>
      <c r="I21" s="1483"/>
      <c r="J21" s="1483"/>
      <c r="K21" s="1483"/>
      <c r="L21" s="1483"/>
      <c r="M21" s="1483"/>
      <c r="N21" s="1483"/>
      <c r="O21" s="1483"/>
      <c r="P21" s="1483"/>
      <c r="Q21" s="1483"/>
      <c r="R21" s="1483"/>
      <c r="S21" s="1483"/>
      <c r="T21" s="1483"/>
      <c r="U21" s="1483"/>
      <c r="V21" s="1483"/>
      <c r="W21" s="1483"/>
      <c r="X21" s="1483"/>
      <c r="Y21" s="1483"/>
      <c r="Z21" s="1483"/>
      <c r="AA21" s="1483"/>
      <c r="AB21" s="1483"/>
      <c r="AC21" s="1483"/>
      <c r="AD21" s="1483"/>
      <c r="AE21" s="1483"/>
      <c r="AF21" s="1483"/>
      <c r="AG21" s="1483"/>
      <c r="AH21" s="1483"/>
      <c r="AI21" s="1483"/>
      <c r="AJ21" s="1483"/>
      <c r="AK21" s="1483"/>
      <c r="AL21" s="1483"/>
      <c r="AM21" s="901"/>
      <c r="AN21" s="901"/>
      <c r="AO21" s="901"/>
      <c r="AP21" s="901"/>
      <c r="AQ21" s="901"/>
      <c r="AR21" s="901"/>
      <c r="AS21" s="901"/>
      <c r="AT21" s="901"/>
      <c r="AU21" s="901"/>
      <c r="AV21" s="901"/>
      <c r="AW21" s="901"/>
      <c r="AX21" s="901"/>
      <c r="AY21" s="901"/>
      <c r="BD21" s="1247" t="s">
        <v>2522</v>
      </c>
      <c r="BE21" s="1249">
        <f>Application!AM554</f>
        <v>10500000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36575967</v>
      </c>
      <c r="BF22" s="3" t="s">
        <v>2595</v>
      </c>
    </row>
    <row r="23" spans="1:58" ht="13.0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1600000</v>
      </c>
    </row>
    <row r="24" spans="1:58" ht="13.0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47050</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05" customHeight="1">
      <c r="A26" s="4"/>
      <c r="C26" s="4"/>
      <c r="D26" s="4"/>
      <c r="E26" s="4"/>
      <c r="F26" s="4"/>
      <c r="G26" s="4"/>
      <c r="H26" s="4"/>
      <c r="I26" s="4"/>
      <c r="J26" s="4"/>
      <c r="K26" s="4"/>
      <c r="L26" s="4"/>
      <c r="M26" s="1414">
        <f>'Basis &amp; Credits'!AB56</f>
        <v>1739588</v>
      </c>
      <c r="N26" s="1414"/>
      <c r="O26" s="1414"/>
      <c r="P26" s="1414"/>
      <c r="Q26" s="1414"/>
      <c r="R26" s="4" t="s">
        <v>759</v>
      </c>
      <c r="S26" s="4"/>
      <c r="T26" s="4"/>
      <c r="U26" s="4"/>
      <c r="V26" s="4"/>
      <c r="W26" s="4"/>
      <c r="X26" s="4"/>
      <c r="Y26" s="4"/>
      <c r="Z26" s="4"/>
      <c r="AF26" s="4"/>
      <c r="AG26" s="4"/>
      <c r="AH26" s="4"/>
      <c r="AI26" s="4"/>
      <c r="AJ26" s="4"/>
      <c r="AK26" s="4"/>
      <c r="BD26" s="1248" t="s">
        <v>1639</v>
      </c>
      <c r="BE26" s="1249" t="b">
        <f>Application!M356="Yes"</f>
        <v>0</v>
      </c>
    </row>
    <row r="27" spans="1:58" ht="13.05" customHeight="1">
      <c r="A27" s="4"/>
      <c r="C27" s="4"/>
      <c r="D27" s="4"/>
      <c r="E27" s="4"/>
      <c r="F27" s="4"/>
      <c r="G27" s="4"/>
      <c r="H27" s="4"/>
      <c r="I27" s="4"/>
      <c r="J27" s="4"/>
      <c r="K27" s="4"/>
      <c r="L27" s="4"/>
      <c r="M27" s="1396">
        <f>'Basis &amp; Credits'!AB78</f>
        <v>12351719</v>
      </c>
      <c r="N27" s="1396"/>
      <c r="O27" s="1396"/>
      <c r="P27" s="1396"/>
      <c r="Q27" s="1396"/>
      <c r="R27" s="3" t="s">
        <v>1267</v>
      </c>
      <c r="S27" s="4"/>
      <c r="T27" s="4"/>
      <c r="U27" s="4"/>
      <c r="V27" s="4"/>
      <c r="W27" s="4"/>
      <c r="X27" s="4"/>
      <c r="Y27" s="4"/>
      <c r="Z27" s="4"/>
      <c r="AF27" s="4"/>
      <c r="AG27" s="4"/>
      <c r="AH27" s="4"/>
      <c r="AI27" s="4"/>
      <c r="AJ27" s="4"/>
      <c r="AK27" s="4"/>
      <c r="BD27" s="1247" t="s">
        <v>2098</v>
      </c>
      <c r="BE27" s="1249"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05" customHeight="1">
      <c r="A29" s="1410" t="s">
        <v>2147</v>
      </c>
      <c r="B29" s="1410"/>
      <c r="C29" s="1410"/>
      <c r="D29" s="1410"/>
      <c r="E29" s="1410"/>
      <c r="F29" s="1410"/>
      <c r="G29" s="1410"/>
      <c r="H29" s="1410"/>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c r="AL29" s="1410"/>
      <c r="AM29" s="1410"/>
      <c r="AN29" s="1410"/>
      <c r="AO29" s="1410"/>
      <c r="AP29" s="1410"/>
      <c r="AQ29" s="1410"/>
      <c r="AR29" s="1410"/>
      <c r="AS29" s="1410"/>
      <c r="AT29" s="1410"/>
      <c r="BD29" s="1247" t="s">
        <v>2527</v>
      </c>
      <c r="BE29" s="1249" t="b">
        <f>Application!M358="Yes"</f>
        <v>0</v>
      </c>
    </row>
    <row r="30" spans="1:58" ht="13.05" customHeight="1">
      <c r="A30" s="1410"/>
      <c r="B30" s="1410"/>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Z30" s="20"/>
      <c r="BD30" s="1248" t="s">
        <v>28</v>
      </c>
      <c r="BE30" s="1249" t="b">
        <f>Application!AJ355="Yes"</f>
        <v>0</v>
      </c>
    </row>
    <row r="31" spans="1:58" ht="13.05" customHeight="1">
      <c r="A31" s="1410"/>
      <c r="B31" s="1410"/>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20"/>
      <c r="AV31" s="20"/>
      <c r="AW31" s="20"/>
      <c r="AX31" s="20"/>
      <c r="AY31" s="20"/>
      <c r="AZ31" s="20"/>
      <c r="BD31" s="1247" t="s">
        <v>2528</v>
      </c>
      <c r="BE31" s="1249" t="str">
        <f>Application!D211</f>
        <v>Large Family</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05" customHeight="1">
      <c r="A33" s="519" t="s">
        <v>1278</v>
      </c>
      <c r="C33" s="519"/>
      <c r="D33" s="519"/>
      <c r="E33" s="519"/>
      <c r="F33" s="519"/>
      <c r="G33" s="519"/>
      <c r="H33" s="519"/>
      <c r="I33" s="519"/>
      <c r="J33" s="519"/>
      <c r="K33" s="519"/>
      <c r="L33" s="519"/>
      <c r="M33" s="519"/>
      <c r="N33" s="519"/>
      <c r="O33" s="1356" t="s">
        <v>545</v>
      </c>
      <c r="P33" s="1356"/>
      <c r="Q33" s="1411" t="s">
        <v>2148</v>
      </c>
      <c r="R33" s="1411"/>
      <c r="S33" s="1411"/>
      <c r="T33" s="1411"/>
      <c r="U33" s="1411"/>
      <c r="V33" s="1411"/>
      <c r="W33" s="1411"/>
      <c r="X33" s="1411"/>
      <c r="Y33" s="1411"/>
      <c r="Z33" s="1411"/>
      <c r="AA33" s="1411"/>
      <c r="AB33" s="1411"/>
      <c r="AC33" s="1411"/>
      <c r="AD33" s="1411"/>
      <c r="AE33" s="1411"/>
      <c r="AF33" s="1411"/>
      <c r="AG33" s="1411"/>
      <c r="AH33" s="1411"/>
      <c r="AI33" s="1411"/>
      <c r="AJ33" s="1411"/>
      <c r="AK33" s="1411"/>
      <c r="AL33" s="1411"/>
      <c r="AM33" s="1411"/>
      <c r="AN33" s="1411"/>
      <c r="AO33" s="1411"/>
      <c r="AP33" s="1411"/>
      <c r="AQ33" s="1411"/>
      <c r="AR33" s="1411"/>
      <c r="AS33" s="1411"/>
      <c r="AT33" s="1411"/>
      <c r="AU33" s="20"/>
      <c r="AV33" s="20"/>
      <c r="AW33" s="20"/>
      <c r="AX33" s="20"/>
      <c r="AY33" s="20"/>
      <c r="BD33" s="1247" t="s">
        <v>2596</v>
      </c>
      <c r="BE33" s="1249" t="str">
        <f>Application!D220</f>
        <v>Central Valley Region: Fresno, Kern, Kings, Madera, Merced, San Joaquin, Stanislaus, and Tulare Counties</v>
      </c>
    </row>
    <row r="34" spans="1:57" ht="13.05" customHeight="1">
      <c r="A34" s="1410" t="s">
        <v>2149</v>
      </c>
      <c r="B34" s="1410"/>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20"/>
      <c r="AV34" s="20"/>
      <c r="AW34" s="20"/>
      <c r="AX34" s="20"/>
      <c r="AY34" s="20"/>
      <c r="AZ34" s="20"/>
      <c r="BD34" s="1248" t="s">
        <v>2530</v>
      </c>
      <c r="BE34" s="1249" t="str">
        <f>Application!I185</f>
        <v>601 North Central Ave,</v>
      </c>
    </row>
    <row r="35" spans="1:57" ht="13.05" customHeight="1">
      <c r="A35" s="1410"/>
      <c r="B35" s="1410"/>
      <c r="C35" s="1410"/>
      <c r="D35" s="1410"/>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c r="AK35" s="1410"/>
      <c r="AL35" s="1410"/>
      <c r="AM35" s="1410"/>
      <c r="AN35" s="1410"/>
      <c r="AO35" s="1410"/>
      <c r="AP35" s="1410"/>
      <c r="AQ35" s="1410"/>
      <c r="AR35" s="1410"/>
      <c r="AS35" s="1410"/>
      <c r="AT35" s="1410"/>
      <c r="AU35" s="20"/>
      <c r="AV35" s="20"/>
      <c r="AW35" s="20"/>
      <c r="AX35" s="20"/>
      <c r="AY35" s="20"/>
      <c r="AZ35" s="20"/>
      <c r="BD35" s="1247" t="s">
        <v>2531</v>
      </c>
      <c r="BE35" s="1249" t="str">
        <f>IF(Application!E187="","",Application!E187)</f>
        <v/>
      </c>
    </row>
    <row r="36" spans="1:57" ht="13.05" customHeight="1">
      <c r="A36" s="1410"/>
      <c r="B36" s="1410"/>
      <c r="C36" s="1410"/>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c r="AT36" s="1410"/>
      <c r="AU36" s="20"/>
      <c r="AV36" s="20"/>
      <c r="AW36" s="20"/>
      <c r="AX36" s="20"/>
      <c r="AY36" s="20"/>
      <c r="AZ36" s="20"/>
      <c r="BD36" s="1248" t="s">
        <v>2532</v>
      </c>
      <c r="BE36" s="1249" t="str">
        <f>Application!I189</f>
        <v>Tracy</v>
      </c>
    </row>
    <row r="37" spans="1:57" ht="13.05" customHeight="1">
      <c r="A37" s="1410"/>
      <c r="B37" s="1410"/>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c r="AK37" s="1410"/>
      <c r="AL37" s="1410"/>
      <c r="AM37" s="1410"/>
      <c r="AN37" s="1410"/>
      <c r="AO37" s="1410"/>
      <c r="AP37" s="1410"/>
      <c r="AQ37" s="1410"/>
      <c r="AR37" s="1410"/>
      <c r="AS37" s="1410"/>
      <c r="AT37" s="1410"/>
      <c r="AZ37" s="20"/>
      <c r="BD37" s="1247" t="s">
        <v>2533</v>
      </c>
      <c r="BE37" s="1249" t="str">
        <f>Application!T189</f>
        <v>San Joaquin</v>
      </c>
    </row>
    <row r="38" spans="1:57" ht="13.05" customHeight="1">
      <c r="A38" s="3"/>
      <c r="AZ38" s="20"/>
      <c r="BD38" s="1248" t="s">
        <v>2534</v>
      </c>
      <c r="BE38" s="1249">
        <f>Application!I190</f>
        <v>95376</v>
      </c>
    </row>
    <row r="39" spans="1:57" ht="13.0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46</v>
      </c>
    </row>
    <row r="40" spans="1:57" ht="13.0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45</v>
      </c>
    </row>
    <row r="41" spans="1:57" ht="13.0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0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0.49777777777777771</v>
      </c>
    </row>
    <row r="43" spans="1:57" ht="13.0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0.49778193492846662</v>
      </c>
    </row>
    <row r="44" spans="1:57" ht="13.0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795129.71739130432</v>
      </c>
    </row>
    <row r="45" spans="1:57" ht="13.0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0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1</v>
      </c>
    </row>
    <row r="47" spans="1:57" ht="13.0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3.0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The Junction AGP LLC</v>
      </c>
    </row>
    <row r="49" spans="1:57" ht="13.0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Paul Salib</v>
      </c>
    </row>
    <row r="50" spans="1:57" ht="13.0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CRP Affordable Housing and Community Development LLC</v>
      </c>
    </row>
    <row r="51" spans="1:57" ht="13.0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Community Revitalization and Development Corporation</v>
      </c>
    </row>
    <row r="52" spans="1:57" ht="13.0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David Rutledge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3.0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0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0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0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CRP Affordable Housing and Community Development LLC</v>
      </c>
    </row>
    <row r="58" spans="1:57" ht="13.0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4429 Morena Blvd STE A</v>
      </c>
    </row>
    <row r="59" spans="1:57" ht="13.0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Diego, CA 92117</v>
      </c>
    </row>
    <row r="60" spans="1:57" ht="13.0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Paul Salib</v>
      </c>
    </row>
    <row r="61" spans="1:57" ht="13.0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psalib@crpaffordable.com</v>
      </c>
    </row>
    <row r="62" spans="1:57" ht="13.0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0.87991193316808169</v>
      </c>
    </row>
    <row r="63" spans="1:57" ht="13.0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05" customHeight="1">
      <c r="A65" s="1412" t="s">
        <v>2156</v>
      </c>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2"/>
      <c r="AN65" s="1412"/>
      <c r="AO65" s="1412"/>
      <c r="AP65" s="1412"/>
      <c r="AQ65" s="1412"/>
      <c r="AR65" s="1412"/>
      <c r="AS65" s="1412"/>
      <c r="AT65" s="1412"/>
      <c r="AU65" s="21"/>
      <c r="AV65" s="21"/>
      <c r="AW65" s="21"/>
      <c r="AX65" s="21"/>
      <c r="AY65" s="21"/>
      <c r="AZ65" s="20"/>
      <c r="BD65" s="1247" t="s">
        <v>2593</v>
      </c>
      <c r="BE65" s="1249" t="str">
        <f>Z205</f>
        <v>$500M (Farmworker Housing)</v>
      </c>
    </row>
    <row r="66" spans="1:57" ht="13.05" customHeight="1">
      <c r="A66" s="1412"/>
      <c r="B66" s="1412"/>
      <c r="C66" s="1412"/>
      <c r="D66" s="1412"/>
      <c r="E66" s="1412"/>
      <c r="F66" s="1412"/>
      <c r="G66" s="1412"/>
      <c r="H66" s="1412"/>
      <c r="I66" s="1412"/>
      <c r="J66" s="1412"/>
      <c r="K66" s="1412"/>
      <c r="L66" s="1412"/>
      <c r="M66" s="1412"/>
      <c r="N66" s="1412"/>
      <c r="O66" s="1412"/>
      <c r="P66" s="1412"/>
      <c r="Q66" s="1412"/>
      <c r="R66" s="1412"/>
      <c r="S66" s="1412"/>
      <c r="T66" s="1412"/>
      <c r="U66" s="1412"/>
      <c r="V66" s="1412"/>
      <c r="W66" s="1412"/>
      <c r="X66" s="1412"/>
      <c r="Y66" s="1412"/>
      <c r="Z66" s="1412"/>
      <c r="AA66" s="1412"/>
      <c r="AB66" s="1412"/>
      <c r="AC66" s="1412"/>
      <c r="AD66" s="1412"/>
      <c r="AE66" s="1412"/>
      <c r="AF66" s="1412"/>
      <c r="AG66" s="1412"/>
      <c r="AH66" s="1412"/>
      <c r="AI66" s="1412"/>
      <c r="AJ66" s="1412"/>
      <c r="AK66" s="1412"/>
      <c r="AL66" s="1412"/>
      <c r="AM66" s="1412"/>
      <c r="AN66" s="1412"/>
      <c r="AO66" s="1412"/>
      <c r="AP66" s="1412"/>
      <c r="AQ66" s="1412"/>
      <c r="AR66" s="1412"/>
      <c r="AS66" s="1412"/>
      <c r="AT66" s="1412"/>
      <c r="AU66" s="21"/>
      <c r="AV66" s="21"/>
      <c r="AW66" s="21"/>
      <c r="AX66" s="21"/>
      <c r="AY66" s="21"/>
      <c r="AZ66" s="20"/>
      <c r="BD66" s="1248" t="s">
        <v>2558</v>
      </c>
      <c r="BE66" s="1249" t="b">
        <f>Application!Z205="State Farmworker Credit"</f>
        <v>0</v>
      </c>
    </row>
    <row r="67" spans="1:57" ht="13.05" customHeight="1">
      <c r="A67" s="1412"/>
      <c r="B67" s="1412"/>
      <c r="C67" s="1412"/>
      <c r="D67" s="1412"/>
      <c r="E67" s="1412"/>
      <c r="F67" s="1412"/>
      <c r="G67" s="1412"/>
      <c r="H67" s="1412"/>
      <c r="I67" s="1412"/>
      <c r="J67" s="1412"/>
      <c r="K67" s="1412"/>
      <c r="L67" s="1412"/>
      <c r="M67" s="1412"/>
      <c r="N67" s="1412"/>
      <c r="O67" s="1412"/>
      <c r="P67" s="1412"/>
      <c r="Q67" s="1412"/>
      <c r="R67" s="1412"/>
      <c r="S67" s="1412"/>
      <c r="T67" s="1412"/>
      <c r="U67" s="1412"/>
      <c r="V67" s="1412"/>
      <c r="W67" s="1412"/>
      <c r="X67" s="1412"/>
      <c r="Y67" s="1412"/>
      <c r="Z67" s="1412"/>
      <c r="AA67" s="1412"/>
      <c r="AB67" s="1412"/>
      <c r="AC67" s="1412"/>
      <c r="AD67" s="1412"/>
      <c r="AE67" s="1412"/>
      <c r="AF67" s="1412"/>
      <c r="AG67" s="1412"/>
      <c r="AH67" s="1412"/>
      <c r="AI67" s="1412"/>
      <c r="AJ67" s="1412"/>
      <c r="AK67" s="1412"/>
      <c r="AL67" s="1412"/>
      <c r="AM67" s="1412"/>
      <c r="AN67" s="1412"/>
      <c r="AO67" s="1412"/>
      <c r="AP67" s="1412"/>
      <c r="AQ67" s="1412"/>
      <c r="AR67" s="1412"/>
      <c r="AS67" s="1412"/>
      <c r="AT67" s="1412"/>
      <c r="AZ67" s="20"/>
      <c r="BD67" s="1247" t="s">
        <v>2559</v>
      </c>
      <c r="BE67" s="1249" t="b">
        <f>Application!O33="Yes"</f>
        <v>1</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05" customHeight="1">
      <c r="A69" s="1412" t="s">
        <v>2157</v>
      </c>
      <c r="B69" s="1412"/>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c r="AG69" s="1412"/>
      <c r="AH69" s="1412"/>
      <c r="AI69" s="1412"/>
      <c r="AJ69" s="1412"/>
      <c r="AK69" s="1412"/>
      <c r="AL69" s="1412"/>
      <c r="AM69" s="1412"/>
      <c r="AN69" s="1412"/>
      <c r="AO69" s="1412"/>
      <c r="AP69" s="1412"/>
      <c r="AQ69" s="1412"/>
      <c r="AR69" s="1412"/>
      <c r="AS69" s="1412"/>
      <c r="AT69" s="1412"/>
      <c r="AZ69" s="20"/>
      <c r="BD69" s="1247" t="s">
        <v>2561</v>
      </c>
      <c r="BE69" s="1249" t="str">
        <f>Application!W700</f>
        <v>California Housing Finance Authority</v>
      </c>
    </row>
    <row r="70" spans="1:57" ht="13.05" customHeight="1">
      <c r="A70" s="1412"/>
      <c r="B70" s="1412"/>
      <c r="C70" s="1412"/>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c r="AJ70" s="1412"/>
      <c r="AK70" s="1412"/>
      <c r="AL70" s="1412"/>
      <c r="AM70" s="1412"/>
      <c r="AN70" s="1412"/>
      <c r="AO70" s="1412"/>
      <c r="AP70" s="1412"/>
      <c r="AQ70" s="1412"/>
      <c r="AR70" s="1412"/>
      <c r="AS70" s="1412"/>
      <c r="AT70" s="1412"/>
      <c r="AU70" s="20"/>
      <c r="AV70" s="20"/>
      <c r="AW70" s="20"/>
      <c r="AX70" s="20"/>
      <c r="AY70" s="20"/>
      <c r="AZ70" s="20"/>
      <c r="BD70" s="1248" t="s">
        <v>2562</v>
      </c>
      <c r="BE70" s="1249">
        <f ca="1">'Points System'!AF821</f>
        <v>119</v>
      </c>
    </row>
    <row r="71" spans="1:57" ht="13.0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05" customHeight="1">
      <c r="A72" s="1410" t="s">
        <v>2158</v>
      </c>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c r="AJ72" s="1410"/>
      <c r="AK72" s="1410"/>
      <c r="AL72" s="1410"/>
      <c r="AM72" s="1410"/>
      <c r="AN72" s="1410"/>
      <c r="AO72" s="1410"/>
      <c r="AP72" s="1410"/>
      <c r="AQ72" s="1410"/>
      <c r="AR72" s="1410"/>
      <c r="AS72" s="1410"/>
      <c r="AT72" s="1410"/>
      <c r="AU72" s="20"/>
      <c r="AV72" s="20"/>
      <c r="AW72" s="20"/>
      <c r="AX72" s="20"/>
      <c r="AY72" s="20"/>
      <c r="AZ72" s="20"/>
      <c r="BD72" s="1248" t="s">
        <v>2564</v>
      </c>
      <c r="BE72" s="1249">
        <f>'Points System'!AF805</f>
        <v>10</v>
      </c>
    </row>
    <row r="73" spans="1:57" ht="13.05" customHeight="1">
      <c r="A73" s="1410"/>
      <c r="B73" s="1410"/>
      <c r="C73" s="1410"/>
      <c r="D73" s="1410"/>
      <c r="E73" s="1410"/>
      <c r="F73" s="1410"/>
      <c r="G73" s="1410"/>
      <c r="H73" s="1410"/>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c r="AJ73" s="1410"/>
      <c r="AK73" s="1410"/>
      <c r="AL73" s="1410"/>
      <c r="AM73" s="1410"/>
      <c r="AN73" s="1410"/>
      <c r="AO73" s="1410"/>
      <c r="AP73" s="1410"/>
      <c r="AQ73" s="1410"/>
      <c r="AR73" s="1410"/>
      <c r="AS73" s="1410"/>
      <c r="AT73" s="1410"/>
      <c r="AU73" s="20"/>
      <c r="AV73" s="20"/>
      <c r="AW73" s="20"/>
      <c r="AX73" s="20"/>
      <c r="AY73" s="20"/>
      <c r="AZ73" s="20"/>
      <c r="BD73" s="1247" t="s">
        <v>2565</v>
      </c>
      <c r="BE73" s="1249">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05" customHeight="1">
      <c r="A75" s="1792" t="s">
        <v>2159</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247" t="s">
        <v>2567</v>
      </c>
      <c r="BE75" s="1249">
        <f>'Points System'!AF808</f>
        <v>10</v>
      </c>
    </row>
    <row r="76" spans="1:57" ht="13.0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248" t="s">
        <v>2568</v>
      </c>
      <c r="BE76" s="1249">
        <f>'Points System'!AF811</f>
        <v>10</v>
      </c>
    </row>
    <row r="77" spans="1:57" ht="13.0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247" t="s">
        <v>2569</v>
      </c>
      <c r="BE77" s="1249">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05" customHeight="1">
      <c r="A79" s="1412" t="s">
        <v>2160</v>
      </c>
      <c r="B79" s="1412"/>
      <c r="C79" s="1412"/>
      <c r="D79" s="1412"/>
      <c r="E79" s="1412"/>
      <c r="F79" s="1412"/>
      <c r="G79" s="1412"/>
      <c r="H79" s="1412"/>
      <c r="I79" s="1412"/>
      <c r="J79" s="1412"/>
      <c r="K79" s="1412"/>
      <c r="L79" s="1412"/>
      <c r="M79" s="1412"/>
      <c r="N79" s="1412"/>
      <c r="O79" s="1412"/>
      <c r="P79" s="1412"/>
      <c r="Q79" s="1412"/>
      <c r="R79" s="1412"/>
      <c r="S79" s="1412"/>
      <c r="T79" s="1412"/>
      <c r="U79" s="1412"/>
      <c r="V79" s="1412"/>
      <c r="W79" s="1412"/>
      <c r="X79" s="1412"/>
      <c r="Y79" s="1412"/>
      <c r="Z79" s="1412"/>
      <c r="AA79" s="1412"/>
      <c r="AB79" s="1412"/>
      <c r="AC79" s="1412"/>
      <c r="AD79" s="1412"/>
      <c r="AE79" s="1412"/>
      <c r="AF79" s="1412"/>
      <c r="AG79" s="1412"/>
      <c r="AH79" s="1412"/>
      <c r="AI79" s="1412"/>
      <c r="AJ79" s="1412"/>
      <c r="AK79" s="1412"/>
      <c r="AL79" s="1412"/>
      <c r="AM79" s="1412"/>
      <c r="AN79" s="1412"/>
      <c r="AO79" s="1412"/>
      <c r="AP79" s="1412"/>
      <c r="AQ79" s="1412"/>
      <c r="AR79" s="1412"/>
      <c r="AS79" s="1412"/>
      <c r="AT79" s="1412"/>
      <c r="AU79" s="20"/>
      <c r="AV79" s="20"/>
      <c r="AW79" s="20"/>
      <c r="AX79" s="20"/>
      <c r="AY79" s="20"/>
      <c r="AZ79" s="20"/>
      <c r="BD79" s="1247" t="s">
        <v>2571</v>
      </c>
      <c r="BE79" s="1249">
        <f>'Points System'!AF815</f>
        <v>9</v>
      </c>
    </row>
    <row r="80" spans="1:57" ht="13.05" customHeight="1">
      <c r="A80" s="1412"/>
      <c r="B80" s="1412"/>
      <c r="C80" s="1412"/>
      <c r="D80" s="1412"/>
      <c r="E80" s="1412"/>
      <c r="F80" s="1412"/>
      <c r="G80" s="1412"/>
      <c r="H80" s="1412"/>
      <c r="I80" s="1412"/>
      <c r="J80" s="1412"/>
      <c r="K80" s="1412"/>
      <c r="L80" s="1412"/>
      <c r="M80" s="1412"/>
      <c r="N80" s="1412"/>
      <c r="O80" s="1412"/>
      <c r="P80" s="1412"/>
      <c r="Q80" s="1412"/>
      <c r="R80" s="1412"/>
      <c r="S80" s="1412"/>
      <c r="T80" s="1412"/>
      <c r="U80" s="1412"/>
      <c r="V80" s="1412"/>
      <c r="W80" s="1412"/>
      <c r="X80" s="1412"/>
      <c r="Y80" s="1412"/>
      <c r="Z80" s="1412"/>
      <c r="AA80" s="1412"/>
      <c r="AB80" s="1412"/>
      <c r="AC80" s="1412"/>
      <c r="AD80" s="1412"/>
      <c r="AE80" s="1412"/>
      <c r="AF80" s="1412"/>
      <c r="AG80" s="1412"/>
      <c r="AH80" s="1412"/>
      <c r="AI80" s="1412"/>
      <c r="AJ80" s="1412"/>
      <c r="AK80" s="1412"/>
      <c r="AL80" s="1412"/>
      <c r="AM80" s="1412"/>
      <c r="AN80" s="1412"/>
      <c r="AO80" s="1412"/>
      <c r="AP80" s="1412"/>
      <c r="AQ80" s="1412"/>
      <c r="AR80" s="1412"/>
      <c r="AS80" s="1412"/>
      <c r="AT80" s="1412"/>
      <c r="AU80" s="20"/>
      <c r="AV80" s="20"/>
      <c r="AW80" s="20"/>
      <c r="AX80" s="20"/>
      <c r="AY80" s="20"/>
      <c r="AZ80" s="20"/>
      <c r="BD80" s="1248" t="s">
        <v>2572</v>
      </c>
      <c r="BE80" s="1249">
        <f>'Points System'!AF817</f>
        <v>10</v>
      </c>
    </row>
    <row r="81" spans="1:57" ht="13.05" customHeight="1">
      <c r="A81" s="1412"/>
      <c r="B81" s="1412"/>
      <c r="C81" s="1412"/>
      <c r="D81" s="1412"/>
      <c r="E81" s="1412"/>
      <c r="F81" s="1412"/>
      <c r="G81" s="1412"/>
      <c r="H81" s="1412"/>
      <c r="I81" s="1412"/>
      <c r="J81" s="1412"/>
      <c r="K81" s="1412"/>
      <c r="L81" s="1412"/>
      <c r="M81" s="1412"/>
      <c r="N81" s="1412"/>
      <c r="O81" s="1412"/>
      <c r="P81" s="1412"/>
      <c r="Q81" s="1412"/>
      <c r="R81" s="1412"/>
      <c r="S81" s="1412"/>
      <c r="T81" s="1412"/>
      <c r="U81" s="1412"/>
      <c r="V81" s="1412"/>
      <c r="W81" s="1412"/>
      <c r="X81" s="1412"/>
      <c r="Y81" s="1412"/>
      <c r="Z81" s="1412"/>
      <c r="AA81" s="1412"/>
      <c r="AB81" s="1412"/>
      <c r="AC81" s="1412"/>
      <c r="AD81" s="1412"/>
      <c r="AE81" s="1412"/>
      <c r="AF81" s="1412"/>
      <c r="AG81" s="1412"/>
      <c r="AH81" s="1412"/>
      <c r="AI81" s="1412"/>
      <c r="AJ81" s="1412"/>
      <c r="AK81" s="1412"/>
      <c r="AL81" s="1412"/>
      <c r="AM81" s="1412"/>
      <c r="AN81" s="1412"/>
      <c r="AO81" s="1412"/>
      <c r="AP81" s="1412"/>
      <c r="AQ81" s="1412"/>
      <c r="AR81" s="1412"/>
      <c r="AS81" s="1412"/>
      <c r="AT81" s="1412"/>
      <c r="AU81" s="20"/>
      <c r="AV81" s="20"/>
      <c r="AW81" s="20"/>
      <c r="AX81" s="20"/>
      <c r="AY81" s="20"/>
      <c r="AZ81" s="20"/>
      <c r="BD81" s="1247" t="s">
        <v>2573</v>
      </c>
      <c r="BE81" s="1249">
        <f>'Points System'!AF818</f>
        <v>12</v>
      </c>
    </row>
    <row r="82" spans="1:57" ht="13.0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0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0.81640591524888351</v>
      </c>
    </row>
    <row r="84" spans="1:57" ht="13.0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Tracy</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Ms. Ellen K. Gripp</v>
      </c>
    </row>
    <row r="86" spans="1:57" ht="13.0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Community Development Agency Manager</v>
      </c>
    </row>
    <row r="87" spans="1:57" ht="13.0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324 11th Street, Suite E 2</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Tracy</v>
      </c>
    </row>
    <row r="89" spans="1:57" ht="13.05" customHeight="1">
      <c r="A89" s="1791" t="s">
        <v>2163</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247" t="s">
        <v>2581</v>
      </c>
      <c r="BE89" s="1249">
        <f>Application!O158</f>
        <v>95376</v>
      </c>
    </row>
    <row r="90" spans="1:57" ht="13.0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248" t="s">
        <v>2582</v>
      </c>
      <c r="BE90" s="1249" t="str">
        <f>Application!H16</f>
        <v>CRP The Junction LP</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 42nd Street, Suite 1903</v>
      </c>
    </row>
    <row r="92" spans="1:57" ht="13.05" customHeight="1">
      <c r="A92" s="1792" t="s">
        <v>2164</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248" t="s">
        <v>2584</v>
      </c>
      <c r="BE92" s="1249" t="str">
        <f>Application!M234</f>
        <v>New York</v>
      </c>
    </row>
    <row r="93" spans="1:57" ht="13.0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247" t="s">
        <v>2585</v>
      </c>
      <c r="BE93" s="1249" t="str">
        <f>Application!W234</f>
        <v>NY</v>
      </c>
    </row>
    <row r="94" spans="1:57" ht="13.0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248" t="s">
        <v>2586</v>
      </c>
      <c r="BE94" s="1249">
        <f>Application!AC234</f>
        <v>10168</v>
      </c>
    </row>
    <row r="95" spans="1:57" ht="13.0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247" t="s">
        <v>2587</v>
      </c>
      <c r="BE95" s="1249" t="str">
        <f>Application!M235</f>
        <v>Paul Salib</v>
      </c>
    </row>
    <row r="96" spans="1:57" ht="13.0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248" t="s">
        <v>2588</v>
      </c>
      <c r="BE96" s="1249" t="str">
        <f>Application!M237</f>
        <v>psalib@crpaffordable.com</v>
      </c>
    </row>
    <row r="97" spans="1:57" ht="13.0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247" t="s">
        <v>2589</v>
      </c>
      <c r="BE97" s="1249" t="str">
        <f>Application!M248</f>
        <v>psalib@crpaffordable.com</v>
      </c>
    </row>
    <row r="98" spans="1:57" ht="13.0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248" t="s">
        <v>2590</v>
      </c>
      <c r="BE98" s="1249" t="str">
        <f>Application!M256</f>
        <v>david@crdc-housing.org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05" customHeight="1">
      <c r="A100" s="1793" t="s">
        <v>2165</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248" t="s">
        <v>2592</v>
      </c>
      <c r="BE100" s="1249" t="str">
        <f>Application!L279</f>
        <v>ssterneck@crpaffordable.com</v>
      </c>
    </row>
    <row r="101" spans="1:57" ht="13.05"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2597</v>
      </c>
      <c r="BE101">
        <f>'Sources and Uses Budget'!C105</f>
        <v>36575967</v>
      </c>
    </row>
    <row r="102" spans="1:57" ht="13.05"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2598</v>
      </c>
      <c r="BE102" t="b">
        <f>T197="Yes"</f>
        <v>0</v>
      </c>
    </row>
    <row r="103" spans="1:57" ht="13.05"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2175</v>
      </c>
      <c r="BE103" s="1249" t="b">
        <f>T199="Yes"</f>
        <v>0</v>
      </c>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93" t="s">
        <v>2166</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row>
    <row r="106" spans="1:57" ht="13.05"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row>
    <row r="107" spans="1:57" ht="13.0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89"/>
      <c r="C113" s="3" t="s">
        <v>181</v>
      </c>
      <c r="G113" s="1785"/>
      <c r="H113" s="1785"/>
      <c r="I113" s="3" t="s">
        <v>182</v>
      </c>
      <c r="L113" s="1785"/>
      <c r="M113" s="1785"/>
      <c r="N113" s="1785"/>
      <c r="O113" s="1785"/>
      <c r="P113" s="1786" t="s">
        <v>2239</v>
      </c>
      <c r="Q113" s="1786"/>
      <c r="R113" s="1786"/>
      <c r="S113" s="17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0"/>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85"/>
      <c r="Z117" s="1785"/>
      <c r="AA117" s="1785"/>
      <c r="AB117" s="1785"/>
      <c r="AC117" s="1785"/>
      <c r="AD117" s="1785"/>
      <c r="AE117" s="1785"/>
      <c r="AF117" s="1785"/>
      <c r="AG117" s="1785"/>
      <c r="AH117" s="1785"/>
      <c r="AI117" s="1785"/>
      <c r="AJ117" s="1785"/>
      <c r="AK117" s="1785"/>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85"/>
      <c r="Z120" s="1785"/>
      <c r="AA120" s="1785"/>
      <c r="AB120" s="1785"/>
      <c r="AC120" s="1785"/>
      <c r="AD120" s="1785"/>
      <c r="AE120" s="1785"/>
      <c r="AF120" s="1785"/>
      <c r="AG120" s="1785"/>
      <c r="AH120" s="1785"/>
      <c r="AI120" s="1785"/>
      <c r="AJ120" s="1785"/>
      <c r="AK120" s="1785"/>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45" t="s">
        <v>469</v>
      </c>
      <c r="CV122" s="1646"/>
      <c r="CW122" s="14"/>
      <c r="CX122" s="14" t="s">
        <v>634</v>
      </c>
      <c r="CY122" s="14"/>
      <c r="CZ122" s="14"/>
      <c r="DA122" s="14"/>
      <c r="DB122" s="14"/>
      <c r="DC122" s="14"/>
      <c r="DD122" s="14"/>
      <c r="DE122" s="14"/>
      <c r="DF122" s="14"/>
      <c r="DG122" s="1642" t="str">
        <f>T189</f>
        <v>San Joaquin</v>
      </c>
      <c r="DH122" s="1643"/>
      <c r="DI122" s="1643"/>
      <c r="DJ122" s="1643"/>
      <c r="DK122" s="1643"/>
      <c r="DL122" s="1643"/>
      <c r="DM122" s="1644"/>
    </row>
    <row r="123" spans="1:117" ht="13.05" customHeight="1">
      <c r="A123" s="3"/>
      <c r="B123" s="3"/>
      <c r="T123" s="3"/>
      <c r="U123" s="3"/>
      <c r="V123" s="3"/>
      <c r="W123" s="3"/>
      <c r="X123" s="3"/>
      <c r="Y123" s="1785"/>
      <c r="Z123" s="1785"/>
      <c r="AA123" s="1785"/>
      <c r="AB123" s="1785"/>
      <c r="AC123" s="1785"/>
      <c r="AD123" s="1785"/>
      <c r="AE123" s="1785"/>
      <c r="AF123" s="1785"/>
      <c r="AG123" s="1785"/>
      <c r="AH123" s="1785"/>
      <c r="AI123" s="1785"/>
      <c r="AJ123" s="1785"/>
      <c r="AK123" s="1785"/>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4"/>
      <c r="AL128" s="354"/>
      <c r="AM128" s="354"/>
      <c r="AN128" s="354"/>
      <c r="AO128" s="354"/>
      <c r="AP128" s="354"/>
      <c r="AQ128" s="354"/>
      <c r="AR128" s="354"/>
      <c r="AS128" s="354"/>
      <c r="AT128" s="354"/>
      <c r="AU128" s="354"/>
      <c r="AV128" s="354"/>
      <c r="AW128" s="354"/>
      <c r="AX128" s="354"/>
      <c r="AY128" s="354"/>
    </row>
    <row r="129" spans="1:51" ht="13.0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0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0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0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0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0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0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0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0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59"/>
      <c r="G150" s="1359"/>
      <c r="H150" s="1359"/>
      <c r="I150" s="1359"/>
      <c r="J150" s="1359"/>
      <c r="K150" s="1359"/>
      <c r="L150" s="1359"/>
      <c r="M150" s="1359"/>
      <c r="N150" s="1359"/>
      <c r="O150" s="1359"/>
      <c r="P150" s="1359"/>
      <c r="Q150" s="1359"/>
      <c r="R150" s="1359"/>
      <c r="S150" s="1359"/>
      <c r="T150" s="13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05" customHeight="1">
      <c r="BM152">
        <v>4</v>
      </c>
      <c r="BN152" s="3" t="s">
        <v>2464</v>
      </c>
    </row>
    <row r="153" spans="1:108" ht="13.05" customHeight="1">
      <c r="D153" t="s">
        <v>645</v>
      </c>
      <c r="O153" s="1413" t="s">
        <v>2614</v>
      </c>
      <c r="P153" s="1413"/>
      <c r="Q153" s="1413"/>
      <c r="R153" s="1413"/>
      <c r="S153" s="1413"/>
      <c r="T153" s="1413"/>
      <c r="U153" s="1413"/>
      <c r="V153" s="1413"/>
      <c r="W153" s="1413"/>
      <c r="X153" s="1413"/>
      <c r="Y153" s="1413"/>
      <c r="Z153" s="1413"/>
      <c r="AA153" s="1413"/>
      <c r="AB153" s="1413"/>
      <c r="AC153" s="1413"/>
      <c r="AD153" s="1413"/>
      <c r="AE153" s="1413"/>
      <c r="AF153" s="1413"/>
      <c r="AG153" s="1413"/>
      <c r="AH153" s="1413"/>
      <c r="BM153">
        <v>5</v>
      </c>
      <c r="BN153" s="3" t="s">
        <v>2466</v>
      </c>
      <c r="CR153" s="31" t="s">
        <v>2599</v>
      </c>
      <c r="CS153" s="32"/>
      <c r="CT153" s="32"/>
      <c r="CU153" s="32"/>
      <c r="CV153" s="32"/>
      <c r="CW153" s="32"/>
      <c r="CX153" s="14"/>
      <c r="CY153" s="31" t="s">
        <v>2600</v>
      </c>
      <c r="CZ153" s="14"/>
      <c r="DA153" s="14"/>
      <c r="DB153" s="14"/>
      <c r="DC153" s="14"/>
      <c r="DD153" s="14"/>
    </row>
    <row r="154" spans="1:108" ht="13.05" customHeight="1">
      <c r="D154" s="303" t="s">
        <v>440</v>
      </c>
      <c r="O154" s="1494" t="s">
        <v>2615</v>
      </c>
      <c r="P154" s="1494"/>
      <c r="Q154" s="1494"/>
      <c r="R154" s="1494"/>
      <c r="S154" s="1494"/>
      <c r="T154" s="1494"/>
      <c r="U154" s="1494"/>
      <c r="V154" s="1494"/>
      <c r="W154" s="1494"/>
      <c r="X154" s="1494"/>
      <c r="Y154" s="1494"/>
      <c r="Z154" s="1494"/>
      <c r="AA154" s="1494"/>
      <c r="AB154" s="1494"/>
      <c r="AC154" s="1494"/>
      <c r="AD154" s="1494"/>
      <c r="AE154" s="1494"/>
      <c r="AF154" s="1494"/>
      <c r="AG154" s="1494"/>
      <c r="AH154" s="1494"/>
      <c r="BM154">
        <v>6</v>
      </c>
      <c r="BN154" s="3" t="s">
        <v>2467</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04" t="s">
        <v>2616</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591</v>
      </c>
      <c r="CR155" s="31"/>
      <c r="CS155" s="32"/>
      <c r="CT155" s="32"/>
      <c r="CU155" s="32"/>
      <c r="CV155" s="32"/>
      <c r="CW155" s="32"/>
      <c r="CX155" s="14"/>
      <c r="CY155" s="31"/>
      <c r="CZ155" s="14"/>
      <c r="DA155" s="14"/>
      <c r="DB155" s="14"/>
      <c r="DC155" s="14"/>
      <c r="DD155" s="14"/>
    </row>
    <row r="156" spans="1:108" ht="13.05" customHeight="1">
      <c r="D156" t="s">
        <v>313</v>
      </c>
      <c r="O156" s="1362" t="s">
        <v>2617</v>
      </c>
      <c r="P156" s="1362"/>
      <c r="Q156" s="1362"/>
      <c r="R156" s="1362"/>
      <c r="S156" s="1362"/>
      <c r="T156" s="1362"/>
      <c r="U156" s="1362"/>
      <c r="V156" s="1362"/>
      <c r="W156" s="1362"/>
      <c r="X156" s="1362"/>
      <c r="Y156" s="1362"/>
      <c r="Z156" s="1362"/>
      <c r="AA156" s="1362"/>
      <c r="AB156" s="1362"/>
      <c r="AC156" s="1362"/>
      <c r="AD156" s="1362"/>
      <c r="AE156" s="1362"/>
      <c r="AF156" s="1362"/>
      <c r="AG156" s="1362"/>
      <c r="AH156" s="136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314</v>
      </c>
      <c r="O157" s="1413" t="s">
        <v>2618</v>
      </c>
      <c r="P157" s="1413"/>
      <c r="Q157" s="1413"/>
      <c r="R157" s="1413"/>
      <c r="S157" s="1413"/>
      <c r="T157" s="1413"/>
      <c r="U157" s="1413"/>
      <c r="V157" s="1413"/>
      <c r="W157" s="1413"/>
      <c r="X157" s="1413"/>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05" customHeight="1">
      <c r="D158" t="s">
        <v>315</v>
      </c>
      <c r="O158" s="1796">
        <v>95376</v>
      </c>
      <c r="P158" s="1796"/>
      <c r="Q158" s="1796"/>
      <c r="R158" s="179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316</v>
      </c>
      <c r="O159" s="1778" t="s">
        <v>2619</v>
      </c>
      <c r="P159" s="1778"/>
      <c r="Q159" s="1778"/>
      <c r="R159" s="1778"/>
      <c r="S159" s="1778"/>
      <c r="T159" s="1778"/>
      <c r="V159" s="97" t="s">
        <v>271</v>
      </c>
      <c r="W159" s="1797"/>
      <c r="X159" s="179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05" customHeight="1">
      <c r="D160" t="s">
        <v>317</v>
      </c>
      <c r="O160" s="1778" t="s">
        <v>2620</v>
      </c>
      <c r="P160" s="1778"/>
      <c r="Q160" s="1778"/>
      <c r="R160" s="1778"/>
      <c r="S160" s="1778"/>
      <c r="T160" s="177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05" customHeight="1">
      <c r="D161" t="s">
        <v>318</v>
      </c>
      <c r="O161" s="1782" t="s">
        <v>2621</v>
      </c>
      <c r="P161" s="1782"/>
      <c r="Q161" s="1782"/>
      <c r="R161" s="1782"/>
      <c r="S161" s="1782"/>
      <c r="T161" s="1782"/>
      <c r="U161" s="1782"/>
      <c r="V161" s="1782"/>
      <c r="W161" s="1782"/>
      <c r="X161" s="1782"/>
      <c r="Y161" s="1782"/>
      <c r="Z161" s="1782"/>
      <c r="AA161" s="1782"/>
      <c r="AB161" s="1782"/>
      <c r="AC161" s="1782"/>
      <c r="AD161" s="1782"/>
      <c r="AE161" s="1782"/>
      <c r="AF161" s="1782"/>
      <c r="AG161" s="1782"/>
      <c r="AH161" s="1782"/>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0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05" customHeight="1">
      <c r="C164" s="27"/>
      <c r="D164" s="1801" t="s">
        <v>2216</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05" customHeight="1">
      <c r="A169" s="1484" t="s">
        <v>539</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0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0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0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05"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05" customHeight="1">
      <c r="C174" s="24"/>
      <c r="D174" s="3" t="s">
        <v>1202</v>
      </c>
      <c r="J174" s="1362" t="s">
        <v>2101</v>
      </c>
      <c r="K174" s="1362"/>
      <c r="L174" s="1362"/>
      <c r="M174" s="1362"/>
      <c r="N174" s="1362"/>
      <c r="O174" s="1362"/>
      <c r="P174" s="1362"/>
      <c r="Q174" s="1362"/>
      <c r="R174" s="1362"/>
      <c r="S174" s="1362"/>
      <c r="T174" s="1362"/>
      <c r="U174" s="1362"/>
      <c r="V174" s="1362"/>
      <c r="W174" s="1362"/>
      <c r="X174" s="1362"/>
      <c r="Y174" s="1362"/>
      <c r="Z174" s="1362"/>
      <c r="AA174" s="1362"/>
      <c r="AB174" s="1362"/>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05" customHeight="1">
      <c r="C175" s="8"/>
      <c r="D175" s="3" t="s">
        <v>322</v>
      </c>
      <c r="O175" s="27"/>
      <c r="U175" s="1356" t="s">
        <v>669</v>
      </c>
      <c r="V175" s="1356"/>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05" customHeight="1">
      <c r="C176" s="8"/>
      <c r="D176" s="26"/>
      <c r="E176" t="s">
        <v>304</v>
      </c>
      <c r="O176" s="27"/>
      <c r="P176" t="s">
        <v>2079</v>
      </c>
      <c r="T176" s="27" t="s">
        <v>305</v>
      </c>
      <c r="U176" s="1420"/>
      <c r="V176" s="1420"/>
      <c r="W176" s="1" t="s">
        <v>306</v>
      </c>
      <c r="X176" s="1781"/>
      <c r="Y176" s="1781"/>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05" customHeight="1">
      <c r="C177" s="24"/>
      <c r="D177" t="s">
        <v>249</v>
      </c>
      <c r="R177" s="1356" t="s">
        <v>669</v>
      </c>
      <c r="S177" s="1356"/>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05" customHeight="1">
      <c r="C178" s="24"/>
      <c r="D178" s="3" t="s">
        <v>1203</v>
      </c>
      <c r="AA178" t="s">
        <v>2079</v>
      </c>
      <c r="AE178" s="27" t="s">
        <v>305</v>
      </c>
      <c r="AF178" s="1780"/>
      <c r="AG178" s="1780"/>
      <c r="AH178" s="1" t="s">
        <v>306</v>
      </c>
      <c r="AI178" s="1758"/>
      <c r="AJ178" s="1758"/>
      <c r="AK178" s="1758"/>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0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05" customHeight="1">
      <c r="C180" s="24"/>
      <c r="D180" t="s">
        <v>2080</v>
      </c>
      <c r="X180" s="1356" t="s">
        <v>669</v>
      </c>
      <c r="Y180" s="1356"/>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0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0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0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05" customHeight="1">
      <c r="C184" s="21"/>
      <c r="D184" t="s">
        <v>578</v>
      </c>
      <c r="I184" s="1416" t="str">
        <f>H18</f>
        <v>The Junction</v>
      </c>
      <c r="J184" s="1416"/>
      <c r="K184" s="1416"/>
      <c r="L184" s="1416"/>
      <c r="M184" s="1416"/>
      <c r="N184" s="1416"/>
      <c r="O184" s="1416"/>
      <c r="P184" s="1416"/>
      <c r="Q184" s="1416"/>
      <c r="R184" s="1416"/>
      <c r="S184" s="1416"/>
      <c r="T184" s="1416"/>
      <c r="U184" s="1416"/>
      <c r="V184" s="1416"/>
      <c r="W184" s="1416"/>
      <c r="X184" s="1416"/>
      <c r="Y184" s="1416"/>
      <c r="Z184" s="1416"/>
      <c r="AA184" s="1416"/>
      <c r="AB184" s="1416"/>
      <c r="AC184" s="1416"/>
      <c r="AD184" s="1416"/>
      <c r="AE184" s="141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05" customHeight="1">
      <c r="C185" s="21"/>
      <c r="D185" t="s">
        <v>579</v>
      </c>
      <c r="I185" s="1511" t="s">
        <v>2758</v>
      </c>
      <c r="J185" s="1511"/>
      <c r="K185" s="1511"/>
      <c r="L185" s="1511"/>
      <c r="M185" s="1511"/>
      <c r="N185" s="1511"/>
      <c r="O185" s="1511"/>
      <c r="P185" s="1511"/>
      <c r="Q185" s="1511"/>
      <c r="R185" s="1511"/>
      <c r="S185" s="1511"/>
      <c r="T185" s="1511"/>
      <c r="U185" s="1511"/>
      <c r="V185" s="1511"/>
      <c r="W185" s="1511"/>
      <c r="X185" s="1511"/>
      <c r="Y185" s="1511"/>
      <c r="Z185" s="1511"/>
      <c r="AA185" s="1511"/>
      <c r="AB185" s="1511"/>
      <c r="AC185" s="1511"/>
      <c r="AD185" s="1511"/>
      <c r="AE185" s="151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0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05" customHeight="1">
      <c r="C187" s="21"/>
      <c r="E187" s="1790"/>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05" customHeight="1">
      <c r="C188" s="21"/>
      <c r="E188" s="1754"/>
      <c r="F188" s="1754"/>
      <c r="G188" s="1754"/>
      <c r="H188" s="1754"/>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05" customHeight="1">
      <c r="C189" s="21"/>
      <c r="D189" t="s">
        <v>580</v>
      </c>
      <c r="I189" s="1361" t="s">
        <v>2618</v>
      </c>
      <c r="J189" s="1362"/>
      <c r="K189" s="1362"/>
      <c r="L189" s="1362"/>
      <c r="M189" s="1362"/>
      <c r="N189" s="1362"/>
      <c r="O189" s="1362"/>
      <c r="P189" s="1362"/>
      <c r="Q189" t="s">
        <v>582</v>
      </c>
      <c r="T189" s="1362" t="s">
        <v>731</v>
      </c>
      <c r="U189" s="1362"/>
      <c r="V189" s="1362"/>
      <c r="W189" s="1362"/>
      <c r="X189" s="1362"/>
      <c r="Y189" s="1362"/>
      <c r="Z189" s="1362"/>
      <c r="AA189" s="1362"/>
      <c r="AB189" s="1362"/>
      <c r="AC189" s="1362"/>
      <c r="AD189" s="1362"/>
      <c r="AE189" s="136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05" customHeight="1">
      <c r="C190" s="21"/>
      <c r="D190" t="s">
        <v>583</v>
      </c>
      <c r="I190" s="1511">
        <v>95376</v>
      </c>
      <c r="J190" s="1511"/>
      <c r="K190" s="1511"/>
      <c r="L190" s="1511"/>
      <c r="M190" s="1511"/>
      <c r="N190" s="1511"/>
      <c r="O190" t="s">
        <v>585</v>
      </c>
      <c r="T190" s="1794">
        <v>54.06</v>
      </c>
      <c r="U190" s="1794"/>
      <c r="V190" s="1794"/>
      <c r="W190" s="1794"/>
      <c r="X190" s="1794"/>
      <c r="Y190" s="1794"/>
      <c r="Z190" s="1794"/>
      <c r="AA190" s="1794"/>
      <c r="AB190" s="1794"/>
      <c r="AC190" s="1794"/>
      <c r="AD190" s="1794"/>
      <c r="AE190" s="179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05" customHeight="1">
      <c r="C191" s="21"/>
      <c r="D191" t="s">
        <v>462</v>
      </c>
      <c r="N191" s="1790" t="s">
        <v>2622</v>
      </c>
      <c r="O191" s="1790"/>
      <c r="P191" s="1790"/>
      <c r="Q191" s="1790"/>
      <c r="R191" s="1790"/>
      <c r="S191" s="1790"/>
      <c r="T191" s="1790"/>
      <c r="U191" s="1790"/>
      <c r="V191" s="1790"/>
      <c r="W191" s="1790"/>
      <c r="X191" s="1790"/>
      <c r="Y191" s="1790"/>
      <c r="Z191" s="1790"/>
      <c r="AA191" s="1790"/>
      <c r="AB191" s="1790"/>
      <c r="AC191" s="1790"/>
      <c r="AD191" s="1790"/>
      <c r="AE191" s="179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05" customHeight="1">
      <c r="C192" s="21"/>
      <c r="M192" s="40"/>
      <c r="N192" s="1754"/>
      <c r="O192" s="1754"/>
      <c r="P192" s="1754"/>
      <c r="Q192" s="1754"/>
      <c r="R192" s="1754"/>
      <c r="S192" s="1754"/>
      <c r="T192" s="1754"/>
      <c r="U192" s="1754"/>
      <c r="V192" s="1754"/>
      <c r="W192" s="1754"/>
      <c r="X192" s="1754"/>
      <c r="Y192" s="1754"/>
      <c r="Z192" s="1754"/>
      <c r="AA192" s="1754"/>
      <c r="AB192" s="1754"/>
      <c r="AC192" s="1754"/>
      <c r="AD192" s="1754"/>
      <c r="AE192" s="175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05" customHeight="1">
      <c r="C193" s="21"/>
      <c r="D193" t="s">
        <v>2081</v>
      </c>
      <c r="M193" s="40"/>
      <c r="N193" s="894"/>
      <c r="O193" s="894"/>
      <c r="P193" s="894"/>
      <c r="Q193" s="894"/>
      <c r="R193" s="894"/>
      <c r="S193" s="894"/>
      <c r="T193" s="1775" t="s">
        <v>2213</v>
      </c>
      <c r="U193" s="1775"/>
      <c r="V193" s="1775"/>
      <c r="W193" s="1775"/>
      <c r="X193" s="1775"/>
      <c r="Y193" s="1775"/>
      <c r="Z193" s="1775"/>
      <c r="AA193" s="1775"/>
      <c r="AB193" s="1775"/>
      <c r="AC193" s="1775"/>
      <c r="AD193" s="1775"/>
      <c r="AE193" s="1775"/>
      <c r="AF193" s="1775"/>
      <c r="AG193" s="1775"/>
      <c r="AH193" s="1775"/>
      <c r="AI193" s="177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05" customHeight="1">
      <c r="C194" s="21"/>
      <c r="D194" s="3" t="s">
        <v>2215</v>
      </c>
      <c r="M194" s="40"/>
      <c r="N194" s="894"/>
      <c r="O194" s="894"/>
      <c r="P194" s="894"/>
      <c r="Q194" s="894"/>
      <c r="R194" s="894"/>
      <c r="S194" s="894"/>
      <c r="AH194" s="1356" t="s">
        <v>669</v>
      </c>
      <c r="AI194" s="1356"/>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05" customHeight="1">
      <c r="C195" s="21"/>
      <c r="D195" t="s">
        <v>331</v>
      </c>
      <c r="T195" s="1356" t="s">
        <v>545</v>
      </c>
      <c r="U195" s="1356"/>
      <c r="W195" t="s">
        <v>684</v>
      </c>
      <c r="AH195" s="1356">
        <v>9</v>
      </c>
      <c r="AI195" s="1356"/>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05" customHeight="1">
      <c r="C196" s="21"/>
      <c r="D196" t="s">
        <v>386</v>
      </c>
      <c r="T196" s="1387" t="s">
        <v>669</v>
      </c>
      <c r="U196" s="1387"/>
      <c r="W196" t="s">
        <v>685</v>
      </c>
      <c r="AH196" s="1356">
        <v>13</v>
      </c>
      <c r="AI196" s="1356"/>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05" customHeight="1">
      <c r="C197" s="21"/>
      <c r="D197" s="3" t="s">
        <v>169</v>
      </c>
      <c r="T197" s="1387" t="s">
        <v>669</v>
      </c>
      <c r="U197" s="1387"/>
      <c r="W197" t="s">
        <v>686</v>
      </c>
      <c r="AH197" s="1356">
        <v>5</v>
      </c>
      <c r="AI197" s="1356"/>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05" customHeight="1">
      <c r="A198"/>
      <c r="B198"/>
      <c r="C198" s="21"/>
      <c r="D198" s="3" t="s">
        <v>1652</v>
      </c>
      <c r="E198"/>
      <c r="F198"/>
      <c r="G198"/>
      <c r="H198"/>
      <c r="I198"/>
      <c r="J198"/>
      <c r="K198"/>
      <c r="L198"/>
      <c r="M198"/>
      <c r="N198"/>
      <c r="O198"/>
      <c r="P198"/>
      <c r="Q198"/>
      <c r="R198"/>
      <c r="S198"/>
      <c r="T198" s="1387">
        <v>0</v>
      </c>
      <c r="U198" s="1387"/>
      <c r="V198"/>
      <c r="X198" s="1410" t="s">
        <v>2513</v>
      </c>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c r="AS198" s="1410"/>
      <c r="AT198" s="141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05" customHeight="1">
      <c r="A199"/>
      <c r="B199"/>
      <c r="C199" s="21"/>
      <c r="D199" s="118" t="s">
        <v>2516</v>
      </c>
      <c r="E199"/>
      <c r="F199"/>
      <c r="G199"/>
      <c r="H199"/>
      <c r="I199"/>
      <c r="J199"/>
      <c r="K199"/>
      <c r="L199"/>
      <c r="M199"/>
      <c r="N199"/>
      <c r="O199"/>
      <c r="P199"/>
      <c r="Q199"/>
      <c r="R199"/>
      <c r="S199"/>
      <c r="T199" s="1356" t="s">
        <v>669</v>
      </c>
      <c r="U199" s="1356"/>
      <c r="V199"/>
      <c r="W199"/>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c r="AS199" s="1410"/>
      <c r="AT199" s="141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05" customHeight="1">
      <c r="A200"/>
      <c r="B200"/>
      <c r="C200" s="21"/>
      <c r="D200" s="14" t="s">
        <v>2514</v>
      </c>
      <c r="T200" s="1356" t="s">
        <v>669</v>
      </c>
      <c r="U200" s="1356"/>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0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0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0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05" customHeight="1">
      <c r="D204" s="1416" t="s">
        <v>385</v>
      </c>
      <c r="E204" s="1416"/>
      <c r="F204" s="1416"/>
      <c r="G204" s="1416"/>
      <c r="H204" s="1416"/>
      <c r="I204" s="1416"/>
      <c r="J204" s="1416"/>
      <c r="K204" s="1416"/>
      <c r="L204" s="1416"/>
      <c r="M204" s="1416"/>
      <c r="P204" s="1802">
        <f>M26</f>
        <v>1739588</v>
      </c>
      <c r="Q204" s="1779"/>
      <c r="R204" s="1779"/>
      <c r="S204" s="1779"/>
      <c r="T204" s="1779"/>
      <c r="U204" s="177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05" customHeight="1">
      <c r="C205" s="21"/>
      <c r="D205" s="1807" t="s">
        <v>1247</v>
      </c>
      <c r="E205" s="1416"/>
      <c r="F205" s="1416"/>
      <c r="G205" s="1416"/>
      <c r="H205" s="1416"/>
      <c r="I205" s="1416"/>
      <c r="J205" s="1416"/>
      <c r="K205" s="1416"/>
      <c r="L205" s="1416"/>
      <c r="M205" s="1416"/>
      <c r="P205" s="1779">
        <f>M27</f>
        <v>12351719</v>
      </c>
      <c r="Q205" s="1779"/>
      <c r="R205" s="1779"/>
      <c r="S205" s="1779"/>
      <c r="T205" s="1779"/>
      <c r="U205" s="1779"/>
      <c r="V205" s="28"/>
      <c r="W205" s="3" t="s">
        <v>1720</v>
      </c>
      <c r="Z205" s="1805" t="s">
        <v>2223</v>
      </c>
      <c r="AA205" s="1805"/>
      <c r="AB205" s="1805"/>
      <c r="AC205" s="1805"/>
      <c r="AD205" s="1805"/>
      <c r="AE205" s="1805"/>
      <c r="AF205" s="1805"/>
      <c r="AG205" s="1805"/>
      <c r="AH205" s="1805"/>
      <c r="AI205" s="1805"/>
      <c r="AJ205" s="1805"/>
      <c r="AK205" s="1805"/>
      <c r="AL205" s="1805"/>
      <c r="AM205" s="1805"/>
      <c r="AN205" s="1805"/>
      <c r="AP205" s="1359"/>
      <c r="AQ205" s="135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0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05" customHeight="1">
      <c r="C208" s="21"/>
      <c r="D208" s="1413" t="s">
        <v>2763</v>
      </c>
      <c r="E208" s="1413"/>
      <c r="F208" s="1413"/>
      <c r="G208" s="1413"/>
      <c r="H208" s="1413"/>
      <c r="I208" s="1413"/>
      <c r="J208" s="1413"/>
      <c r="K208" s="1413"/>
      <c r="L208" s="1413"/>
      <c r="M208" s="1413"/>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0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0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05" customHeight="1">
      <c r="C211" s="21"/>
      <c r="D211" s="1413" t="s">
        <v>1041</v>
      </c>
      <c r="E211" s="1413"/>
      <c r="F211" s="1413"/>
      <c r="G211" s="1413"/>
      <c r="H211" s="1413"/>
      <c r="I211" s="1413"/>
      <c r="J211" s="1413"/>
      <c r="K211" s="1413"/>
      <c r="L211" s="1413"/>
      <c r="M211" s="1413"/>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05" customHeight="1">
      <c r="C212" s="21"/>
      <c r="D212" s="3" t="s">
        <v>2230</v>
      </c>
      <c r="Q212" s="1356"/>
      <c r="R212" s="1356"/>
      <c r="T212" s="1787">
        <f>IFERROR(Q212/AG440,0)</f>
        <v>0</v>
      </c>
      <c r="U212" s="178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0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0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0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0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05" customHeight="1">
      <c r="A218" s="2" t="s">
        <v>592</v>
      </c>
      <c r="C218" s="2" t="s">
        <v>2233</v>
      </c>
      <c r="D218" s="28"/>
      <c r="AC218" s="2" t="s">
        <v>2462</v>
      </c>
      <c r="BC218" t="s">
        <v>529</v>
      </c>
    </row>
    <row r="219" spans="1:108" ht="13.05" customHeight="1">
      <c r="A219" s="2"/>
      <c r="C219" s="2"/>
      <c r="D219" s="3" t="s">
        <v>2463</v>
      </c>
      <c r="AZ219" s="3"/>
      <c r="BA219" s="3"/>
      <c r="BC219" t="s">
        <v>377</v>
      </c>
    </row>
    <row r="220" spans="1:108" ht="13.05" customHeight="1">
      <c r="A220" s="2"/>
      <c r="C220" s="2"/>
      <c r="D220" s="1413" t="s">
        <v>1061</v>
      </c>
      <c r="E220" s="1413"/>
      <c r="F220" s="1413"/>
      <c r="G220" s="1413"/>
      <c r="H220" s="1413"/>
      <c r="I220" s="1413"/>
      <c r="J220" s="1413"/>
      <c r="K220" s="1413"/>
      <c r="L220" s="1413"/>
      <c r="M220" s="1413"/>
      <c r="N220" s="1413"/>
      <c r="O220" s="1413"/>
      <c r="P220" s="1413"/>
      <c r="Q220" s="1413"/>
      <c r="R220" s="1413"/>
      <c r="S220" s="1413"/>
      <c r="T220" s="1413"/>
      <c r="U220" s="1413"/>
      <c r="V220" s="1413"/>
      <c r="W220" s="1413"/>
      <c r="X220" s="1413"/>
      <c r="Y220" s="1413"/>
      <c r="Z220" s="1413"/>
      <c r="AC220" s="1806" t="s">
        <v>2467</v>
      </c>
      <c r="AD220" s="1806"/>
      <c r="AE220" s="1806"/>
      <c r="AF220" s="1806"/>
      <c r="AG220" s="1806"/>
      <c r="AH220" s="1806"/>
      <c r="AI220" s="1806"/>
      <c r="AJ220" s="1806"/>
      <c r="AK220" s="1806"/>
      <c r="AL220" s="1806"/>
      <c r="AM220" s="1806"/>
      <c r="AN220" s="1806"/>
      <c r="AO220" s="1806"/>
      <c r="AP220" s="1806"/>
      <c r="AQ220" s="1806"/>
      <c r="BA220" s="3"/>
      <c r="BC220" t="s">
        <v>300</v>
      </c>
    </row>
    <row r="221" spans="1:108" ht="13.05" customHeight="1">
      <c r="A221" s="2"/>
      <c r="B221" s="14"/>
      <c r="C221" s="2"/>
      <c r="BA221" s="3"/>
    </row>
    <row r="222" spans="1:108" ht="13.05" customHeight="1">
      <c r="A222" s="1484" t="s">
        <v>540</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95"/>
      <c r="AV222" s="95"/>
      <c r="AW222" s="95"/>
      <c r="AX222" s="95"/>
      <c r="AY222" s="95"/>
      <c r="AZ222" s="3"/>
      <c r="BA222" s="3"/>
      <c r="BP222" s="34"/>
    </row>
    <row r="223" spans="1:108" ht="13.0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4"/>
    </row>
    <row r="224" spans="1:108" ht="13.05" customHeight="1">
      <c r="AZ224" s="4"/>
      <c r="BA224" s="3"/>
      <c r="BB224" s="3"/>
      <c r="BQ224" s="34"/>
    </row>
    <row r="225" spans="1:59" ht="13.0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545</v>
      </c>
      <c r="AJ226" s="1356"/>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591</v>
      </c>
      <c r="AJ227" s="1356"/>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591</v>
      </c>
      <c r="AJ228" s="1356"/>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56" t="s">
        <v>591</v>
      </c>
      <c r="AJ229" s="1356"/>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0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05" customHeight="1">
      <c r="D232" s="4" t="s">
        <v>470</v>
      </c>
      <c r="E232" s="4"/>
      <c r="F232" s="4"/>
      <c r="G232" s="4"/>
      <c r="H232" s="4"/>
      <c r="I232" s="4"/>
      <c r="J232" s="4"/>
      <c r="K232" s="4"/>
      <c r="M232" s="1795" t="str">
        <f>H16</f>
        <v>CRP The Junction LP</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538</v>
      </c>
      <c r="BG232" s="241">
        <f>IF(AND(AND($M$249="nonprofit",$M$257="nonprofit",$M$265="for profit")),2,0)</f>
        <v>0</v>
      </c>
    </row>
    <row r="233" spans="1:59" ht="13.05" customHeight="1">
      <c r="D233" s="4" t="s">
        <v>85</v>
      </c>
      <c r="E233" s="4"/>
      <c r="F233" s="4"/>
      <c r="G233" s="4"/>
      <c r="H233" s="4"/>
      <c r="I233" s="4"/>
      <c r="J233" s="4"/>
      <c r="K233" s="4"/>
      <c r="M233" s="1413" t="s">
        <v>2623</v>
      </c>
      <c r="N233" s="1413"/>
      <c r="O233" s="1413"/>
      <c r="P233" s="1413"/>
      <c r="Q233" s="1413"/>
      <c r="R233" s="1413"/>
      <c r="S233" s="1413"/>
      <c r="T233" s="1413"/>
      <c r="U233" s="1413"/>
      <c r="V233" s="1413"/>
      <c r="W233" s="1413"/>
      <c r="X233" s="1413"/>
      <c r="Y233" s="1413"/>
      <c r="Z233" s="1413"/>
      <c r="AA233" s="1413"/>
      <c r="AB233" s="1413"/>
      <c r="AC233" s="1413"/>
      <c r="AD233" s="1413"/>
      <c r="AE233" s="1413"/>
      <c r="BB233" s="205" t="s">
        <v>538</v>
      </c>
      <c r="BG233" s="241">
        <f>IF(AND(AND($M$249="nonprofit",$M$257="for profit",$M$265="nonprofit")),2,0)</f>
        <v>0</v>
      </c>
    </row>
    <row r="234" spans="1:59" ht="13.05" customHeight="1">
      <c r="D234" s="4" t="s">
        <v>580</v>
      </c>
      <c r="E234" s="4"/>
      <c r="M234" s="1413" t="s">
        <v>2624</v>
      </c>
      <c r="N234" s="1413"/>
      <c r="O234" s="1413"/>
      <c r="P234" s="1413"/>
      <c r="Q234" s="1413"/>
      <c r="R234" s="1413"/>
      <c r="S234" s="1413"/>
      <c r="T234" s="1413"/>
      <c r="V234" s="33" t="s">
        <v>86</v>
      </c>
      <c r="W234" s="1494" t="s">
        <v>2625</v>
      </c>
      <c r="X234" s="1494"/>
      <c r="Y234" s="4" t="s">
        <v>583</v>
      </c>
      <c r="AC234" s="1413">
        <v>10168</v>
      </c>
      <c r="AD234" s="1413"/>
      <c r="AE234" s="1413"/>
      <c r="AU234" s="4"/>
      <c r="AV234" s="4"/>
      <c r="AW234" s="4"/>
      <c r="AX234" s="4"/>
      <c r="AY234" s="4"/>
      <c r="AZ234" s="4"/>
      <c r="BB234" s="205" t="s">
        <v>538</v>
      </c>
      <c r="BG234" s="240">
        <f>IF(AND(AND($M$249="for profit",$M$257="nonprofit",$M$265="nonprofit")),2,0)</f>
        <v>0</v>
      </c>
    </row>
    <row r="235" spans="1:59" ht="13.05" customHeight="1">
      <c r="D235" s="4" t="s">
        <v>87</v>
      </c>
      <c r="E235" s="4"/>
      <c r="F235" s="4"/>
      <c r="G235" s="4"/>
      <c r="H235" s="4"/>
      <c r="I235" s="4"/>
      <c r="J235" s="4"/>
      <c r="K235" s="19"/>
      <c r="M235" s="1413" t="s">
        <v>2626</v>
      </c>
      <c r="N235" s="1413"/>
      <c r="O235" s="1413"/>
      <c r="P235" s="1413"/>
      <c r="Q235" s="1413"/>
      <c r="R235" s="1413"/>
      <c r="S235" s="1413"/>
      <c r="T235" s="1413"/>
      <c r="U235" s="1413"/>
      <c r="V235" s="1413"/>
      <c r="W235" s="1413"/>
      <c r="X235" s="1413"/>
      <c r="Y235" s="1413"/>
      <c r="Z235" s="1413"/>
      <c r="AA235" s="1413"/>
      <c r="AB235" s="1413"/>
      <c r="AC235" s="1413"/>
      <c r="AD235" s="1413"/>
      <c r="AE235" s="1413"/>
      <c r="AI235" s="4"/>
      <c r="AJ235" s="4"/>
      <c r="AK235" s="4"/>
      <c r="AL235" s="4"/>
      <c r="AM235" s="4"/>
      <c r="AN235" s="4"/>
      <c r="AO235" s="4"/>
      <c r="AP235" s="4"/>
      <c r="AQ235" s="4"/>
      <c r="AR235" s="4"/>
      <c r="AS235" s="4"/>
      <c r="AT235" s="4"/>
      <c r="BB235" s="205"/>
      <c r="BG235" s="204"/>
    </row>
    <row r="236" spans="1:59" ht="13.05" customHeight="1">
      <c r="D236" s="4" t="s">
        <v>88</v>
      </c>
      <c r="E236" s="4"/>
      <c r="F236" s="4"/>
      <c r="M236" s="1417" t="s">
        <v>2627</v>
      </c>
      <c r="N236" s="1417"/>
      <c r="O236" s="1417"/>
      <c r="P236" s="1417"/>
      <c r="Q236" s="1417"/>
      <c r="R236" s="1417"/>
      <c r="S236" s="4" t="s">
        <v>206</v>
      </c>
      <c r="T236" s="4"/>
      <c r="U236" s="1494"/>
      <c r="V236" s="1494"/>
      <c r="W236" s="1494"/>
      <c r="X236" s="4" t="s">
        <v>89</v>
      </c>
      <c r="Z236" s="1417"/>
      <c r="AA236" s="1417"/>
      <c r="AB236" s="1417"/>
      <c r="AC236" s="1417"/>
      <c r="AD236" s="1417"/>
      <c r="AE236" s="1417"/>
      <c r="AU236" s="4"/>
      <c r="AV236" s="4"/>
      <c r="AW236" s="4"/>
      <c r="AX236" s="4"/>
      <c r="AY236" s="4"/>
      <c r="AZ236" s="4"/>
      <c r="BB236" s="204" t="s">
        <v>537</v>
      </c>
      <c r="BG236" s="241">
        <f>IF(AND(AND($M$249="nonprofit",$M$257="nonprofit",$M$265="(select one)")),1,0)</f>
        <v>0</v>
      </c>
    </row>
    <row r="237" spans="1:59" ht="13.05" customHeight="1">
      <c r="D237" s="4" t="s">
        <v>90</v>
      </c>
      <c r="E237" s="4"/>
      <c r="F237" s="4"/>
      <c r="M237" s="1782" t="s">
        <v>2628</v>
      </c>
      <c r="N237" s="1782"/>
      <c r="O237" s="1782"/>
      <c r="P237" s="1782"/>
      <c r="Q237" s="1782"/>
      <c r="R237" s="1782"/>
      <c r="S237" s="1782"/>
      <c r="T237" s="1782"/>
      <c r="U237" s="1782"/>
      <c r="V237" s="1782"/>
      <c r="W237" s="1782"/>
      <c r="X237" s="1782"/>
      <c r="Y237" s="1782"/>
      <c r="Z237" s="1782"/>
      <c r="AA237" s="1782"/>
      <c r="AB237" s="1782"/>
      <c r="AC237" s="1782"/>
      <c r="AD237" s="1782"/>
      <c r="AE237" s="1782"/>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05" customHeight="1">
      <c r="A238" s="2" t="s">
        <v>586</v>
      </c>
      <c r="C238" s="2" t="s">
        <v>525</v>
      </c>
      <c r="M238" s="1511" t="s">
        <v>528</v>
      </c>
      <c r="N238" s="1511"/>
      <c r="O238" s="1511"/>
      <c r="P238" s="1511"/>
      <c r="Q238" s="1511"/>
      <c r="R238" s="1511"/>
      <c r="S238" s="1511"/>
      <c r="T238" s="1511"/>
      <c r="U238" s="204" t="s">
        <v>906</v>
      </c>
      <c r="V238" s="204"/>
      <c r="W238" s="204"/>
      <c r="X238" s="204"/>
      <c r="Y238" s="204"/>
      <c r="Z238" s="204"/>
      <c r="AA238" s="1783"/>
      <c r="AB238" s="1783"/>
      <c r="AC238" s="1783"/>
      <c r="AD238" s="1783"/>
      <c r="AE238" s="1783"/>
      <c r="AF238" s="1783"/>
      <c r="AG238" s="1783"/>
      <c r="AH238" s="1783"/>
      <c r="AI238" s="1783"/>
      <c r="AJ238" s="1783"/>
      <c r="AK238" s="1783"/>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05" customHeight="1">
      <c r="D239" t="s">
        <v>531</v>
      </c>
      <c r="M239" s="1362"/>
      <c r="N239" s="1362"/>
      <c r="O239" s="1362"/>
      <c r="P239" s="1362"/>
      <c r="Q239" s="1362"/>
      <c r="R239" s="1362"/>
      <c r="S239" s="1362"/>
      <c r="T239" s="1362"/>
      <c r="U239" s="1362"/>
      <c r="V239" s="1362"/>
      <c r="W239" s="1362"/>
      <c r="X239" s="1362"/>
      <c r="Y239" s="1362"/>
      <c r="Z239" s="1362"/>
      <c r="AA239" s="1362"/>
      <c r="AB239" s="1362"/>
      <c r="AC239" s="1362"/>
      <c r="AD239" s="1362"/>
      <c r="AE239" s="136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05" customHeight="1">
      <c r="D240" s="4"/>
      <c r="BB240" s="204" t="s">
        <v>877</v>
      </c>
      <c r="BG240" s="241">
        <f>IF(AND(AND($M$249="for profit",$M$257="for profit",$M$265="for profit")),3,0)</f>
        <v>0</v>
      </c>
    </row>
    <row r="241" spans="1:67" ht="13.0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81" t="s">
        <v>2629</v>
      </c>
      <c r="N243" s="1482"/>
      <c r="O243" s="1482"/>
      <c r="P243" s="1482"/>
      <c r="Q243" s="1482"/>
      <c r="R243" s="1482"/>
      <c r="S243" s="1482"/>
      <c r="T243" s="1482"/>
      <c r="U243" s="1482"/>
      <c r="V243" s="1482"/>
      <c r="W243" s="1482"/>
      <c r="X243" s="1482"/>
      <c r="Y243" s="1482"/>
      <c r="Z243" s="1482"/>
      <c r="AA243" s="1482"/>
      <c r="AB243" s="1482"/>
      <c r="AC243" s="1482"/>
      <c r="AD243" s="1482"/>
      <c r="AE243" s="1482"/>
      <c r="AF243" s="1482" t="s">
        <v>2630</v>
      </c>
      <c r="AG243" s="1482"/>
      <c r="AH243" s="1482"/>
      <c r="AI243" s="1482"/>
      <c r="AJ243" s="1482"/>
      <c r="AK243" s="1482"/>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413" t="s">
        <v>2623</v>
      </c>
      <c r="N244" s="1413"/>
      <c r="O244" s="1413"/>
      <c r="P244" s="1413"/>
      <c r="Q244" s="1413"/>
      <c r="R244" s="1413"/>
      <c r="S244" s="1413"/>
      <c r="T244" s="1413"/>
      <c r="U244" s="1413"/>
      <c r="V244" s="1413"/>
      <c r="W244" s="1413"/>
      <c r="X244" s="1413"/>
      <c r="Y244" s="1413"/>
      <c r="Z244" s="1413"/>
      <c r="AA244" s="1413"/>
      <c r="AB244" s="1413"/>
      <c r="AC244" s="1413"/>
      <c r="AD244" s="1413"/>
      <c r="AE244" s="1413"/>
      <c r="AF244" s="3" t="s">
        <v>1179</v>
      </c>
      <c r="AL244" s="4"/>
      <c r="AM244" s="4"/>
      <c r="AN244" s="4"/>
      <c r="AO244" s="4"/>
      <c r="AP244" s="4"/>
      <c r="AQ244" s="4"/>
      <c r="AR244" s="4"/>
      <c r="AS244" s="4"/>
      <c r="AT244" s="4"/>
      <c r="BB244" t="s">
        <v>307</v>
      </c>
      <c r="BG244">
        <v>1</v>
      </c>
      <c r="BH244" t="s">
        <v>534</v>
      </c>
    </row>
    <row r="245" spans="1:67" ht="13.05" customHeight="1">
      <c r="A245" s="19"/>
      <c r="B245" s="4"/>
      <c r="C245" s="4"/>
      <c r="D245" s="4" t="s">
        <v>580</v>
      </c>
      <c r="E245" s="4"/>
      <c r="M245" s="1413" t="s">
        <v>2624</v>
      </c>
      <c r="N245" s="1413"/>
      <c r="O245" s="1413"/>
      <c r="P245" s="1413"/>
      <c r="Q245" s="1413"/>
      <c r="R245" s="1413"/>
      <c r="S245" s="1413"/>
      <c r="T245" s="1413"/>
      <c r="V245" s="33" t="s">
        <v>86</v>
      </c>
      <c r="W245" s="1494" t="s">
        <v>2625</v>
      </c>
      <c r="X245" s="1494"/>
      <c r="Y245" s="4" t="s">
        <v>583</v>
      </c>
      <c r="AC245" s="1413">
        <v>10168</v>
      </c>
      <c r="AD245" s="1413"/>
      <c r="AE245" s="1413"/>
      <c r="AF245" s="3" t="s">
        <v>1180</v>
      </c>
      <c r="AU245" s="4"/>
      <c r="AV245" s="4"/>
      <c r="AW245" s="4"/>
      <c r="AX245" s="4"/>
      <c r="AY245" s="4"/>
      <c r="BB245" s="4" t="s">
        <v>280</v>
      </c>
      <c r="BG245">
        <v>2</v>
      </c>
      <c r="BH245" t="s">
        <v>566</v>
      </c>
      <c r="BO245" s="239" t="str">
        <f>VLOOKUP(BG243,BG244:BH247,2,FALSE)</f>
        <v>Joint Venture</v>
      </c>
    </row>
    <row r="246" spans="1:67" ht="13.05" customHeight="1">
      <c r="A246" s="19"/>
      <c r="B246" s="4"/>
      <c r="C246" s="4"/>
      <c r="D246" s="4" t="s">
        <v>87</v>
      </c>
      <c r="E246" s="4"/>
      <c r="F246" s="4"/>
      <c r="G246" s="4"/>
      <c r="H246" s="4"/>
      <c r="I246" s="4"/>
      <c r="J246" s="4"/>
      <c r="K246" s="4"/>
      <c r="L246" s="19"/>
      <c r="M246" s="1413" t="s">
        <v>2626</v>
      </c>
      <c r="N246" s="1413"/>
      <c r="O246" s="1413"/>
      <c r="P246" s="1413"/>
      <c r="Q246" s="1413"/>
      <c r="R246" s="1413"/>
      <c r="S246" s="1413"/>
      <c r="T246" s="1413"/>
      <c r="U246" s="1413"/>
      <c r="V246" s="1413"/>
      <c r="W246" s="1413"/>
      <c r="X246" s="1413"/>
      <c r="Y246" s="1413"/>
      <c r="Z246" s="1413"/>
      <c r="AA246" s="1413"/>
      <c r="AB246" s="1413"/>
      <c r="AC246" s="1413"/>
      <c r="AD246" s="1413"/>
      <c r="AE246" s="1413"/>
      <c r="AH246" s="1766">
        <v>4.8999999999999998E-4</v>
      </c>
      <c r="AI246" s="1766"/>
      <c r="AJ246" s="1766"/>
      <c r="AK246" s="1766"/>
      <c r="AL246" s="4"/>
      <c r="AM246" s="4"/>
      <c r="AN246" s="4"/>
      <c r="AO246" s="4"/>
      <c r="AP246" s="4"/>
      <c r="AQ246" s="4"/>
      <c r="AR246" s="4"/>
      <c r="AS246" s="4"/>
      <c r="AT246" s="4"/>
      <c r="BB246" s="4" t="s">
        <v>173</v>
      </c>
      <c r="BG246">
        <v>3</v>
      </c>
      <c r="BH246" t="s">
        <v>536</v>
      </c>
      <c r="BN246" s="34"/>
    </row>
    <row r="247" spans="1:67" ht="13.05" customHeight="1">
      <c r="A247" s="19"/>
      <c r="B247" s="4"/>
      <c r="C247" s="4"/>
      <c r="D247" s="4" t="s">
        <v>88</v>
      </c>
      <c r="E247" s="4"/>
      <c r="F247" s="4"/>
      <c r="M247" s="1417" t="s">
        <v>2627</v>
      </c>
      <c r="N247" s="1417"/>
      <c r="O247" s="1417"/>
      <c r="P247" s="1417"/>
      <c r="Q247" s="1417"/>
      <c r="R247" s="1417"/>
      <c r="S247" s="4" t="s">
        <v>206</v>
      </c>
      <c r="T247" s="4"/>
      <c r="U247" s="1494"/>
      <c r="V247" s="1494"/>
      <c r="W247" s="1494"/>
      <c r="X247" s="4" t="s">
        <v>89</v>
      </c>
      <c r="Z247" s="1417"/>
      <c r="AA247" s="1417"/>
      <c r="AB247" s="1417"/>
      <c r="AC247" s="1417"/>
      <c r="AD247" s="1417"/>
      <c r="AE247" s="1417"/>
      <c r="AU247" s="4"/>
      <c r="AV247" s="4"/>
      <c r="AW247" s="4"/>
      <c r="AX247" s="4"/>
      <c r="AY247" s="4"/>
      <c r="BG247">
        <v>0</v>
      </c>
      <c r="BH247" s="3" t="str">
        <f>""</f>
        <v/>
      </c>
      <c r="BN247" s="34"/>
    </row>
    <row r="248" spans="1:67" ht="13.05" customHeight="1">
      <c r="A248" s="19"/>
      <c r="B248" s="4"/>
      <c r="C248" s="4"/>
      <c r="D248" s="4" t="s">
        <v>90</v>
      </c>
      <c r="E248" s="4"/>
      <c r="F248" s="4"/>
      <c r="M248" s="1782" t="s">
        <v>2628</v>
      </c>
      <c r="N248" s="1782"/>
      <c r="O248" s="1782"/>
      <c r="P248" s="1782"/>
      <c r="Q248" s="1782"/>
      <c r="R248" s="1782"/>
      <c r="S248" s="1782"/>
      <c r="T248" s="1782"/>
      <c r="U248" s="1782"/>
      <c r="V248" s="1782"/>
      <c r="W248" s="1782"/>
      <c r="X248" s="1782"/>
      <c r="Y248" s="1782"/>
      <c r="Z248" s="1782"/>
      <c r="AA248" s="1782"/>
      <c r="AB248" s="1782"/>
      <c r="AC248" s="1782"/>
      <c r="AD248" s="1782"/>
      <c r="AE248" s="1782"/>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511" t="s">
        <v>536</v>
      </c>
      <c r="N249" s="1511"/>
      <c r="O249" s="1511"/>
      <c r="P249" s="1511"/>
      <c r="Q249" s="1511"/>
      <c r="R249" s="1511"/>
      <c r="S249" s="1511"/>
      <c r="T249" s="1511"/>
      <c r="U249" s="204" t="s">
        <v>906</v>
      </c>
      <c r="V249" s="204"/>
      <c r="W249" s="204"/>
      <c r="X249" s="204"/>
      <c r="Y249" s="204"/>
      <c r="Z249" s="204"/>
      <c r="AA249" s="1784" t="s">
        <v>2638</v>
      </c>
      <c r="AB249" s="1783"/>
      <c r="AC249" s="1783"/>
      <c r="AD249" s="1783"/>
      <c r="AE249" s="1783"/>
      <c r="AF249" s="1783"/>
      <c r="AG249" s="1783"/>
      <c r="AH249" s="1783"/>
      <c r="AI249" s="1783"/>
      <c r="AJ249" s="1783"/>
      <c r="AK249" s="1783"/>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81" t="s">
        <v>2632</v>
      </c>
      <c r="N251" s="1481"/>
      <c r="O251" s="1481"/>
      <c r="P251" s="1481"/>
      <c r="Q251" s="1481"/>
      <c r="R251" s="1481"/>
      <c r="S251" s="1481"/>
      <c r="T251" s="1481"/>
      <c r="U251" s="1481"/>
      <c r="V251" s="1481"/>
      <c r="W251" s="1481"/>
      <c r="X251" s="1481"/>
      <c r="Y251" s="1481"/>
      <c r="Z251" s="1481"/>
      <c r="AA251" s="1481"/>
      <c r="AB251" s="1481"/>
      <c r="AC251" s="1481"/>
      <c r="AD251" s="1481"/>
      <c r="AE251" s="1481"/>
      <c r="AF251" s="1482" t="s">
        <v>2631</v>
      </c>
      <c r="AG251" s="1482"/>
      <c r="AH251" s="1482"/>
      <c r="AI251" s="1482"/>
      <c r="AJ251" s="1482"/>
      <c r="AK251" s="1482"/>
      <c r="AU251" s="4"/>
      <c r="AV251" s="4"/>
      <c r="AW251" s="4"/>
      <c r="AX251" s="4"/>
      <c r="AY251" s="4"/>
      <c r="BN251" s="34"/>
    </row>
    <row r="252" spans="1:67" ht="13.05" customHeight="1">
      <c r="A252" s="19"/>
      <c r="B252" s="4"/>
      <c r="C252" s="4"/>
      <c r="D252" s="4" t="s">
        <v>85</v>
      </c>
      <c r="E252" s="4"/>
      <c r="F252" s="4"/>
      <c r="G252" s="4"/>
      <c r="H252" s="4"/>
      <c r="I252" s="4"/>
      <c r="J252" s="4"/>
      <c r="K252" s="4"/>
      <c r="L252" s="4"/>
      <c r="M252" s="1556" t="s">
        <v>2707</v>
      </c>
      <c r="N252" s="1494"/>
      <c r="O252" s="1494"/>
      <c r="P252" s="1494"/>
      <c r="Q252" s="1494"/>
      <c r="R252" s="1494"/>
      <c r="S252" s="1494"/>
      <c r="T252" s="1494"/>
      <c r="U252" s="1494"/>
      <c r="V252" s="1494"/>
      <c r="W252" s="1494"/>
      <c r="X252" s="1494"/>
      <c r="Y252" s="1494"/>
      <c r="Z252" s="1494"/>
      <c r="AA252" s="1494"/>
      <c r="AB252" s="1494"/>
      <c r="AC252" s="1494"/>
      <c r="AD252" s="1494"/>
      <c r="AE252" s="1494"/>
      <c r="AF252" s="3" t="s">
        <v>1179</v>
      </c>
      <c r="AL252" s="4"/>
      <c r="AM252" s="4"/>
      <c r="AN252" s="4"/>
      <c r="AO252" s="4"/>
      <c r="AP252" s="4"/>
      <c r="AQ252" s="4"/>
      <c r="AR252" s="4"/>
      <c r="AS252" s="4"/>
      <c r="AT252" s="4"/>
      <c r="BN252" s="34"/>
    </row>
    <row r="253" spans="1:67" ht="13.05" customHeight="1">
      <c r="A253" s="19"/>
      <c r="B253" s="4"/>
      <c r="C253" s="4"/>
      <c r="D253" s="4" t="s">
        <v>580</v>
      </c>
      <c r="E253" s="4"/>
      <c r="M253" s="1361" t="s">
        <v>2633</v>
      </c>
      <c r="N253" s="1413"/>
      <c r="O253" s="1413"/>
      <c r="P253" s="1413"/>
      <c r="Q253" s="1413"/>
      <c r="R253" s="1413"/>
      <c r="S253" s="1413"/>
      <c r="T253" s="1413"/>
      <c r="V253" s="33" t="s">
        <v>86</v>
      </c>
      <c r="W253" s="1556" t="s">
        <v>2634</v>
      </c>
      <c r="X253" s="1494"/>
      <c r="Y253" s="4" t="s">
        <v>583</v>
      </c>
      <c r="AC253" s="1413">
        <v>96001</v>
      </c>
      <c r="AD253" s="1413"/>
      <c r="AE253" s="1413"/>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361" t="s">
        <v>2635</v>
      </c>
      <c r="N254" s="1413"/>
      <c r="O254" s="1413"/>
      <c r="P254" s="1413"/>
      <c r="Q254" s="1413"/>
      <c r="R254" s="1413"/>
      <c r="S254" s="1413"/>
      <c r="T254" s="1413"/>
      <c r="U254" s="1413"/>
      <c r="V254" s="1413"/>
      <c r="W254" s="1413"/>
      <c r="X254" s="1413"/>
      <c r="Y254" s="1413"/>
      <c r="Z254" s="1413"/>
      <c r="AA254" s="1413"/>
      <c r="AB254" s="1413"/>
      <c r="AC254" s="1413"/>
      <c r="AD254" s="1413"/>
      <c r="AE254" s="1413"/>
      <c r="AH254" s="1766">
        <v>5.1000000000000004E-4</v>
      </c>
      <c r="AI254" s="1766"/>
      <c r="AJ254" s="1766"/>
      <c r="AK254" s="1766"/>
      <c r="AL254" s="4"/>
      <c r="AM254" s="4"/>
      <c r="AN254" s="4"/>
      <c r="AO254" s="4"/>
      <c r="AP254" s="4"/>
      <c r="AQ254" s="4"/>
      <c r="AR254" s="4"/>
      <c r="AS254" s="4"/>
      <c r="AT254" s="4"/>
    </row>
    <row r="255" spans="1:67" ht="13.05" customHeight="1">
      <c r="A255" s="19"/>
      <c r="B255" s="4"/>
      <c r="C255" s="4"/>
      <c r="D255" s="4" t="s">
        <v>88</v>
      </c>
      <c r="E255" s="4"/>
      <c r="F255" s="4"/>
      <c r="M255" s="1712" t="s">
        <v>2636</v>
      </c>
      <c r="N255" s="1417"/>
      <c r="O255" s="1417"/>
      <c r="P255" s="1417"/>
      <c r="Q255" s="1417"/>
      <c r="R255" s="1417"/>
      <c r="S255" s="4" t="s">
        <v>206</v>
      </c>
      <c r="T255" s="4"/>
      <c r="U255" s="1494"/>
      <c r="V255" s="1494"/>
      <c r="W255" s="1494"/>
      <c r="X255" s="4" t="s">
        <v>89</v>
      </c>
      <c r="Z255" s="1417"/>
      <c r="AA255" s="1417"/>
      <c r="AB255" s="1417"/>
      <c r="AC255" s="1417"/>
      <c r="AD255" s="1417"/>
      <c r="AE255" s="1417"/>
      <c r="AU255" s="4"/>
      <c r="AV255" s="4"/>
      <c r="AW255" s="4"/>
      <c r="AX255" s="4"/>
      <c r="AY255" s="4"/>
      <c r="BN255" s="34"/>
    </row>
    <row r="256" spans="1:67" ht="13.05" customHeight="1">
      <c r="A256" s="19"/>
      <c r="B256" s="4"/>
      <c r="C256" s="4"/>
      <c r="D256" s="4" t="s">
        <v>90</v>
      </c>
      <c r="E256" s="4"/>
      <c r="F256" s="4"/>
      <c r="M256" s="1782" t="s">
        <v>2637</v>
      </c>
      <c r="N256" s="1782"/>
      <c r="O256" s="1782"/>
      <c r="P256" s="1782"/>
      <c r="Q256" s="1782"/>
      <c r="R256" s="1782"/>
      <c r="S256" s="1782"/>
      <c r="T256" s="1782"/>
      <c r="U256" s="1782"/>
      <c r="V256" s="1782"/>
      <c r="W256" s="1782"/>
      <c r="X256" s="1782"/>
      <c r="Y256" s="1782"/>
      <c r="Z256" s="1782"/>
      <c r="AA256" s="1782"/>
      <c r="AB256" s="1782"/>
      <c r="AC256" s="1782"/>
      <c r="AD256" s="1782"/>
      <c r="AE256" s="1782"/>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511" t="s">
        <v>534</v>
      </c>
      <c r="N257" s="1511"/>
      <c r="O257" s="1511"/>
      <c r="P257" s="1511"/>
      <c r="Q257" s="1511"/>
      <c r="R257" s="1511"/>
      <c r="S257" s="1511"/>
      <c r="T257" s="1511"/>
      <c r="U257" s="204" t="s">
        <v>906</v>
      </c>
      <c r="V257" s="204"/>
      <c r="W257" s="204"/>
      <c r="X257" s="204"/>
      <c r="Y257" s="204"/>
      <c r="Z257" s="204"/>
      <c r="AA257" s="1783"/>
      <c r="AB257" s="1783"/>
      <c r="AC257" s="1783"/>
      <c r="AD257" s="1783"/>
      <c r="AE257" s="1783"/>
      <c r="AF257" s="1783"/>
      <c r="AG257" s="1783"/>
      <c r="AH257" s="1783"/>
      <c r="AI257" s="1783"/>
      <c r="AJ257" s="1783"/>
      <c r="AK257" s="1783"/>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82"/>
      <c r="N259" s="1482"/>
      <c r="O259" s="1482"/>
      <c r="P259" s="1482"/>
      <c r="Q259" s="1482"/>
      <c r="R259" s="1482"/>
      <c r="S259" s="1482"/>
      <c r="T259" s="1482"/>
      <c r="U259" s="1482"/>
      <c r="V259" s="1482"/>
      <c r="W259" s="1482"/>
      <c r="X259" s="1482"/>
      <c r="Y259" s="1482"/>
      <c r="Z259" s="1482"/>
      <c r="AA259" s="1482"/>
      <c r="AB259" s="1482"/>
      <c r="AC259" s="1482"/>
      <c r="AD259" s="1482"/>
      <c r="AE259" s="1482"/>
      <c r="AF259" s="1482" t="s">
        <v>307</v>
      </c>
      <c r="AG259" s="1482"/>
      <c r="AH259" s="1482"/>
      <c r="AI259" s="1482"/>
      <c r="AJ259" s="1482"/>
      <c r="AK259" s="1482"/>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13"/>
      <c r="N260" s="1413"/>
      <c r="O260" s="1413"/>
      <c r="P260" s="1413"/>
      <c r="Q260" s="1413"/>
      <c r="R260" s="1413"/>
      <c r="S260" s="1413"/>
      <c r="T260" s="1413"/>
      <c r="U260" s="1413"/>
      <c r="V260" s="1413"/>
      <c r="W260" s="1413"/>
      <c r="X260" s="1413"/>
      <c r="Y260" s="1413"/>
      <c r="Z260" s="1413"/>
      <c r="AA260" s="1413"/>
      <c r="AB260" s="1413"/>
      <c r="AC260" s="1413"/>
      <c r="AD260" s="1413"/>
      <c r="AE260" s="1413"/>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13"/>
      <c r="N261" s="1413"/>
      <c r="O261" s="1413"/>
      <c r="P261" s="1413"/>
      <c r="Q261" s="1413"/>
      <c r="R261" s="1413"/>
      <c r="S261" s="1413"/>
      <c r="T261" s="1413"/>
      <c r="V261" s="33" t="s">
        <v>86</v>
      </c>
      <c r="W261" s="1494"/>
      <c r="X261" s="1494"/>
      <c r="Y261" s="4" t="s">
        <v>583</v>
      </c>
      <c r="AC261" s="1413"/>
      <c r="AD261" s="1413"/>
      <c r="AE261" s="1413"/>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13"/>
      <c r="N262" s="1413"/>
      <c r="O262" s="1413"/>
      <c r="P262" s="1413"/>
      <c r="Q262" s="1413"/>
      <c r="R262" s="1413"/>
      <c r="S262" s="1413"/>
      <c r="T262" s="1413"/>
      <c r="U262" s="1413"/>
      <c r="V262" s="1413"/>
      <c r="W262" s="1413"/>
      <c r="X262" s="1413"/>
      <c r="Y262" s="1413"/>
      <c r="Z262" s="1413"/>
      <c r="AA262" s="1413"/>
      <c r="AB262" s="1413"/>
      <c r="AC262" s="1413"/>
      <c r="AD262" s="1413"/>
      <c r="AE262" s="1413"/>
      <c r="AH262" s="1766"/>
      <c r="AI262" s="1766"/>
      <c r="AJ262" s="1766"/>
      <c r="AK262" s="1766"/>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17"/>
      <c r="N263" s="1417"/>
      <c r="O263" s="1417"/>
      <c r="P263" s="1417"/>
      <c r="Q263" s="1417"/>
      <c r="R263" s="1417"/>
      <c r="S263" s="4" t="s">
        <v>206</v>
      </c>
      <c r="T263" s="4"/>
      <c r="U263" s="1494"/>
      <c r="V263" s="1494"/>
      <c r="W263" s="1494"/>
      <c r="X263" s="4" t="s">
        <v>89</v>
      </c>
      <c r="Z263" s="1417"/>
      <c r="AA263" s="1417"/>
      <c r="AB263" s="1417"/>
      <c r="AC263" s="1417"/>
      <c r="AD263" s="1417"/>
      <c r="AE263" s="141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2"/>
      <c r="N264" s="1782"/>
      <c r="O264" s="1782"/>
      <c r="P264" s="1782"/>
      <c r="Q264" s="1782"/>
      <c r="R264" s="1782"/>
      <c r="S264" s="1782"/>
      <c r="T264" s="1782"/>
      <c r="U264" s="1782"/>
      <c r="V264" s="1782"/>
      <c r="W264" s="1782"/>
      <c r="X264" s="1782"/>
      <c r="Y264" s="1782"/>
      <c r="Z264" s="1782"/>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511" t="s">
        <v>307</v>
      </c>
      <c r="N265" s="1511"/>
      <c r="O265" s="1511"/>
      <c r="P265" s="1511"/>
      <c r="Q265" s="1511"/>
      <c r="R265" s="1511"/>
      <c r="S265" s="1511"/>
      <c r="T265" s="1511"/>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295</v>
      </c>
      <c r="D267" s="4"/>
      <c r="E267" s="4"/>
      <c r="F267" s="4"/>
      <c r="G267" s="4"/>
      <c r="H267" s="4"/>
      <c r="I267" s="4"/>
      <c r="J267" s="4"/>
      <c r="K267" s="4"/>
      <c r="L267" s="4"/>
      <c r="M267" s="35"/>
      <c r="N267" s="35"/>
      <c r="O267" s="35"/>
      <c r="P267" s="35"/>
      <c r="Q267" s="35"/>
      <c r="T267" s="1767" t="str">
        <f>IFERROR(BO245,"")</f>
        <v>Joint Venture</v>
      </c>
      <c r="U267" s="1767"/>
      <c r="V267" s="1767"/>
      <c r="W267" s="1767"/>
      <c r="X267" s="1767"/>
      <c r="Z267" s="307" t="s">
        <v>954</v>
      </c>
      <c r="AA267" s="308"/>
      <c r="AB267" s="308"/>
      <c r="AC267" s="308"/>
      <c r="AD267" s="105"/>
      <c r="AE267" s="105"/>
      <c r="AF267" s="105"/>
      <c r="AG267" s="105"/>
      <c r="AH267" s="105"/>
      <c r="AI267" s="105"/>
      <c r="AJ267" s="105"/>
      <c r="AK267" s="309"/>
      <c r="AL267" s="58"/>
    </row>
    <row r="268" spans="1:51" ht="13.0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0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05" customHeight="1">
      <c r="A270" s="4"/>
      <c r="B270" s="36">
        <v>0</v>
      </c>
      <c r="D270" s="1413" t="s">
        <v>280</v>
      </c>
      <c r="E270" s="1413"/>
      <c r="F270" s="1413"/>
      <c r="G270" s="1413"/>
      <c r="H270" s="1413"/>
      <c r="J270" t="s">
        <v>279</v>
      </c>
      <c r="X270" s="1671"/>
      <c r="Y270" s="1671"/>
      <c r="Z270" s="1671"/>
      <c r="AA270" s="1671"/>
      <c r="AB270" s="1671"/>
      <c r="AC270" s="1671"/>
      <c r="AU270" s="3"/>
      <c r="AV270" s="3"/>
      <c r="AW270" s="3"/>
      <c r="AX270" s="3"/>
      <c r="AY270" s="3"/>
    </row>
    <row r="271" spans="1:51"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296</v>
      </c>
      <c r="E274" s="4"/>
      <c r="F274" s="4"/>
      <c r="G274" s="4"/>
      <c r="H274" s="4"/>
      <c r="I274" s="4"/>
      <c r="J274" s="4"/>
      <c r="K274" s="4"/>
      <c r="L274" s="1482" t="s">
        <v>2638</v>
      </c>
      <c r="M274" s="1482"/>
      <c r="N274" s="1482"/>
      <c r="O274" s="1482"/>
      <c r="P274" s="1482"/>
      <c r="Q274" s="1482"/>
      <c r="R274" s="1482"/>
      <c r="S274" s="1482"/>
      <c r="T274" s="1482"/>
      <c r="U274" s="1482"/>
      <c r="V274" s="1482"/>
      <c r="W274" s="1482"/>
      <c r="X274" s="1482"/>
      <c r="Y274" s="1482"/>
      <c r="Z274" s="1482"/>
      <c r="AA274" s="1482"/>
      <c r="AB274" s="1482"/>
      <c r="AC274" s="1482"/>
      <c r="AD274" s="1482"/>
      <c r="AE274" s="1482"/>
      <c r="AF274" s="1482"/>
      <c r="AG274" s="1482"/>
      <c r="AH274" s="1482"/>
      <c r="AI274" s="1482"/>
      <c r="AJ274" s="1482"/>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3" t="s">
        <v>2623</v>
      </c>
      <c r="M275" s="1413"/>
      <c r="N275" s="1413"/>
      <c r="O275" s="1413"/>
      <c r="P275" s="1413"/>
      <c r="Q275" s="1413"/>
      <c r="R275" s="1413"/>
      <c r="S275" s="1413"/>
      <c r="T275" s="1413"/>
      <c r="U275" s="1413"/>
      <c r="V275" s="1413"/>
      <c r="W275" s="1413"/>
      <c r="X275" s="1413"/>
      <c r="Y275" s="1413"/>
      <c r="Z275" s="1413"/>
      <c r="AA275" s="1413"/>
      <c r="AB275" s="1413"/>
      <c r="AC275" s="1413"/>
      <c r="AD275" s="1413"/>
      <c r="AK275" s="3"/>
      <c r="AL275" s="3"/>
      <c r="AM275" s="3"/>
      <c r="AN275" s="3"/>
      <c r="AO275" s="3"/>
      <c r="AP275" s="3"/>
      <c r="AQ275" s="3"/>
      <c r="AR275" s="3"/>
      <c r="AS275" s="3"/>
      <c r="AT275" s="3"/>
      <c r="AU275" s="3"/>
      <c r="AV275" s="3"/>
      <c r="AW275" s="3"/>
      <c r="AX275" s="3"/>
      <c r="AY275" s="3"/>
    </row>
    <row r="276" spans="1:51" ht="13.05" customHeight="1">
      <c r="D276" s="4" t="s">
        <v>580</v>
      </c>
      <c r="E276" s="4"/>
      <c r="L276" s="1413" t="s">
        <v>2624</v>
      </c>
      <c r="M276" s="1413"/>
      <c r="N276" s="1413"/>
      <c r="O276" s="1413"/>
      <c r="P276" s="1413"/>
      <c r="Q276" s="1413"/>
      <c r="R276" s="1413"/>
      <c r="S276" s="1413"/>
      <c r="U276" s="33" t="s">
        <v>86</v>
      </c>
      <c r="V276" s="1494" t="s">
        <v>2625</v>
      </c>
      <c r="W276" s="1494"/>
      <c r="X276" s="4" t="s">
        <v>583</v>
      </c>
      <c r="AB276" s="1413">
        <v>10168</v>
      </c>
      <c r="AC276" s="1413"/>
      <c r="AD276" s="1413"/>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3" t="s">
        <v>2639</v>
      </c>
      <c r="M277" s="1413"/>
      <c r="N277" s="1413"/>
      <c r="O277" s="1413"/>
      <c r="P277" s="1413"/>
      <c r="Q277" s="1413"/>
      <c r="R277" s="1413"/>
      <c r="S277" s="1413"/>
      <c r="T277" s="1413"/>
      <c r="U277" s="1413"/>
      <c r="V277" s="1413"/>
      <c r="W277" s="1413"/>
      <c r="X277" s="1413"/>
      <c r="Y277" s="1413"/>
      <c r="Z277" s="1413"/>
      <c r="AA277" s="1413"/>
      <c r="AB277" s="1413"/>
      <c r="AC277" s="1413"/>
      <c r="AD277" s="1413"/>
      <c r="AI277" s="4"/>
      <c r="AJ277" s="4"/>
      <c r="AK277" s="3"/>
      <c r="AL277" s="3"/>
      <c r="AM277" s="3"/>
      <c r="AN277" s="3"/>
      <c r="AO277" s="3"/>
      <c r="AP277" s="3"/>
      <c r="AQ277" s="3"/>
      <c r="AR277" s="3"/>
      <c r="AS277" s="3"/>
      <c r="AT277" s="3"/>
    </row>
    <row r="278" spans="1:51" ht="13.05" customHeight="1">
      <c r="D278" s="4" t="s">
        <v>88</v>
      </c>
      <c r="E278" s="4"/>
      <c r="F278" s="4"/>
      <c r="L278" s="1417" t="s">
        <v>2640</v>
      </c>
      <c r="M278" s="1417"/>
      <c r="N278" s="1417"/>
      <c r="O278" s="1417"/>
      <c r="P278" s="1417"/>
      <c r="Q278" s="1417"/>
      <c r="R278" s="4" t="s">
        <v>206</v>
      </c>
      <c r="S278" s="4"/>
      <c r="T278" s="1494"/>
      <c r="U278" s="1494"/>
      <c r="V278" s="1494"/>
      <c r="W278" s="4" t="s">
        <v>89</v>
      </c>
      <c r="Y278" s="1417"/>
      <c r="Z278" s="1417"/>
      <c r="AA278" s="1417"/>
      <c r="AB278" s="1417"/>
      <c r="AC278" s="1417"/>
      <c r="AD278" s="1417"/>
    </row>
    <row r="279" spans="1:51" ht="13.05" customHeight="1">
      <c r="D279" s="4" t="s">
        <v>90</v>
      </c>
      <c r="E279" s="4"/>
      <c r="F279" s="4"/>
      <c r="L279" s="1782" t="s">
        <v>2641</v>
      </c>
      <c r="M279" s="1782"/>
      <c r="N279" s="1782"/>
      <c r="O279" s="1782"/>
      <c r="P279" s="1782"/>
      <c r="Q279" s="1782"/>
      <c r="R279" s="1782"/>
      <c r="S279" s="1782"/>
      <c r="T279" s="1782"/>
      <c r="U279" s="1782"/>
      <c r="V279" s="1782"/>
      <c r="W279" s="1782"/>
      <c r="X279" s="1782"/>
      <c r="Y279" s="1782"/>
      <c r="Z279" s="1782"/>
      <c r="AA279" s="1782"/>
      <c r="AB279" s="1782"/>
      <c r="AC279" s="1782"/>
      <c r="AD279" s="1782"/>
      <c r="AF279" s="4"/>
      <c r="AG279" s="4"/>
      <c r="AH279" s="4"/>
      <c r="AI279" s="4"/>
      <c r="AJ279" s="4"/>
      <c r="AU279" s="3"/>
      <c r="AV279" s="3"/>
      <c r="AW279" s="3"/>
      <c r="AX279" s="3"/>
      <c r="AY279" s="3"/>
    </row>
    <row r="280" spans="1:51" ht="13.05" customHeight="1">
      <c r="D280" s="3" t="s">
        <v>623</v>
      </c>
      <c r="E280" s="3"/>
      <c r="F280" s="3"/>
      <c r="G280" s="3"/>
      <c r="H280" s="3"/>
      <c r="I280" s="3"/>
      <c r="L280" s="1556" t="s">
        <v>2642</v>
      </c>
      <c r="M280" s="1556"/>
      <c r="N280" s="1556"/>
      <c r="O280" s="1556"/>
      <c r="P280" s="1556"/>
      <c r="Q280" s="1556"/>
      <c r="R280" s="1556"/>
      <c r="S280" s="1556"/>
      <c r="T280" s="1556"/>
      <c r="U280" s="1556"/>
      <c r="V280" s="1556"/>
      <c r="W280" s="1556"/>
      <c r="X280" s="1556"/>
      <c r="Y280" s="1556"/>
      <c r="Z280" s="1556"/>
      <c r="AA280" s="1556"/>
      <c r="AB280" s="1556"/>
      <c r="AC280" s="1556"/>
      <c r="AD280" s="155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84" t="s">
        <v>541</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95"/>
      <c r="AV282" s="95"/>
      <c r="AW282" s="95"/>
      <c r="AX282" s="95"/>
      <c r="AY282" s="95"/>
    </row>
    <row r="283" spans="1:51" ht="13.0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62" t="s">
        <v>2638</v>
      </c>
      <c r="I287" s="1362"/>
      <c r="J287" s="1362"/>
      <c r="K287" s="1362"/>
      <c r="L287" s="1362"/>
      <c r="M287" s="1362"/>
      <c r="N287" s="1362"/>
      <c r="O287" s="1362"/>
      <c r="P287" s="1362"/>
      <c r="Q287" s="1362"/>
      <c r="R287" s="1362"/>
      <c r="T287" s="3" t="s">
        <v>567</v>
      </c>
      <c r="V287" s="3"/>
      <c r="W287" s="3"/>
      <c r="X287" s="3"/>
      <c r="Y287" s="3"/>
      <c r="AA287" s="1362" t="s">
        <v>2708</v>
      </c>
      <c r="AB287" s="1362"/>
      <c r="AC287" s="1362"/>
      <c r="AD287" s="1362"/>
      <c r="AE287" s="1362"/>
      <c r="AF287" s="1362"/>
      <c r="AG287" s="1362"/>
      <c r="AH287" s="1362"/>
      <c r="AI287" s="1362"/>
      <c r="AJ287" s="1362"/>
      <c r="AK287" s="1362"/>
    </row>
    <row r="288" spans="1:51" ht="13.05" customHeight="1">
      <c r="B288" s="3" t="s">
        <v>471</v>
      </c>
      <c r="C288" s="3"/>
      <c r="D288" s="3"/>
      <c r="E288" s="3"/>
      <c r="F288" s="3"/>
      <c r="H288" s="1511" t="s">
        <v>2643</v>
      </c>
      <c r="I288" s="1511"/>
      <c r="J288" s="1511"/>
      <c r="K288" s="1511"/>
      <c r="L288" s="1511"/>
      <c r="M288" s="1511"/>
      <c r="N288" s="1511"/>
      <c r="O288" s="1511"/>
      <c r="P288" s="1511"/>
      <c r="Q288" s="1511"/>
      <c r="R288" s="1511"/>
      <c r="T288" s="3" t="s">
        <v>471</v>
      </c>
      <c r="V288" s="3"/>
      <c r="W288" s="3"/>
      <c r="X288" s="3"/>
      <c r="Y288" s="3"/>
      <c r="AA288" s="1511" t="s">
        <v>2688</v>
      </c>
      <c r="AB288" s="1511"/>
      <c r="AC288" s="1511"/>
      <c r="AD288" s="1511"/>
      <c r="AE288" s="1511"/>
      <c r="AF288" s="1511"/>
      <c r="AG288" s="1511"/>
      <c r="AH288" s="1511"/>
      <c r="AI288" s="1511"/>
      <c r="AJ288" s="1511"/>
      <c r="AK288" s="1511"/>
    </row>
    <row r="289" spans="2:37" ht="13.05" customHeight="1">
      <c r="B289" s="3" t="s">
        <v>472</v>
      </c>
      <c r="C289" s="3"/>
      <c r="D289" s="3"/>
      <c r="E289" s="3"/>
      <c r="F289" s="3"/>
      <c r="H289" s="1511" t="s">
        <v>2644</v>
      </c>
      <c r="I289" s="1511"/>
      <c r="J289" s="1511"/>
      <c r="K289" s="1511"/>
      <c r="L289" s="1511"/>
      <c r="M289" s="1511"/>
      <c r="N289" s="1511"/>
      <c r="O289" s="1511"/>
      <c r="P289" s="1511"/>
      <c r="Q289" s="1511"/>
      <c r="R289" s="1511"/>
      <c r="T289" s="3" t="s">
        <v>75</v>
      </c>
      <c r="V289" s="3"/>
      <c r="W289" s="3"/>
      <c r="X289" s="3"/>
      <c r="Y289" s="3"/>
      <c r="AA289" s="1511" t="s">
        <v>2689</v>
      </c>
      <c r="AB289" s="1511"/>
      <c r="AC289" s="1511"/>
      <c r="AD289" s="1511"/>
      <c r="AE289" s="1511"/>
      <c r="AF289" s="1511"/>
      <c r="AG289" s="1511"/>
      <c r="AH289" s="1511"/>
      <c r="AI289" s="1511"/>
      <c r="AJ289" s="1511"/>
      <c r="AK289" s="1511"/>
    </row>
    <row r="290" spans="2:37" ht="13.05" customHeight="1">
      <c r="B290" s="3" t="s">
        <v>87</v>
      </c>
      <c r="C290" s="3"/>
      <c r="D290" s="3"/>
      <c r="E290" s="3"/>
      <c r="F290" s="3"/>
      <c r="H290" s="1511" t="s">
        <v>2626</v>
      </c>
      <c r="I290" s="1511"/>
      <c r="J290" s="1511"/>
      <c r="K290" s="1511"/>
      <c r="L290" s="1511"/>
      <c r="M290" s="1511"/>
      <c r="N290" s="1511"/>
      <c r="O290" s="1511"/>
      <c r="P290" s="1511"/>
      <c r="Q290" s="1511"/>
      <c r="R290" s="1511"/>
      <c r="T290" s="3" t="s">
        <v>87</v>
      </c>
      <c r="V290" s="3"/>
      <c r="W290" s="3"/>
      <c r="X290" s="3"/>
      <c r="Y290" s="3"/>
      <c r="AA290" s="1511" t="s">
        <v>2690</v>
      </c>
      <c r="AB290" s="1511"/>
      <c r="AC290" s="1511"/>
      <c r="AD290" s="1511"/>
      <c r="AE290" s="1511"/>
      <c r="AF290" s="1511"/>
      <c r="AG290" s="1511"/>
      <c r="AH290" s="1511"/>
      <c r="AI290" s="1511"/>
      <c r="AJ290" s="1511"/>
      <c r="AK290" s="1511"/>
    </row>
    <row r="291" spans="2:37" ht="13.05" customHeight="1">
      <c r="B291" s="3" t="s">
        <v>88</v>
      </c>
      <c r="C291" s="3"/>
      <c r="D291" s="3"/>
      <c r="E291" s="3"/>
      <c r="F291" s="3"/>
      <c r="G291" s="3"/>
      <c r="H291" s="1745" t="s">
        <v>2627</v>
      </c>
      <c r="I291" s="1745"/>
      <c r="J291" s="1745"/>
      <c r="K291" s="1745"/>
      <c r="L291" s="1745"/>
      <c r="M291" s="1745"/>
      <c r="N291" s="4" t="s">
        <v>206</v>
      </c>
      <c r="O291" s="4"/>
      <c r="P291" s="1413"/>
      <c r="Q291" s="1413"/>
      <c r="R291" s="1413"/>
      <c r="S291" s="3"/>
      <c r="T291" s="3" t="s">
        <v>88</v>
      </c>
      <c r="V291" s="3"/>
      <c r="W291" s="3"/>
      <c r="X291" s="3"/>
      <c r="Y291" s="3"/>
      <c r="AA291" s="1745" t="s">
        <v>2691</v>
      </c>
      <c r="AB291" s="1745"/>
      <c r="AC291" s="1745"/>
      <c r="AD291" s="1745"/>
      <c r="AE291" s="1745"/>
      <c r="AF291" s="1745"/>
      <c r="AG291" s="4" t="s">
        <v>206</v>
      </c>
      <c r="AH291" s="4"/>
      <c r="AI291" s="1413"/>
      <c r="AJ291" s="1413"/>
      <c r="AK291" s="1413"/>
    </row>
    <row r="292" spans="2:37" ht="13.05" customHeight="1">
      <c r="B292" s="3" t="s">
        <v>89</v>
      </c>
      <c r="C292" s="3"/>
      <c r="D292" s="3"/>
      <c r="E292" s="3"/>
      <c r="F292" s="3"/>
      <c r="G292" s="3"/>
      <c r="H292" s="1417"/>
      <c r="I292" s="1417"/>
      <c r="J292" s="1417"/>
      <c r="K292" s="1417"/>
      <c r="L292" s="1417"/>
      <c r="M292" s="1417"/>
      <c r="N292" s="4"/>
      <c r="O292" s="4"/>
      <c r="P292" s="35"/>
      <c r="Q292" s="35"/>
      <c r="R292" s="35"/>
      <c r="S292" s="3"/>
      <c r="T292" s="3" t="s">
        <v>89</v>
      </c>
      <c r="V292" s="3"/>
      <c r="W292" s="3"/>
      <c r="X292" s="3"/>
      <c r="Y292" s="3"/>
      <c r="AA292" s="1417"/>
      <c r="AB292" s="1417"/>
      <c r="AC292" s="1417"/>
      <c r="AD292" s="1417"/>
      <c r="AE292" s="1417"/>
      <c r="AF292" s="1417"/>
      <c r="AG292" s="4"/>
      <c r="AH292" s="4"/>
      <c r="AI292" s="35"/>
      <c r="AJ292" s="35"/>
      <c r="AK292" s="35"/>
    </row>
    <row r="293" spans="2:37" ht="13.05" customHeight="1">
      <c r="B293" s="3" t="s">
        <v>76</v>
      </c>
      <c r="C293" s="3"/>
      <c r="D293" s="3"/>
      <c r="E293" s="3"/>
      <c r="F293" s="3"/>
      <c r="G293" s="3"/>
      <c r="H293" s="1511" t="s">
        <v>2628</v>
      </c>
      <c r="I293" s="1511"/>
      <c r="J293" s="1511"/>
      <c r="K293" s="1511"/>
      <c r="L293" s="1511"/>
      <c r="M293" s="1511"/>
      <c r="N293" s="1362"/>
      <c r="O293" s="1362"/>
      <c r="P293" s="1362"/>
      <c r="Q293" s="1362"/>
      <c r="R293" s="1362"/>
      <c r="S293" s="3"/>
      <c r="T293" s="3" t="s">
        <v>76</v>
      </c>
      <c r="V293" s="3"/>
      <c r="W293" s="3"/>
      <c r="X293" s="3"/>
      <c r="Y293" s="3"/>
      <c r="AA293" s="1511" t="s">
        <v>2692</v>
      </c>
      <c r="AB293" s="1511"/>
      <c r="AC293" s="1511"/>
      <c r="AD293" s="1511"/>
      <c r="AE293" s="1511"/>
      <c r="AF293" s="1511"/>
      <c r="AG293" s="1362"/>
      <c r="AH293" s="1362"/>
      <c r="AI293" s="1362"/>
      <c r="AJ293" s="1362"/>
      <c r="AK293" s="136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323</v>
      </c>
      <c r="C295" s="3"/>
      <c r="D295" s="3"/>
      <c r="E295" s="3"/>
      <c r="F295" s="3"/>
      <c r="H295" s="1362" t="s">
        <v>2645</v>
      </c>
      <c r="I295" s="1362"/>
      <c r="J295" s="1362"/>
      <c r="K295" s="1362"/>
      <c r="L295" s="1362"/>
      <c r="M295" s="1362"/>
      <c r="N295" s="1362"/>
      <c r="O295" s="1362"/>
      <c r="P295" s="1362"/>
      <c r="Q295" s="1362"/>
      <c r="R295" s="1362"/>
      <c r="T295" s="3" t="s">
        <v>364</v>
      </c>
      <c r="V295" s="3"/>
      <c r="W295" s="3"/>
      <c r="X295" s="3"/>
      <c r="Y295" s="3"/>
      <c r="AA295" s="1362" t="s">
        <v>2651</v>
      </c>
      <c r="AB295" s="1362"/>
      <c r="AC295" s="1362"/>
      <c r="AD295" s="1362"/>
      <c r="AE295" s="1362"/>
      <c r="AF295" s="1362"/>
      <c r="AG295" s="1362"/>
      <c r="AH295" s="1362"/>
      <c r="AI295" s="1362"/>
      <c r="AJ295" s="1362"/>
      <c r="AK295" s="1362"/>
    </row>
    <row r="296" spans="2:37" ht="13.05" customHeight="1">
      <c r="B296" s="3" t="s">
        <v>471</v>
      </c>
      <c r="C296" s="3"/>
      <c r="D296" s="3"/>
      <c r="E296" s="3"/>
      <c r="F296" s="3"/>
      <c r="H296" s="1511" t="s">
        <v>2646</v>
      </c>
      <c r="I296" s="1511"/>
      <c r="J296" s="1511"/>
      <c r="K296" s="1511"/>
      <c r="L296" s="1511"/>
      <c r="M296" s="1511"/>
      <c r="N296" s="1511"/>
      <c r="O296" s="1511"/>
      <c r="P296" s="1511"/>
      <c r="Q296" s="1511"/>
      <c r="R296" s="1511"/>
      <c r="T296" s="3" t="s">
        <v>471</v>
      </c>
      <c r="V296" s="3"/>
      <c r="W296" s="3"/>
      <c r="X296" s="3"/>
      <c r="Y296" s="3"/>
      <c r="AA296" s="1511" t="s">
        <v>2652</v>
      </c>
      <c r="AB296" s="1511"/>
      <c r="AC296" s="1511"/>
      <c r="AD296" s="1511"/>
      <c r="AE296" s="1511"/>
      <c r="AF296" s="1511"/>
      <c r="AG296" s="1511"/>
      <c r="AH296" s="1511"/>
      <c r="AI296" s="1511"/>
      <c r="AJ296" s="1511"/>
      <c r="AK296" s="1511"/>
    </row>
    <row r="297" spans="2:37" ht="13.05" customHeight="1">
      <c r="B297" s="3" t="s">
        <v>472</v>
      </c>
      <c r="C297" s="3"/>
      <c r="D297" s="3"/>
      <c r="E297" s="3"/>
      <c r="F297" s="3"/>
      <c r="H297" s="1511" t="s">
        <v>2647</v>
      </c>
      <c r="I297" s="1511"/>
      <c r="J297" s="1511"/>
      <c r="K297" s="1511"/>
      <c r="L297" s="1511"/>
      <c r="M297" s="1511"/>
      <c r="N297" s="1511"/>
      <c r="O297" s="1511"/>
      <c r="P297" s="1511"/>
      <c r="Q297" s="1511"/>
      <c r="R297" s="1511"/>
      <c r="T297" s="3" t="s">
        <v>75</v>
      </c>
      <c r="V297" s="3"/>
      <c r="W297" s="3"/>
      <c r="X297" s="3"/>
      <c r="Y297" s="3"/>
      <c r="AA297" s="1511" t="s">
        <v>2653</v>
      </c>
      <c r="AB297" s="1511"/>
      <c r="AC297" s="1511"/>
      <c r="AD297" s="1511"/>
      <c r="AE297" s="1511"/>
      <c r="AF297" s="1511"/>
      <c r="AG297" s="1511"/>
      <c r="AH297" s="1511"/>
      <c r="AI297" s="1511"/>
      <c r="AJ297" s="1511"/>
      <c r="AK297" s="1511"/>
    </row>
    <row r="298" spans="2:37" ht="13.05" customHeight="1">
      <c r="B298" s="3" t="s">
        <v>87</v>
      </c>
      <c r="C298" s="3"/>
      <c r="D298" s="3"/>
      <c r="E298" s="3"/>
      <c r="F298" s="3"/>
      <c r="H298" s="1511" t="s">
        <v>2648</v>
      </c>
      <c r="I298" s="1511"/>
      <c r="J298" s="1511"/>
      <c r="K298" s="1511"/>
      <c r="L298" s="1511"/>
      <c r="M298" s="1511"/>
      <c r="N298" s="1511"/>
      <c r="O298" s="1511"/>
      <c r="P298" s="1511"/>
      <c r="Q298" s="1511"/>
      <c r="R298" s="1511"/>
      <c r="T298" s="3" t="s">
        <v>87</v>
      </c>
      <c r="V298" s="3"/>
      <c r="W298" s="3"/>
      <c r="X298" s="3"/>
      <c r="Y298" s="3"/>
      <c r="AA298" s="1511" t="s">
        <v>2654</v>
      </c>
      <c r="AB298" s="1511"/>
      <c r="AC298" s="1511"/>
      <c r="AD298" s="1511"/>
      <c r="AE298" s="1511"/>
      <c r="AF298" s="1511"/>
      <c r="AG298" s="1511"/>
      <c r="AH298" s="1511"/>
      <c r="AI298" s="1511"/>
      <c r="AJ298" s="1511"/>
      <c r="AK298" s="1511"/>
    </row>
    <row r="299" spans="2:37" ht="13.05" customHeight="1">
      <c r="B299" s="3" t="s">
        <v>88</v>
      </c>
      <c r="C299" s="3"/>
      <c r="D299" s="3"/>
      <c r="E299" s="3"/>
      <c r="F299" s="3"/>
      <c r="G299" s="3"/>
      <c r="H299" s="1745" t="s">
        <v>2649</v>
      </c>
      <c r="I299" s="1745"/>
      <c r="J299" s="1745"/>
      <c r="K299" s="1745"/>
      <c r="L299" s="1745"/>
      <c r="M299" s="1745"/>
      <c r="N299" s="4" t="s">
        <v>206</v>
      </c>
      <c r="O299" s="4"/>
      <c r="P299" s="1413"/>
      <c r="Q299" s="1413"/>
      <c r="R299" s="1413"/>
      <c r="S299" s="3"/>
      <c r="T299" s="3" t="s">
        <v>88</v>
      </c>
      <c r="V299" s="3"/>
      <c r="W299" s="3"/>
      <c r="X299" s="3"/>
      <c r="Y299" s="3"/>
      <c r="AA299" s="1745" t="s">
        <v>2655</v>
      </c>
      <c r="AB299" s="1745"/>
      <c r="AC299" s="1745"/>
      <c r="AD299" s="1745"/>
      <c r="AE299" s="1745"/>
      <c r="AF299" s="1745"/>
      <c r="AG299" s="4" t="s">
        <v>206</v>
      </c>
      <c r="AH299" s="4"/>
      <c r="AI299" s="1413"/>
      <c r="AJ299" s="1413"/>
      <c r="AK299" s="1413"/>
    </row>
    <row r="300" spans="2:37" ht="13.05" customHeight="1">
      <c r="B300" s="3" t="s">
        <v>89</v>
      </c>
      <c r="C300" s="3"/>
      <c r="D300" s="3"/>
      <c r="E300" s="3"/>
      <c r="F300" s="3"/>
      <c r="G300" s="3"/>
      <c r="H300" s="1417"/>
      <c r="I300" s="1417"/>
      <c r="J300" s="1417"/>
      <c r="K300" s="1417"/>
      <c r="L300" s="1417"/>
      <c r="M300" s="1417"/>
      <c r="N300" s="4"/>
      <c r="O300" s="4"/>
      <c r="P300" s="35"/>
      <c r="Q300" s="35"/>
      <c r="R300" s="35"/>
      <c r="S300" s="3"/>
      <c r="T300" s="3" t="s">
        <v>89</v>
      </c>
      <c r="V300" s="3"/>
      <c r="W300" s="3"/>
      <c r="X300" s="3"/>
      <c r="Y300" s="3"/>
      <c r="AA300" s="1417"/>
      <c r="AB300" s="1417"/>
      <c r="AC300" s="1417"/>
      <c r="AD300" s="1417"/>
      <c r="AE300" s="1417"/>
      <c r="AF300" s="1417"/>
      <c r="AG300" s="4"/>
      <c r="AH300" s="4"/>
      <c r="AI300" s="35"/>
      <c r="AJ300" s="35"/>
      <c r="AK300" s="35"/>
    </row>
    <row r="301" spans="2:37" ht="13.05" customHeight="1">
      <c r="B301" s="3" t="s">
        <v>76</v>
      </c>
      <c r="C301" s="3"/>
      <c r="D301" s="3"/>
      <c r="E301" s="3"/>
      <c r="F301" s="3"/>
      <c r="G301" s="3"/>
      <c r="H301" s="1511" t="s">
        <v>2650</v>
      </c>
      <c r="I301" s="1511"/>
      <c r="J301" s="1511"/>
      <c r="K301" s="1511"/>
      <c r="L301" s="1511"/>
      <c r="M301" s="1511"/>
      <c r="N301" s="1362"/>
      <c r="O301" s="1362"/>
      <c r="P301" s="1362"/>
      <c r="Q301" s="1362"/>
      <c r="R301" s="1362"/>
      <c r="S301" s="3"/>
      <c r="T301" s="3" t="s">
        <v>76</v>
      </c>
      <c r="V301" s="3"/>
      <c r="W301" s="3"/>
      <c r="X301" s="3"/>
      <c r="Y301" s="3"/>
      <c r="AA301" s="1511" t="s">
        <v>2656</v>
      </c>
      <c r="AB301" s="1511"/>
      <c r="AC301" s="1511"/>
      <c r="AD301" s="1511"/>
      <c r="AE301" s="1511"/>
      <c r="AF301" s="1511"/>
      <c r="AG301" s="1362"/>
      <c r="AH301" s="1362"/>
      <c r="AI301" s="1362"/>
      <c r="AJ301" s="1362"/>
      <c r="AK301" s="1362"/>
    </row>
    <row r="302" spans="2:37" ht="13.05" customHeight="1"/>
    <row r="303" spans="2:37" ht="13.05" customHeight="1">
      <c r="B303" s="3" t="s">
        <v>77</v>
      </c>
      <c r="C303" s="3"/>
      <c r="D303" s="3"/>
      <c r="E303" s="3"/>
      <c r="F303" s="3"/>
      <c r="H303" s="1362" t="s">
        <v>2657</v>
      </c>
      <c r="I303" s="1362"/>
      <c r="J303" s="1362"/>
      <c r="K303" s="1362"/>
      <c r="L303" s="1362"/>
      <c r="M303" s="1362"/>
      <c r="N303" s="1362"/>
      <c r="O303" s="1362"/>
      <c r="P303" s="1362"/>
      <c r="Q303" s="1362"/>
      <c r="R303" s="1362"/>
      <c r="T303" s="4" t="s">
        <v>878</v>
      </c>
      <c r="V303" s="3"/>
      <c r="W303" s="3"/>
      <c r="X303" s="3"/>
      <c r="Y303" s="3"/>
      <c r="AA303" s="1362" t="s">
        <v>2663</v>
      </c>
      <c r="AB303" s="1362"/>
      <c r="AC303" s="1362"/>
      <c r="AD303" s="1362"/>
      <c r="AE303" s="1362"/>
      <c r="AF303" s="1362"/>
      <c r="AG303" s="1362"/>
      <c r="AH303" s="1362"/>
      <c r="AI303" s="1362"/>
      <c r="AJ303" s="1362"/>
      <c r="AK303" s="1362"/>
    </row>
    <row r="304" spans="2:37" ht="13.05" customHeight="1">
      <c r="B304" s="3" t="s">
        <v>471</v>
      </c>
      <c r="C304" s="3"/>
      <c r="D304" s="3"/>
      <c r="E304" s="3"/>
      <c r="F304" s="3"/>
      <c r="H304" s="1511" t="s">
        <v>2658</v>
      </c>
      <c r="I304" s="1511"/>
      <c r="J304" s="1511"/>
      <c r="K304" s="1511"/>
      <c r="L304" s="1511"/>
      <c r="M304" s="1511"/>
      <c r="N304" s="1511"/>
      <c r="O304" s="1511"/>
      <c r="P304" s="1511"/>
      <c r="Q304" s="1511"/>
      <c r="R304" s="1511"/>
      <c r="T304" s="3" t="s">
        <v>471</v>
      </c>
      <c r="V304" s="3"/>
      <c r="W304" s="3"/>
      <c r="X304" s="3"/>
      <c r="Y304" s="3"/>
      <c r="AA304" s="1511" t="s">
        <v>2664</v>
      </c>
      <c r="AB304" s="1511"/>
      <c r="AC304" s="1511"/>
      <c r="AD304" s="1511"/>
      <c r="AE304" s="1511"/>
      <c r="AF304" s="1511"/>
      <c r="AG304" s="1511"/>
      <c r="AH304" s="1511"/>
      <c r="AI304" s="1511"/>
      <c r="AJ304" s="1511"/>
      <c r="AK304" s="1511"/>
    </row>
    <row r="305" spans="2:37" ht="13.05" customHeight="1">
      <c r="B305" s="3" t="s">
        <v>472</v>
      </c>
      <c r="C305" s="3"/>
      <c r="D305" s="3"/>
      <c r="E305" s="3"/>
      <c r="F305" s="3"/>
      <c r="H305" s="1511" t="s">
        <v>2659</v>
      </c>
      <c r="I305" s="1511"/>
      <c r="J305" s="1511"/>
      <c r="K305" s="1511"/>
      <c r="L305" s="1511"/>
      <c r="M305" s="1511"/>
      <c r="N305" s="1511"/>
      <c r="O305" s="1511"/>
      <c r="P305" s="1511"/>
      <c r="Q305" s="1511"/>
      <c r="R305" s="1511"/>
      <c r="T305" s="3" t="s">
        <v>75</v>
      </c>
      <c r="V305" s="3"/>
      <c r="W305" s="3"/>
      <c r="X305" s="3"/>
      <c r="Y305" s="3"/>
      <c r="AA305" s="1511" t="s">
        <v>2665</v>
      </c>
      <c r="AB305" s="1511"/>
      <c r="AC305" s="1511"/>
      <c r="AD305" s="1511"/>
      <c r="AE305" s="1511"/>
      <c r="AF305" s="1511"/>
      <c r="AG305" s="1511"/>
      <c r="AH305" s="1511"/>
      <c r="AI305" s="1511"/>
      <c r="AJ305" s="1511"/>
      <c r="AK305" s="1511"/>
    </row>
    <row r="306" spans="2:37" ht="13.05" customHeight="1">
      <c r="B306" s="3" t="s">
        <v>87</v>
      </c>
      <c r="C306" s="3"/>
      <c r="D306" s="3"/>
      <c r="E306" s="3"/>
      <c r="F306" s="3"/>
      <c r="H306" s="1511" t="s">
        <v>2660</v>
      </c>
      <c r="I306" s="1511"/>
      <c r="J306" s="1511"/>
      <c r="K306" s="1511"/>
      <c r="L306" s="1511"/>
      <c r="M306" s="1511"/>
      <c r="N306" s="1511"/>
      <c r="O306" s="1511"/>
      <c r="P306" s="1511"/>
      <c r="Q306" s="1511"/>
      <c r="R306" s="1511"/>
      <c r="T306" s="3" t="s">
        <v>87</v>
      </c>
      <c r="V306" s="3"/>
      <c r="W306" s="3"/>
      <c r="X306" s="3"/>
      <c r="Y306" s="3"/>
      <c r="AA306" s="1511" t="s">
        <v>2666</v>
      </c>
      <c r="AB306" s="1511"/>
      <c r="AC306" s="1511"/>
      <c r="AD306" s="1511"/>
      <c r="AE306" s="1511"/>
      <c r="AF306" s="1511"/>
      <c r="AG306" s="1511"/>
      <c r="AH306" s="1511"/>
      <c r="AI306" s="1511"/>
      <c r="AJ306" s="1511"/>
      <c r="AK306" s="1511"/>
    </row>
    <row r="307" spans="2:37" ht="13.05" customHeight="1">
      <c r="B307" s="3" t="s">
        <v>88</v>
      </c>
      <c r="C307" s="3"/>
      <c r="D307" s="3"/>
      <c r="E307" s="3"/>
      <c r="F307" s="3"/>
      <c r="G307" s="3"/>
      <c r="H307" s="1745" t="s">
        <v>2661</v>
      </c>
      <c r="I307" s="1745"/>
      <c r="J307" s="1745"/>
      <c r="K307" s="1745"/>
      <c r="L307" s="1745"/>
      <c r="M307" s="1745"/>
      <c r="N307" s="4" t="s">
        <v>206</v>
      </c>
      <c r="O307" s="4"/>
      <c r="P307" s="1413"/>
      <c r="Q307" s="1413"/>
      <c r="R307" s="1413"/>
      <c r="S307" s="3"/>
      <c r="T307" s="3" t="s">
        <v>88</v>
      </c>
      <c r="V307" s="3"/>
      <c r="W307" s="3"/>
      <c r="X307" s="3"/>
      <c r="Y307" s="3"/>
      <c r="AA307" s="1745" t="s">
        <v>2667</v>
      </c>
      <c r="AB307" s="1745"/>
      <c r="AC307" s="1745"/>
      <c r="AD307" s="1745"/>
      <c r="AE307" s="1745"/>
      <c r="AF307" s="1745"/>
      <c r="AG307" s="4" t="s">
        <v>206</v>
      </c>
      <c r="AH307" s="4"/>
      <c r="AI307" s="1413"/>
      <c r="AJ307" s="1413"/>
      <c r="AK307" s="1413"/>
    </row>
    <row r="308" spans="2:37" ht="13.05" customHeight="1">
      <c r="B308" s="3" t="s">
        <v>89</v>
      </c>
      <c r="C308" s="3"/>
      <c r="D308" s="3"/>
      <c r="E308" s="3"/>
      <c r="F308" s="3"/>
      <c r="G308" s="3"/>
      <c r="H308" s="1417"/>
      <c r="I308" s="1417"/>
      <c r="J308" s="1417"/>
      <c r="K308" s="1417"/>
      <c r="L308" s="1417"/>
      <c r="M308" s="1417"/>
      <c r="N308" s="4"/>
      <c r="O308" s="4"/>
      <c r="P308" s="35"/>
      <c r="Q308" s="35"/>
      <c r="R308" s="35"/>
      <c r="S308" s="3"/>
      <c r="T308" s="3" t="s">
        <v>89</v>
      </c>
      <c r="V308" s="3"/>
      <c r="W308" s="3"/>
      <c r="X308" s="3"/>
      <c r="Y308" s="3"/>
      <c r="AA308" s="1417"/>
      <c r="AB308" s="1417"/>
      <c r="AC308" s="1417"/>
      <c r="AD308" s="1417"/>
      <c r="AE308" s="1417"/>
      <c r="AF308" s="1417"/>
      <c r="AG308" s="4"/>
      <c r="AH308" s="4"/>
      <c r="AI308" s="35"/>
      <c r="AJ308" s="35"/>
      <c r="AK308" s="35"/>
    </row>
    <row r="309" spans="2:37" ht="13.05" customHeight="1">
      <c r="B309" s="3" t="s">
        <v>76</v>
      </c>
      <c r="C309" s="3"/>
      <c r="D309" s="3"/>
      <c r="E309" s="3"/>
      <c r="F309" s="3"/>
      <c r="G309" s="3"/>
      <c r="H309" s="1511" t="s">
        <v>2662</v>
      </c>
      <c r="I309" s="1511"/>
      <c r="J309" s="1511"/>
      <c r="K309" s="1511"/>
      <c r="L309" s="1511"/>
      <c r="M309" s="1511"/>
      <c r="N309" s="1362"/>
      <c r="O309" s="1362"/>
      <c r="P309" s="1362"/>
      <c r="Q309" s="1362"/>
      <c r="R309" s="1362"/>
      <c r="S309" s="3"/>
      <c r="T309" s="3" t="s">
        <v>76</v>
      </c>
      <c r="V309" s="3"/>
      <c r="W309" s="3"/>
      <c r="X309" s="3"/>
      <c r="Y309" s="3"/>
      <c r="AA309" s="1511" t="s">
        <v>2668</v>
      </c>
      <c r="AB309" s="1511"/>
      <c r="AC309" s="1511"/>
      <c r="AD309" s="1511"/>
      <c r="AE309" s="1511"/>
      <c r="AF309" s="1511"/>
      <c r="AG309" s="1362"/>
      <c r="AH309" s="1362"/>
      <c r="AI309" s="1362"/>
      <c r="AJ309" s="1362"/>
      <c r="AK309" s="136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62" t="s">
        <v>2657</v>
      </c>
      <c r="I311" s="1362"/>
      <c r="J311" s="1362"/>
      <c r="K311" s="1362"/>
      <c r="L311" s="1362"/>
      <c r="M311" s="1362"/>
      <c r="N311" s="1362"/>
      <c r="O311" s="1362"/>
      <c r="P311" s="1362"/>
      <c r="Q311" s="1362"/>
      <c r="R311" s="1362"/>
      <c r="S311" s="3"/>
      <c r="T311" s="3" t="s">
        <v>365</v>
      </c>
      <c r="V311" s="3"/>
      <c r="W311" s="3"/>
      <c r="X311" s="3"/>
      <c r="Y311" s="3"/>
      <c r="AA311" s="1361" t="s">
        <v>2732</v>
      </c>
      <c r="AB311" s="1362"/>
      <c r="AC311" s="1362"/>
      <c r="AD311" s="1362"/>
      <c r="AE311" s="1362"/>
      <c r="AF311" s="1362"/>
      <c r="AG311" s="1362"/>
      <c r="AH311" s="1362"/>
      <c r="AI311" s="1362"/>
      <c r="AJ311" s="1362"/>
      <c r="AK311" s="1362"/>
    </row>
    <row r="312" spans="2:37" ht="13.05" customHeight="1">
      <c r="B312" s="3" t="s">
        <v>471</v>
      </c>
      <c r="C312" s="3"/>
      <c r="D312" s="3"/>
      <c r="E312" s="3"/>
      <c r="F312" s="3"/>
      <c r="H312" s="1511" t="s">
        <v>2658</v>
      </c>
      <c r="I312" s="1511"/>
      <c r="J312" s="1511"/>
      <c r="K312" s="1511"/>
      <c r="L312" s="1511"/>
      <c r="M312" s="1511"/>
      <c r="N312" s="1511"/>
      <c r="O312" s="1511"/>
      <c r="P312" s="1511"/>
      <c r="Q312" s="1511"/>
      <c r="R312" s="1511"/>
      <c r="S312" s="3"/>
      <c r="T312" s="3" t="s">
        <v>471</v>
      </c>
      <c r="V312" s="3"/>
      <c r="W312" s="3"/>
      <c r="X312" s="3"/>
      <c r="Y312" s="3"/>
      <c r="AA312" s="1556" t="s">
        <v>2731</v>
      </c>
      <c r="AB312" s="1511"/>
      <c r="AC312" s="1511"/>
      <c r="AD312" s="1511"/>
      <c r="AE312" s="1511"/>
      <c r="AF312" s="1511"/>
      <c r="AG312" s="1511"/>
      <c r="AH312" s="1511"/>
      <c r="AI312" s="1511"/>
      <c r="AJ312" s="1511"/>
      <c r="AK312" s="1511"/>
    </row>
    <row r="313" spans="2:37" ht="13.05" customHeight="1">
      <c r="B313" s="3" t="s">
        <v>472</v>
      </c>
      <c r="C313" s="3"/>
      <c r="D313" s="3"/>
      <c r="E313" s="3"/>
      <c r="F313" s="3"/>
      <c r="H313" s="1511" t="s">
        <v>2659</v>
      </c>
      <c r="I313" s="1511"/>
      <c r="J313" s="1511"/>
      <c r="K313" s="1511"/>
      <c r="L313" s="1511"/>
      <c r="M313" s="1511"/>
      <c r="N313" s="1511"/>
      <c r="O313" s="1511"/>
      <c r="P313" s="1511"/>
      <c r="Q313" s="1511"/>
      <c r="R313" s="1511"/>
      <c r="S313" s="3"/>
      <c r="T313" s="3" t="s">
        <v>75</v>
      </c>
      <c r="V313" s="3"/>
      <c r="W313" s="3"/>
      <c r="X313" s="3"/>
      <c r="Y313" s="3"/>
      <c r="AA313" s="1776" t="s">
        <v>2733</v>
      </c>
      <c r="AB313" s="1511"/>
      <c r="AC313" s="1511"/>
      <c r="AD313" s="1511"/>
      <c r="AE313" s="1511"/>
      <c r="AF313" s="1511"/>
      <c r="AG313" s="1511"/>
      <c r="AH313" s="1511"/>
      <c r="AI313" s="1511"/>
      <c r="AJ313" s="1511"/>
      <c r="AK313" s="1511"/>
    </row>
    <row r="314" spans="2:37" ht="13.05" customHeight="1">
      <c r="B314" s="3" t="s">
        <v>87</v>
      </c>
      <c r="C314" s="3"/>
      <c r="D314" s="3"/>
      <c r="E314" s="3"/>
      <c r="F314" s="3"/>
      <c r="H314" s="1511" t="s">
        <v>2660</v>
      </c>
      <c r="I314" s="1511"/>
      <c r="J314" s="1511"/>
      <c r="K314" s="1511"/>
      <c r="L314" s="1511"/>
      <c r="M314" s="1511"/>
      <c r="N314" s="1511"/>
      <c r="O314" s="1511"/>
      <c r="P314" s="1511"/>
      <c r="Q314" s="1511"/>
      <c r="R314" s="1511"/>
      <c r="S314" s="3"/>
      <c r="T314" s="3" t="s">
        <v>87</v>
      </c>
      <c r="V314" s="3"/>
      <c r="W314" s="3"/>
      <c r="X314" s="3"/>
      <c r="Y314" s="3"/>
      <c r="AA314" s="1556" t="s">
        <v>2734</v>
      </c>
      <c r="AB314" s="1511"/>
      <c r="AC314" s="1511"/>
      <c r="AD314" s="1511"/>
      <c r="AE314" s="1511"/>
      <c r="AF314" s="1511"/>
      <c r="AG314" s="1511"/>
      <c r="AH314" s="1511"/>
      <c r="AI314" s="1511"/>
      <c r="AJ314" s="1511"/>
      <c r="AK314" s="1511"/>
    </row>
    <row r="315" spans="2:37" ht="13.05" customHeight="1">
      <c r="B315" s="3" t="s">
        <v>88</v>
      </c>
      <c r="C315" s="3"/>
      <c r="D315" s="3"/>
      <c r="E315" s="3"/>
      <c r="F315" s="3"/>
      <c r="G315" s="3"/>
      <c r="H315" s="1745" t="s">
        <v>2661</v>
      </c>
      <c r="I315" s="1745"/>
      <c r="J315" s="1745"/>
      <c r="K315" s="1745"/>
      <c r="L315" s="1745"/>
      <c r="M315" s="1745"/>
      <c r="N315" s="4" t="s">
        <v>206</v>
      </c>
      <c r="O315" s="4"/>
      <c r="P315" s="1413"/>
      <c r="Q315" s="1413"/>
      <c r="R315" s="1413"/>
      <c r="S315" s="3"/>
      <c r="T315" s="3" t="s">
        <v>88</v>
      </c>
      <c r="V315" s="3"/>
      <c r="W315" s="3"/>
      <c r="X315" s="3"/>
      <c r="Y315" s="3"/>
      <c r="AA315" s="1789" t="s">
        <v>2737</v>
      </c>
      <c r="AB315" s="1745"/>
      <c r="AC315" s="1745"/>
      <c r="AD315" s="1745"/>
      <c r="AE315" s="1745"/>
      <c r="AF315" s="1745"/>
      <c r="AG315" s="4" t="s">
        <v>206</v>
      </c>
      <c r="AH315" s="4"/>
      <c r="AI315" s="1413"/>
      <c r="AJ315" s="1413"/>
      <c r="AK315" s="1413"/>
    </row>
    <row r="316" spans="2:37" ht="13.05" customHeight="1">
      <c r="B316" s="3" t="s">
        <v>89</v>
      </c>
      <c r="C316" s="3"/>
      <c r="D316" s="3"/>
      <c r="E316" s="3"/>
      <c r="F316" s="3"/>
      <c r="G316" s="3"/>
      <c r="H316" s="1417"/>
      <c r="I316" s="1417"/>
      <c r="J316" s="1417"/>
      <c r="K316" s="1417"/>
      <c r="L316" s="1417"/>
      <c r="M316" s="1417"/>
      <c r="N316" s="4"/>
      <c r="O316" s="4"/>
      <c r="P316" s="35"/>
      <c r="Q316" s="35"/>
      <c r="R316" s="35"/>
      <c r="S316" s="3"/>
      <c r="T316" s="3" t="s">
        <v>89</v>
      </c>
      <c r="V316" s="3"/>
      <c r="W316" s="3"/>
      <c r="X316" s="3"/>
      <c r="Y316" s="3"/>
      <c r="AA316" s="1417"/>
      <c r="AB316" s="1417"/>
      <c r="AC316" s="1417"/>
      <c r="AD316" s="1417"/>
      <c r="AE316" s="1417"/>
      <c r="AF316" s="1417"/>
      <c r="AG316" s="4"/>
      <c r="AH316" s="4"/>
      <c r="AI316" s="35"/>
      <c r="AJ316" s="35"/>
      <c r="AK316" s="35"/>
    </row>
    <row r="317" spans="2:37" ht="13.05" customHeight="1">
      <c r="B317" s="3" t="s">
        <v>76</v>
      </c>
      <c r="C317" s="3"/>
      <c r="D317" s="3"/>
      <c r="E317" s="3"/>
      <c r="F317" s="3"/>
      <c r="G317" s="3"/>
      <c r="H317" s="1511" t="s">
        <v>2662</v>
      </c>
      <c r="I317" s="1511"/>
      <c r="J317" s="1511"/>
      <c r="K317" s="1511"/>
      <c r="L317" s="1511"/>
      <c r="M317" s="1511"/>
      <c r="N317" s="1362"/>
      <c r="O317" s="1362"/>
      <c r="P317" s="1362"/>
      <c r="Q317" s="1362"/>
      <c r="R317" s="1362"/>
      <c r="S317" s="3"/>
      <c r="T317" s="3" t="s">
        <v>76</v>
      </c>
      <c r="V317" s="3"/>
      <c r="W317" s="3"/>
      <c r="X317" s="3"/>
      <c r="Y317" s="3"/>
      <c r="AA317" s="1556" t="s">
        <v>2736</v>
      </c>
      <c r="AB317" s="1511"/>
      <c r="AC317" s="1511"/>
      <c r="AD317" s="1511"/>
      <c r="AE317" s="1511"/>
      <c r="AF317" s="1511"/>
      <c r="AG317" s="1362"/>
      <c r="AH317" s="1362"/>
      <c r="AI317" s="1362"/>
      <c r="AJ317" s="1362"/>
      <c r="AK317" s="1362"/>
    </row>
    <row r="318" spans="2:37" ht="13.05" customHeight="1"/>
    <row r="319" spans="2:37" ht="13.05" customHeight="1">
      <c r="B319" s="4" t="s">
        <v>908</v>
      </c>
      <c r="C319" s="3"/>
      <c r="D319" s="3"/>
      <c r="E319" s="3"/>
      <c r="F319" s="3"/>
      <c r="H319" s="1362"/>
      <c r="I319" s="1362"/>
      <c r="J319" s="1362"/>
      <c r="K319" s="1362"/>
      <c r="L319" s="1362"/>
      <c r="M319" s="1362"/>
      <c r="N319" s="1362"/>
      <c r="O319" s="1362"/>
      <c r="P319" s="1362"/>
      <c r="Q319" s="1362"/>
      <c r="R319" s="1362"/>
      <c r="T319" s="3" t="s">
        <v>366</v>
      </c>
      <c r="V319" s="3"/>
      <c r="W319" s="3"/>
      <c r="X319" s="3"/>
      <c r="Y319" s="3"/>
      <c r="AA319" s="1362" t="s">
        <v>2669</v>
      </c>
      <c r="AB319" s="1362"/>
      <c r="AC319" s="1362"/>
      <c r="AD319" s="1362"/>
      <c r="AE319" s="1362"/>
      <c r="AF319" s="1362"/>
      <c r="AG319" s="1362"/>
      <c r="AH319" s="1362"/>
      <c r="AI319" s="1362"/>
      <c r="AJ319" s="1362"/>
      <c r="AK319" s="1362"/>
    </row>
    <row r="320" spans="2:37" ht="13.05" customHeight="1">
      <c r="B320" s="3" t="s">
        <v>471</v>
      </c>
      <c r="C320" s="3"/>
      <c r="D320" s="3"/>
      <c r="E320" s="3"/>
      <c r="F320" s="3"/>
      <c r="H320" s="1511"/>
      <c r="I320" s="1511"/>
      <c r="J320" s="1511"/>
      <c r="K320" s="1511"/>
      <c r="L320" s="1511"/>
      <c r="M320" s="1511"/>
      <c r="N320" s="1511"/>
      <c r="O320" s="1511"/>
      <c r="P320" s="1511"/>
      <c r="Q320" s="1511"/>
      <c r="R320" s="1511"/>
      <c r="T320" s="3" t="s">
        <v>471</v>
      </c>
      <c r="V320" s="3"/>
      <c r="W320" s="3"/>
      <c r="X320" s="3"/>
      <c r="Y320" s="3"/>
      <c r="AA320" s="1511" t="s">
        <v>2658</v>
      </c>
      <c r="AB320" s="1511"/>
      <c r="AC320" s="1511"/>
      <c r="AD320" s="1511"/>
      <c r="AE320" s="1511"/>
      <c r="AF320" s="1511"/>
      <c r="AG320" s="1511"/>
      <c r="AH320" s="1511"/>
      <c r="AI320" s="1511"/>
      <c r="AJ320" s="1511"/>
      <c r="AK320" s="1511"/>
    </row>
    <row r="321" spans="2:37" ht="13.05" customHeight="1">
      <c r="B321" s="3" t="s">
        <v>472</v>
      </c>
      <c r="C321" s="3"/>
      <c r="D321" s="3"/>
      <c r="E321" s="3"/>
      <c r="F321" s="3"/>
      <c r="H321" s="1511"/>
      <c r="I321" s="1511"/>
      <c r="J321" s="1511"/>
      <c r="K321" s="1511"/>
      <c r="L321" s="1511"/>
      <c r="M321" s="1511"/>
      <c r="N321" s="1511"/>
      <c r="O321" s="1511"/>
      <c r="P321" s="1511"/>
      <c r="Q321" s="1511"/>
      <c r="R321" s="1511"/>
      <c r="T321" s="3" t="s">
        <v>75</v>
      </c>
      <c r="V321" s="3"/>
      <c r="W321" s="3"/>
      <c r="X321" s="3"/>
      <c r="Y321" s="3"/>
      <c r="AA321" s="1511" t="s">
        <v>2659</v>
      </c>
      <c r="AB321" s="1511"/>
      <c r="AC321" s="1511"/>
      <c r="AD321" s="1511"/>
      <c r="AE321" s="1511"/>
      <c r="AF321" s="1511"/>
      <c r="AG321" s="1511"/>
      <c r="AH321" s="1511"/>
      <c r="AI321" s="1511"/>
      <c r="AJ321" s="1511"/>
      <c r="AK321" s="1511"/>
    </row>
    <row r="322" spans="2:37" ht="13.05" customHeight="1">
      <c r="B322" s="3" t="s">
        <v>87</v>
      </c>
      <c r="C322" s="3"/>
      <c r="D322" s="3"/>
      <c r="E322" s="3"/>
      <c r="F322" s="3"/>
      <c r="H322" s="1511"/>
      <c r="I322" s="1511"/>
      <c r="J322" s="1511"/>
      <c r="K322" s="1511"/>
      <c r="L322" s="1511"/>
      <c r="M322" s="1511"/>
      <c r="N322" s="1511"/>
      <c r="O322" s="1511"/>
      <c r="P322" s="1511"/>
      <c r="Q322" s="1511"/>
      <c r="R322" s="1511"/>
      <c r="T322" s="3" t="s">
        <v>87</v>
      </c>
      <c r="V322" s="3"/>
      <c r="W322" s="3"/>
      <c r="X322" s="3"/>
      <c r="Y322" s="3"/>
      <c r="AA322" s="1511" t="s">
        <v>2670</v>
      </c>
      <c r="AB322" s="1511"/>
      <c r="AC322" s="1511"/>
      <c r="AD322" s="1511"/>
      <c r="AE322" s="1511"/>
      <c r="AF322" s="1511"/>
      <c r="AG322" s="1511"/>
      <c r="AH322" s="1511"/>
      <c r="AI322" s="1511"/>
      <c r="AJ322" s="1511"/>
      <c r="AK322" s="1511"/>
    </row>
    <row r="323" spans="2:37" ht="13.05" customHeight="1">
      <c r="B323" s="3" t="s">
        <v>88</v>
      </c>
      <c r="C323" s="3"/>
      <c r="D323" s="3"/>
      <c r="E323" s="3"/>
      <c r="F323" s="3"/>
      <c r="G323" s="3"/>
      <c r="H323" s="1745"/>
      <c r="I323" s="1745"/>
      <c r="J323" s="1745"/>
      <c r="K323" s="1745"/>
      <c r="L323" s="1745"/>
      <c r="M323" s="1745"/>
      <c r="N323" s="4" t="s">
        <v>206</v>
      </c>
      <c r="O323" s="4"/>
      <c r="P323" s="1413"/>
      <c r="Q323" s="1413"/>
      <c r="R323" s="1413"/>
      <c r="S323" s="3"/>
      <c r="T323" s="3" t="s">
        <v>88</v>
      </c>
      <c r="V323" s="3"/>
      <c r="W323" s="3"/>
      <c r="X323" s="3"/>
      <c r="Y323" s="3"/>
      <c r="AA323" s="1745" t="s">
        <v>2671</v>
      </c>
      <c r="AB323" s="1745"/>
      <c r="AC323" s="1745"/>
      <c r="AD323" s="1745"/>
      <c r="AE323" s="1745"/>
      <c r="AF323" s="1745"/>
      <c r="AG323" s="4" t="s">
        <v>206</v>
      </c>
      <c r="AH323" s="4"/>
      <c r="AI323" s="1413"/>
      <c r="AJ323" s="1413"/>
      <c r="AK323" s="1413"/>
    </row>
    <row r="324" spans="2:37" ht="13.05" customHeight="1">
      <c r="B324" s="3" t="s">
        <v>89</v>
      </c>
      <c r="C324" s="3"/>
      <c r="D324" s="3"/>
      <c r="E324" s="3"/>
      <c r="F324" s="3"/>
      <c r="G324" s="3"/>
      <c r="H324" s="1417"/>
      <c r="I324" s="1417"/>
      <c r="J324" s="1417"/>
      <c r="K324" s="1417"/>
      <c r="L324" s="1417"/>
      <c r="M324" s="1417"/>
      <c r="N324" s="4"/>
      <c r="O324" s="4"/>
      <c r="P324" s="35"/>
      <c r="Q324" s="35"/>
      <c r="R324" s="35"/>
      <c r="S324" s="3"/>
      <c r="T324" s="3" t="s">
        <v>89</v>
      </c>
      <c r="V324" s="3"/>
      <c r="W324" s="3"/>
      <c r="X324" s="3"/>
      <c r="Y324" s="3"/>
      <c r="AA324" s="1417"/>
      <c r="AB324" s="1417"/>
      <c r="AC324" s="1417"/>
      <c r="AD324" s="1417"/>
      <c r="AE324" s="1417"/>
      <c r="AF324" s="1417"/>
      <c r="AG324" s="4"/>
      <c r="AH324" s="4"/>
      <c r="AI324" s="35"/>
      <c r="AJ324" s="35"/>
      <c r="AK324" s="35"/>
    </row>
    <row r="325" spans="2:37" ht="13.05" customHeight="1">
      <c r="B325" s="3" t="s">
        <v>76</v>
      </c>
      <c r="C325" s="3"/>
      <c r="D325" s="3"/>
      <c r="E325" s="3"/>
      <c r="F325" s="3"/>
      <c r="G325" s="3"/>
      <c r="H325" s="1511"/>
      <c r="I325" s="1511"/>
      <c r="J325" s="1511"/>
      <c r="K325" s="1511"/>
      <c r="L325" s="1511"/>
      <c r="M325" s="1511"/>
      <c r="N325" s="1362"/>
      <c r="O325" s="1362"/>
      <c r="P325" s="1362"/>
      <c r="Q325" s="1362"/>
      <c r="R325" s="1362"/>
      <c r="S325" s="3"/>
      <c r="T325" s="3" t="s">
        <v>76</v>
      </c>
      <c r="V325" s="3"/>
      <c r="W325" s="3"/>
      <c r="X325" s="3"/>
      <c r="Y325" s="3"/>
      <c r="AA325" s="1511" t="s">
        <v>2672</v>
      </c>
      <c r="AB325" s="1511"/>
      <c r="AC325" s="1511"/>
      <c r="AD325" s="1511"/>
      <c r="AE325" s="1511"/>
      <c r="AF325" s="1511"/>
      <c r="AG325" s="1362"/>
      <c r="AH325" s="1362"/>
      <c r="AI325" s="1362"/>
      <c r="AJ325" s="1362"/>
      <c r="AK325" s="136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367</v>
      </c>
      <c r="C327" s="3"/>
      <c r="D327" s="3"/>
      <c r="E327" s="3"/>
      <c r="F327" s="3"/>
      <c r="H327" s="1362" t="s">
        <v>2657</v>
      </c>
      <c r="I327" s="1362"/>
      <c r="J327" s="1362"/>
      <c r="K327" s="1362"/>
      <c r="L327" s="1362"/>
      <c r="M327" s="1362"/>
      <c r="N327" s="1362"/>
      <c r="O327" s="1362"/>
      <c r="P327" s="1362"/>
      <c r="Q327" s="1362"/>
      <c r="R327" s="1362"/>
      <c r="T327" s="3" t="s">
        <v>368</v>
      </c>
      <c r="V327" s="3"/>
      <c r="W327" s="3"/>
      <c r="X327" s="3"/>
      <c r="Y327" s="3"/>
      <c r="AA327" s="1362"/>
      <c r="AB327" s="1362"/>
      <c r="AC327" s="1362"/>
      <c r="AD327" s="1362"/>
      <c r="AE327" s="1362"/>
      <c r="AF327" s="1362"/>
      <c r="AG327" s="1362"/>
      <c r="AH327" s="1362"/>
      <c r="AI327" s="1362"/>
      <c r="AJ327" s="1362"/>
      <c r="AK327" s="1362"/>
    </row>
    <row r="328" spans="2:37" ht="13.05" customHeight="1">
      <c r="B328" s="3" t="s">
        <v>471</v>
      </c>
      <c r="C328" s="3"/>
      <c r="D328" s="3"/>
      <c r="E328" s="3"/>
      <c r="F328" s="3"/>
      <c r="H328" s="1511" t="s">
        <v>2673</v>
      </c>
      <c r="I328" s="1511"/>
      <c r="J328" s="1511"/>
      <c r="K328" s="1511"/>
      <c r="L328" s="1511"/>
      <c r="M328" s="1511"/>
      <c r="N328" s="1511"/>
      <c r="O328" s="1511"/>
      <c r="P328" s="1511"/>
      <c r="Q328" s="1511"/>
      <c r="R328" s="1511"/>
      <c r="T328" s="3" t="s">
        <v>471</v>
      </c>
      <c r="V328" s="3"/>
      <c r="W328" s="3"/>
      <c r="X328" s="3"/>
      <c r="Y328" s="3"/>
      <c r="AA328" s="1511"/>
      <c r="AB328" s="1511"/>
      <c r="AC328" s="1511"/>
      <c r="AD328" s="1511"/>
      <c r="AE328" s="1511"/>
      <c r="AF328" s="1511"/>
      <c r="AG328" s="1511"/>
      <c r="AH328" s="1511"/>
      <c r="AI328" s="1511"/>
      <c r="AJ328" s="1511"/>
      <c r="AK328" s="1511"/>
    </row>
    <row r="329" spans="2:37" ht="13.05" customHeight="1">
      <c r="B329" s="3" t="s">
        <v>472</v>
      </c>
      <c r="C329" s="3"/>
      <c r="D329" s="3"/>
      <c r="E329" s="3"/>
      <c r="F329" s="3"/>
      <c r="H329" s="1511" t="s">
        <v>2674</v>
      </c>
      <c r="I329" s="1511"/>
      <c r="J329" s="1511"/>
      <c r="K329" s="1511"/>
      <c r="L329" s="1511"/>
      <c r="M329" s="1511"/>
      <c r="N329" s="1511"/>
      <c r="O329" s="1511"/>
      <c r="P329" s="1511"/>
      <c r="Q329" s="1511"/>
      <c r="R329" s="1511"/>
      <c r="T329" s="3" t="s">
        <v>75</v>
      </c>
      <c r="V329" s="3"/>
      <c r="W329" s="3"/>
      <c r="X329" s="3"/>
      <c r="Y329" s="3"/>
      <c r="AA329" s="1511"/>
      <c r="AB329" s="1511"/>
      <c r="AC329" s="1511"/>
      <c r="AD329" s="1511"/>
      <c r="AE329" s="1511"/>
      <c r="AF329" s="1511"/>
      <c r="AG329" s="1511"/>
      <c r="AH329" s="1511"/>
      <c r="AI329" s="1511"/>
      <c r="AJ329" s="1511"/>
      <c r="AK329" s="1511"/>
    </row>
    <row r="330" spans="2:37" ht="13.05" customHeight="1">
      <c r="B330" s="3" t="s">
        <v>87</v>
      </c>
      <c r="C330" s="3"/>
      <c r="D330" s="3"/>
      <c r="E330" s="3"/>
      <c r="F330" s="3"/>
      <c r="H330" s="1511" t="s">
        <v>2670</v>
      </c>
      <c r="I330" s="1511"/>
      <c r="J330" s="1511"/>
      <c r="K330" s="1511"/>
      <c r="L330" s="1511"/>
      <c r="M330" s="1511"/>
      <c r="N330" s="1511"/>
      <c r="O330" s="1511"/>
      <c r="P330" s="1511"/>
      <c r="Q330" s="1511"/>
      <c r="R330" s="1511"/>
      <c r="T330" s="3" t="s">
        <v>87</v>
      </c>
      <c r="V330" s="3"/>
      <c r="W330" s="3"/>
      <c r="X330" s="3"/>
      <c r="Y330" s="3"/>
      <c r="AA330" s="1511"/>
      <c r="AB330" s="1511"/>
      <c r="AC330" s="1511"/>
      <c r="AD330" s="1511"/>
      <c r="AE330" s="1511"/>
      <c r="AF330" s="1511"/>
      <c r="AG330" s="1511"/>
      <c r="AH330" s="1511"/>
      <c r="AI330" s="1511"/>
      <c r="AJ330" s="1511"/>
      <c r="AK330" s="1511"/>
    </row>
    <row r="331" spans="2:37" ht="13.05" customHeight="1">
      <c r="B331" s="3" t="s">
        <v>88</v>
      </c>
      <c r="C331" s="3"/>
      <c r="D331" s="3"/>
      <c r="E331" s="3"/>
      <c r="F331" s="3"/>
      <c r="G331" s="3"/>
      <c r="H331" s="1745">
        <v>9133124612</v>
      </c>
      <c r="I331" s="1745"/>
      <c r="J331" s="1745"/>
      <c r="K331" s="1745"/>
      <c r="L331" s="1745"/>
      <c r="M331" s="1745"/>
      <c r="N331" s="4" t="s">
        <v>206</v>
      </c>
      <c r="O331" s="4"/>
      <c r="P331" s="1413"/>
      <c r="Q331" s="1413"/>
      <c r="R331" s="1413"/>
      <c r="S331" s="3"/>
      <c r="T331" s="3" t="s">
        <v>88</v>
      </c>
      <c r="V331" s="3"/>
      <c r="W331" s="3"/>
      <c r="X331" s="3"/>
      <c r="Y331" s="3"/>
      <c r="AA331" s="1745"/>
      <c r="AB331" s="1745"/>
      <c r="AC331" s="1745"/>
      <c r="AD331" s="1745"/>
      <c r="AE331" s="1745"/>
      <c r="AF331" s="1745"/>
      <c r="AG331" s="4" t="s">
        <v>206</v>
      </c>
      <c r="AH331" s="4"/>
      <c r="AI331" s="1413"/>
      <c r="AJ331" s="1413"/>
      <c r="AK331" s="1413"/>
    </row>
    <row r="332" spans="2:37" ht="13.05" customHeight="1">
      <c r="B332" s="3" t="s">
        <v>89</v>
      </c>
      <c r="C332" s="3"/>
      <c r="D332" s="3"/>
      <c r="E332" s="3"/>
      <c r="F332" s="3"/>
      <c r="G332" s="3"/>
      <c r="H332" s="1417"/>
      <c r="I332" s="1417"/>
      <c r="J332" s="1417"/>
      <c r="K332" s="1417"/>
      <c r="L332" s="1417"/>
      <c r="M332" s="1417"/>
      <c r="N332" s="4"/>
      <c r="O332" s="4"/>
      <c r="P332" s="35"/>
      <c r="Q332" s="35"/>
      <c r="R332" s="35"/>
      <c r="S332" s="3"/>
      <c r="T332" s="3" t="s">
        <v>89</v>
      </c>
      <c r="V332" s="3"/>
      <c r="W332" s="3"/>
      <c r="X332" s="3"/>
      <c r="Y332" s="3"/>
      <c r="AA332" s="1417"/>
      <c r="AB332" s="1417"/>
      <c r="AC332" s="1417"/>
      <c r="AD332" s="1417"/>
      <c r="AE332" s="1417"/>
      <c r="AF332" s="1417"/>
      <c r="AG332" s="4"/>
      <c r="AH332" s="4"/>
      <c r="AI332" s="35"/>
      <c r="AJ332" s="35"/>
      <c r="AK332" s="35"/>
    </row>
    <row r="333" spans="2:37" ht="13.05" customHeight="1">
      <c r="B333" s="3" t="s">
        <v>76</v>
      </c>
      <c r="C333" s="3"/>
      <c r="D333" s="3"/>
      <c r="E333" s="3"/>
      <c r="F333" s="3"/>
      <c r="G333" s="3"/>
      <c r="H333" s="1511" t="s">
        <v>2675</v>
      </c>
      <c r="I333" s="1511"/>
      <c r="J333" s="1511"/>
      <c r="K333" s="1511"/>
      <c r="L333" s="1511"/>
      <c r="M333" s="1511"/>
      <c r="N333" s="1362"/>
      <c r="O333" s="1362"/>
      <c r="P333" s="1362"/>
      <c r="Q333" s="1362"/>
      <c r="R333" s="1362"/>
      <c r="S333" s="3"/>
      <c r="T333" s="3" t="s">
        <v>76</v>
      </c>
      <c r="V333" s="3"/>
      <c r="W333" s="3"/>
      <c r="X333" s="3"/>
      <c r="Y333" s="3"/>
      <c r="AA333" s="1511"/>
      <c r="AB333" s="1511"/>
      <c r="AC333" s="1511"/>
      <c r="AD333" s="1511"/>
      <c r="AE333" s="1511"/>
      <c r="AF333" s="1511"/>
      <c r="AG333" s="1362"/>
      <c r="AH333" s="1362"/>
      <c r="AI333" s="1362"/>
      <c r="AJ333" s="1362"/>
      <c r="AK333" s="136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329</v>
      </c>
      <c r="C335" s="3"/>
      <c r="D335" s="3"/>
      <c r="E335" s="3"/>
      <c r="F335" s="3"/>
      <c r="H335" s="1362" t="s">
        <v>2682</v>
      </c>
      <c r="I335" s="1362"/>
      <c r="J335" s="1362"/>
      <c r="K335" s="1362"/>
      <c r="L335" s="1362"/>
      <c r="M335" s="1362"/>
      <c r="N335" s="1362"/>
      <c r="O335" s="1362"/>
      <c r="P335" s="1362"/>
      <c r="Q335" s="1362"/>
      <c r="R335" s="1362"/>
      <c r="T335" s="204" t="s">
        <v>886</v>
      </c>
      <c r="V335" s="3"/>
      <c r="W335" s="3"/>
      <c r="X335" s="3"/>
      <c r="Y335" s="3"/>
      <c r="AA335" s="1362" t="s">
        <v>2676</v>
      </c>
      <c r="AB335" s="1362"/>
      <c r="AC335" s="1362"/>
      <c r="AD335" s="1362"/>
      <c r="AE335" s="1362"/>
      <c r="AF335" s="1362"/>
      <c r="AG335" s="1362"/>
      <c r="AH335" s="1362"/>
      <c r="AI335" s="1362"/>
      <c r="AJ335" s="1362"/>
      <c r="AK335" s="1362"/>
    </row>
    <row r="336" spans="2:37" ht="13.05" customHeight="1">
      <c r="B336" s="3" t="s">
        <v>471</v>
      </c>
      <c r="C336" s="3"/>
      <c r="D336" s="3"/>
      <c r="E336" s="3"/>
      <c r="F336" s="3"/>
      <c r="H336" s="1511" t="s">
        <v>2683</v>
      </c>
      <c r="I336" s="1511"/>
      <c r="J336" s="1511"/>
      <c r="K336" s="1511"/>
      <c r="L336" s="1511"/>
      <c r="M336" s="1511"/>
      <c r="N336" s="1511"/>
      <c r="O336" s="1511"/>
      <c r="P336" s="1511"/>
      <c r="Q336" s="1511"/>
      <c r="R336" s="1511"/>
      <c r="T336" s="3" t="s">
        <v>471</v>
      </c>
      <c r="V336" s="3"/>
      <c r="W336" s="3"/>
      <c r="X336" s="3"/>
      <c r="Y336" s="3"/>
      <c r="AA336" s="1511" t="s">
        <v>2677</v>
      </c>
      <c r="AB336" s="1511"/>
      <c r="AC336" s="1511"/>
      <c r="AD336" s="1511"/>
      <c r="AE336" s="1511"/>
      <c r="AF336" s="1511"/>
      <c r="AG336" s="1511"/>
      <c r="AH336" s="1511"/>
      <c r="AI336" s="1511"/>
      <c r="AJ336" s="1511"/>
      <c r="AK336" s="1511"/>
    </row>
    <row r="337" spans="1:66" ht="13.05" customHeight="1">
      <c r="B337" s="3" t="s">
        <v>75</v>
      </c>
      <c r="C337" s="3"/>
      <c r="D337" s="3"/>
      <c r="E337" s="3"/>
      <c r="F337" s="3"/>
      <c r="H337" s="1511" t="s">
        <v>2684</v>
      </c>
      <c r="I337" s="1511"/>
      <c r="J337" s="1511"/>
      <c r="K337" s="1511"/>
      <c r="L337" s="1511"/>
      <c r="M337" s="1511"/>
      <c r="N337" s="1511"/>
      <c r="O337" s="1511"/>
      <c r="P337" s="1511"/>
      <c r="Q337" s="1511"/>
      <c r="R337" s="1511"/>
      <c r="T337" s="3" t="s">
        <v>75</v>
      </c>
      <c r="V337" s="3"/>
      <c r="W337" s="3"/>
      <c r="X337" s="3"/>
      <c r="Y337" s="3"/>
      <c r="AA337" s="1511" t="s">
        <v>2678</v>
      </c>
      <c r="AB337" s="1511"/>
      <c r="AC337" s="1511"/>
      <c r="AD337" s="1511"/>
      <c r="AE337" s="1511"/>
      <c r="AF337" s="1511"/>
      <c r="AG337" s="1511"/>
      <c r="AH337" s="1511"/>
      <c r="AI337" s="1511"/>
      <c r="AJ337" s="1511"/>
      <c r="AK337" s="1511"/>
    </row>
    <row r="338" spans="1:66" ht="13.05" customHeight="1">
      <c r="B338" s="3" t="s">
        <v>87</v>
      </c>
      <c r="C338" s="3"/>
      <c r="D338" s="3"/>
      <c r="E338" s="3"/>
      <c r="F338" s="3"/>
      <c r="G338" s="3"/>
      <c r="H338" s="1511" t="s">
        <v>2685</v>
      </c>
      <c r="I338" s="1511"/>
      <c r="J338" s="1511"/>
      <c r="K338" s="1511"/>
      <c r="L338" s="1511"/>
      <c r="M338" s="1511"/>
      <c r="N338" s="1511"/>
      <c r="O338" s="1511"/>
      <c r="P338" s="1511"/>
      <c r="Q338" s="1511"/>
      <c r="R338" s="1511"/>
      <c r="T338" s="3" t="s">
        <v>87</v>
      </c>
      <c r="V338" s="3"/>
      <c r="W338" s="3"/>
      <c r="X338" s="3"/>
      <c r="Y338" s="3"/>
      <c r="AA338" s="1511" t="s">
        <v>2679</v>
      </c>
      <c r="AB338" s="1511"/>
      <c r="AC338" s="1511"/>
      <c r="AD338" s="1511"/>
      <c r="AE338" s="1511"/>
      <c r="AF338" s="1511"/>
      <c r="AG338" s="1511"/>
      <c r="AH338" s="1511"/>
      <c r="AI338" s="1511"/>
      <c r="AJ338" s="1511"/>
      <c r="AK338" s="1511"/>
    </row>
    <row r="339" spans="1:66" ht="13.05" customHeight="1">
      <c r="B339" s="3" t="s">
        <v>88</v>
      </c>
      <c r="C339" s="3"/>
      <c r="D339" s="3"/>
      <c r="E339" s="3"/>
      <c r="F339" s="3"/>
      <c r="G339" s="3"/>
      <c r="H339" s="1745" t="s">
        <v>2686</v>
      </c>
      <c r="I339" s="1745"/>
      <c r="J339" s="1745"/>
      <c r="K339" s="1745"/>
      <c r="L339" s="1745"/>
      <c r="M339" s="1745"/>
      <c r="N339" s="4" t="s">
        <v>206</v>
      </c>
      <c r="O339" s="4"/>
      <c r="P339" s="1413"/>
      <c r="Q339" s="1413"/>
      <c r="R339" s="1413"/>
      <c r="S339" s="3"/>
      <c r="T339" s="3" t="s">
        <v>88</v>
      </c>
      <c r="V339" s="3"/>
      <c r="W339" s="3"/>
      <c r="X339" s="3"/>
      <c r="Y339" s="3"/>
      <c r="AA339" s="1745" t="s">
        <v>2680</v>
      </c>
      <c r="AB339" s="1745"/>
      <c r="AC339" s="1745"/>
      <c r="AD339" s="1745"/>
      <c r="AE339" s="1745"/>
      <c r="AF339" s="1745"/>
      <c r="AG339" s="4" t="s">
        <v>206</v>
      </c>
      <c r="AH339" s="4"/>
      <c r="AI339" s="1413"/>
      <c r="AJ339" s="1413"/>
      <c r="AK339" s="1413"/>
    </row>
    <row r="340" spans="1:66" ht="13.05" customHeight="1">
      <c r="B340" s="3" t="s">
        <v>89</v>
      </c>
      <c r="C340" s="3"/>
      <c r="D340" s="3"/>
      <c r="E340" s="3"/>
      <c r="F340" s="3"/>
      <c r="G340" s="3"/>
      <c r="H340" s="1417"/>
      <c r="I340" s="1417"/>
      <c r="J340" s="1417"/>
      <c r="K340" s="1417"/>
      <c r="L340" s="1417"/>
      <c r="M340" s="1417"/>
      <c r="N340" s="4"/>
      <c r="O340" s="4"/>
      <c r="P340" s="35"/>
      <c r="Q340" s="35"/>
      <c r="R340" s="35"/>
      <c r="S340" s="3"/>
      <c r="T340" s="3" t="s">
        <v>89</v>
      </c>
      <c r="V340" s="3"/>
      <c r="W340" s="3"/>
      <c r="X340" s="3"/>
      <c r="Y340" s="3"/>
      <c r="AA340" s="1417"/>
      <c r="AB340" s="1417"/>
      <c r="AC340" s="1417"/>
      <c r="AD340" s="1417"/>
      <c r="AE340" s="1417"/>
      <c r="AF340" s="1417"/>
      <c r="AG340" s="4"/>
      <c r="AH340" s="4"/>
      <c r="AI340" s="35"/>
      <c r="AJ340" s="35"/>
      <c r="AK340" s="35"/>
    </row>
    <row r="341" spans="1:66" ht="13.05" customHeight="1">
      <c r="B341" s="3" t="s">
        <v>76</v>
      </c>
      <c r="C341" s="3"/>
      <c r="D341" s="3"/>
      <c r="E341" s="3"/>
      <c r="F341" s="3"/>
      <c r="G341" s="3"/>
      <c r="H341" s="1511" t="s">
        <v>2687</v>
      </c>
      <c r="I341" s="1511"/>
      <c r="J341" s="1511"/>
      <c r="K341" s="1511"/>
      <c r="L341" s="1511"/>
      <c r="M341" s="1511"/>
      <c r="N341" s="1362"/>
      <c r="O341" s="1362"/>
      <c r="P341" s="1362"/>
      <c r="Q341" s="1362"/>
      <c r="R341" s="1362"/>
      <c r="S341" s="3"/>
      <c r="T341" s="3" t="s">
        <v>76</v>
      </c>
      <c r="V341" s="3"/>
      <c r="W341" s="3"/>
      <c r="X341" s="3"/>
      <c r="Y341" s="3"/>
      <c r="AA341" s="1511" t="s">
        <v>2681</v>
      </c>
      <c r="AB341" s="1511"/>
      <c r="AC341" s="1511"/>
      <c r="AD341" s="1511"/>
      <c r="AE341" s="1511"/>
      <c r="AF341" s="1511"/>
      <c r="AG341" s="1362"/>
      <c r="AH341" s="1362"/>
      <c r="AI341" s="1362"/>
      <c r="AJ341" s="1362"/>
      <c r="AK341" s="136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4" t="s">
        <v>887</v>
      </c>
      <c r="P343" s="1362"/>
      <c r="Q343" s="1362"/>
      <c r="R343" s="1362"/>
      <c r="S343" s="1362"/>
      <c r="T343" s="1362"/>
      <c r="U343" s="1362"/>
      <c r="V343" s="1362"/>
      <c r="W343" s="1362"/>
      <c r="X343" s="1362"/>
      <c r="Y343" s="1362"/>
      <c r="Z343" s="1362"/>
      <c r="AA343" s="1362"/>
      <c r="AB343" s="1362"/>
      <c r="AC343" s="1362"/>
      <c r="AD343" s="1362"/>
      <c r="AE343" s="1362"/>
      <c r="BN343" t="s">
        <v>669</v>
      </c>
    </row>
    <row r="344" spans="1:66" ht="13.05" customHeight="1">
      <c r="B344" s="4"/>
      <c r="C344" s="4"/>
      <c r="D344" s="4"/>
      <c r="E344" s="4"/>
      <c r="F344" s="4"/>
      <c r="I344" s="4" t="s">
        <v>471</v>
      </c>
      <c r="P344" s="1511"/>
      <c r="Q344" s="1511"/>
      <c r="R344" s="1511"/>
      <c r="S344" s="1511"/>
      <c r="T344" s="1511"/>
      <c r="U344" s="1511"/>
      <c r="V344" s="1511"/>
      <c r="W344" s="1511"/>
      <c r="X344" s="1511"/>
      <c r="Y344" s="1511"/>
      <c r="Z344" s="1511"/>
      <c r="AA344" s="1511"/>
      <c r="AB344" s="1511"/>
      <c r="AC344" s="1511"/>
      <c r="AD344" s="1511"/>
      <c r="AE344" s="1511"/>
      <c r="BN344" t="s">
        <v>545</v>
      </c>
    </row>
    <row r="345" spans="1:66" ht="13.05" customHeight="1">
      <c r="B345" s="4"/>
      <c r="C345" s="4"/>
      <c r="D345" s="4"/>
      <c r="E345" s="4"/>
      <c r="F345" s="4"/>
      <c r="I345" s="4" t="s">
        <v>75</v>
      </c>
      <c r="P345" s="1511"/>
      <c r="Q345" s="1511"/>
      <c r="R345" s="1511"/>
      <c r="S345" s="1511"/>
      <c r="T345" s="1511"/>
      <c r="U345" s="1511"/>
      <c r="V345" s="1511"/>
      <c r="W345" s="1511"/>
      <c r="X345" s="1511"/>
      <c r="Y345" s="1511"/>
      <c r="Z345" s="1511"/>
      <c r="AA345" s="1511"/>
      <c r="AB345" s="1511"/>
      <c r="AC345" s="1511"/>
      <c r="AD345" s="1511"/>
      <c r="AE345" s="1511"/>
    </row>
    <row r="346" spans="1:66" ht="13.05" customHeight="1">
      <c r="B346" s="4"/>
      <c r="C346" s="4"/>
      <c r="D346" s="4"/>
      <c r="E346" s="4"/>
      <c r="F346" s="4"/>
      <c r="G346" s="4"/>
      <c r="I346" s="4" t="s">
        <v>87</v>
      </c>
      <c r="P346" s="1511"/>
      <c r="Q346" s="1511"/>
      <c r="R346" s="1511"/>
      <c r="S346" s="1511"/>
      <c r="T346" s="1511"/>
      <c r="U346" s="1511"/>
      <c r="V346" s="1511"/>
      <c r="W346" s="1511"/>
      <c r="X346" s="1511"/>
      <c r="Y346" s="1511"/>
      <c r="Z346" s="1511"/>
      <c r="AA346" s="1511"/>
      <c r="AB346" s="1511"/>
      <c r="AC346" s="1511"/>
      <c r="AD346" s="1511"/>
      <c r="AE346" s="1511"/>
    </row>
    <row r="347" spans="1:66" ht="13.05" customHeight="1">
      <c r="B347" s="4"/>
      <c r="C347" s="4"/>
      <c r="D347" s="4"/>
      <c r="E347" s="4"/>
      <c r="F347" s="4"/>
      <c r="G347" s="4"/>
      <c r="H347" s="302"/>
      <c r="I347" s="4" t="s">
        <v>88</v>
      </c>
      <c r="P347" s="1417"/>
      <c r="Q347" s="1417"/>
      <c r="R347" s="1417"/>
      <c r="S347" s="1417"/>
      <c r="T347" s="1417"/>
      <c r="U347" s="1417"/>
      <c r="V347" s="1417"/>
      <c r="W347" s="1417"/>
      <c r="X347" s="1417"/>
      <c r="Y347" s="1417"/>
      <c r="Z347" s="1417"/>
      <c r="AA347" s="4" t="s">
        <v>206</v>
      </c>
      <c r="AB347" s="4"/>
      <c r="AC347" s="1494"/>
      <c r="AD347" s="1494"/>
      <c r="AE347" s="1494"/>
      <c r="AF347" s="302"/>
      <c r="AG347" s="4"/>
      <c r="AH347" s="4"/>
      <c r="AI347" s="4"/>
      <c r="AJ347" s="4"/>
      <c r="AK347" s="4"/>
    </row>
    <row r="348" spans="1:66" ht="13.05" customHeight="1">
      <c r="B348" s="4"/>
      <c r="C348" s="4"/>
      <c r="D348" s="4"/>
      <c r="E348" s="4"/>
      <c r="F348" s="4"/>
      <c r="G348" s="4"/>
      <c r="H348" s="302"/>
      <c r="I348" s="4" t="s">
        <v>89</v>
      </c>
      <c r="P348" s="1417"/>
      <c r="Q348" s="1417"/>
      <c r="R348" s="1417"/>
      <c r="S348" s="1417"/>
      <c r="T348" s="1417"/>
      <c r="U348" s="1417"/>
      <c r="V348" s="1417"/>
      <c r="W348" s="1417"/>
      <c r="X348" s="1417"/>
      <c r="Y348" s="1417"/>
      <c r="Z348" s="1417"/>
      <c r="AF348" s="302"/>
      <c r="AG348" s="4"/>
      <c r="AH348" s="4"/>
      <c r="AI348" s="35"/>
      <c r="AJ348" s="35"/>
      <c r="AK348" s="35"/>
    </row>
    <row r="349" spans="1:66" ht="13.05" customHeight="1">
      <c r="B349" s="4"/>
      <c r="C349" s="4"/>
      <c r="D349" s="4"/>
      <c r="E349" s="4"/>
      <c r="F349" s="4"/>
      <c r="G349" s="4"/>
      <c r="I349" s="4" t="s">
        <v>76</v>
      </c>
      <c r="P349" s="1362"/>
      <c r="Q349" s="1362"/>
      <c r="R349" s="1362"/>
      <c r="S349" s="1362"/>
      <c r="T349" s="1362"/>
      <c r="U349" s="1362"/>
      <c r="V349" s="1362"/>
      <c r="W349" s="1362"/>
      <c r="X349" s="1362"/>
      <c r="Y349" s="1362"/>
      <c r="Z349" s="1362"/>
      <c r="AA349" s="1362"/>
      <c r="AB349" s="1362"/>
      <c r="AC349" s="1362"/>
      <c r="AD349" s="1362"/>
      <c r="AE349" s="1362"/>
    </row>
    <row r="350" spans="1:66" ht="13.05" customHeight="1">
      <c r="T350" s="8"/>
      <c r="U350" s="8"/>
      <c r="V350" s="8"/>
      <c r="W350" s="8"/>
      <c r="X350" s="8"/>
      <c r="Y350" s="8"/>
      <c r="Z350" s="8"/>
      <c r="AU350" s="95"/>
      <c r="AV350" s="95"/>
      <c r="AW350" s="95"/>
      <c r="AX350" s="95"/>
      <c r="AY350" s="95"/>
    </row>
    <row r="351" spans="1:66" ht="13.05" customHeight="1">
      <c r="A351" s="1484" t="s">
        <v>542</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95"/>
      <c r="AV351" s="95"/>
      <c r="AW351" s="95"/>
      <c r="AX351" s="95"/>
      <c r="AY351" s="95"/>
    </row>
    <row r="352" spans="1:66" ht="13.0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782</v>
      </c>
    </row>
    <row r="355" spans="1:46" ht="13.05" customHeight="1">
      <c r="D355" s="3" t="s">
        <v>2098</v>
      </c>
      <c r="M355" s="1356" t="s">
        <v>545</v>
      </c>
      <c r="N355" s="1356"/>
      <c r="P355" t="s">
        <v>1650</v>
      </c>
      <c r="AJ355" s="1356" t="s">
        <v>591</v>
      </c>
      <c r="AK355" s="1356"/>
    </row>
    <row r="356" spans="1:46" ht="13.05" customHeight="1">
      <c r="D356" s="3" t="s">
        <v>1639</v>
      </c>
      <c r="M356" s="1356" t="s">
        <v>591</v>
      </c>
      <c r="N356" s="1356"/>
      <c r="P356" s="3" t="s">
        <v>1719</v>
      </c>
      <c r="AJ356" s="1500">
        <v>0</v>
      </c>
      <c r="AK356" s="1500"/>
    </row>
    <row r="357" spans="1:46" ht="13.05" customHeight="1">
      <c r="D357" s="3" t="s">
        <v>704</v>
      </c>
      <c r="M357" s="1356" t="s">
        <v>591</v>
      </c>
      <c r="N357" s="1356"/>
      <c r="P357" t="s">
        <v>1649</v>
      </c>
      <c r="AJ357" s="1356" t="s">
        <v>591</v>
      </c>
      <c r="AK357" s="1356"/>
    </row>
    <row r="358" spans="1:46" ht="13.05" customHeight="1">
      <c r="D358" s="3" t="s">
        <v>705</v>
      </c>
      <c r="M358" s="1356" t="s">
        <v>591</v>
      </c>
      <c r="N358" s="1356"/>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356" t="s">
        <v>591</v>
      </c>
      <c r="O363" s="1356"/>
      <c r="P363" s="40"/>
      <c r="Q363" s="40"/>
      <c r="R363" s="40"/>
      <c r="S363" s="40"/>
      <c r="T363" s="40"/>
      <c r="U363" s="40"/>
      <c r="V363" s="40"/>
      <c r="W363" s="40"/>
      <c r="X363" s="40"/>
      <c r="Y363" s="40"/>
      <c r="Z363" s="40"/>
      <c r="AC363" s="40"/>
      <c r="AD363" s="40"/>
      <c r="AE363" s="40"/>
    </row>
    <row r="364" spans="1:46" ht="13.05" customHeight="1">
      <c r="E364" t="s">
        <v>370</v>
      </c>
      <c r="Y364" s="1356" t="s">
        <v>591</v>
      </c>
      <c r="Z364" s="1356"/>
    </row>
    <row r="365" spans="1:46" ht="13.05" customHeight="1">
      <c r="D365" s="4" t="s">
        <v>978</v>
      </c>
      <c r="Q365" s="1362"/>
      <c r="R365" s="1362"/>
      <c r="S365" s="1362"/>
      <c r="T365" s="1362"/>
      <c r="U365" s="1362"/>
      <c r="V365" s="1362"/>
      <c r="W365" s="1362"/>
      <c r="X365" s="1362"/>
      <c r="Y365" s="1362"/>
      <c r="Z365" s="1362"/>
      <c r="AA365" s="1362"/>
      <c r="AB365" s="1362"/>
      <c r="AC365" s="1362"/>
      <c r="AD365" s="1362"/>
      <c r="AE365" s="1362"/>
      <c r="AF365" s="1362"/>
      <c r="AG365" s="1362"/>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356" t="s">
        <v>591</v>
      </c>
      <c r="K367" s="1356"/>
      <c r="L367" s="40"/>
      <c r="M367" s="40"/>
      <c r="N367" s="40"/>
      <c r="O367" s="40"/>
      <c r="P367" s="40"/>
      <c r="Q367" s="40"/>
      <c r="R367" s="40"/>
      <c r="S367" s="40"/>
      <c r="T367" s="40"/>
      <c r="U367" s="40"/>
      <c r="V367" s="40"/>
      <c r="W367" s="40"/>
      <c r="X367" s="40"/>
      <c r="Y367" s="40"/>
      <c r="Z367" s="40"/>
      <c r="AC367" s="40"/>
      <c r="AD367" s="40"/>
      <c r="AE367" s="40"/>
    </row>
    <row r="368" spans="1:46" ht="13.05" customHeight="1">
      <c r="E368" s="1412" t="s">
        <v>706</v>
      </c>
      <c r="F368" s="1412"/>
      <c r="G368" s="1412"/>
      <c r="H368" s="1412"/>
      <c r="I368" s="1412"/>
      <c r="J368" s="1412"/>
      <c r="K368" s="1412"/>
      <c r="L368" s="1412"/>
      <c r="M368" s="1412"/>
      <c r="N368" s="1412"/>
      <c r="O368" s="1412"/>
      <c r="P368" s="1412"/>
      <c r="Q368" s="1412"/>
      <c r="R368" s="1412"/>
      <c r="S368" s="1412"/>
      <c r="T368" s="1412"/>
      <c r="U368" s="1412"/>
      <c r="V368" s="1412"/>
      <c r="W368" s="1412"/>
      <c r="X368" s="1412"/>
      <c r="Y368" s="1412"/>
      <c r="Z368" s="1412"/>
      <c r="AA368" s="1412"/>
      <c r="AB368" s="1412"/>
      <c r="AC368" s="1412"/>
      <c r="AD368" s="1412"/>
      <c r="AE368" s="1412"/>
      <c r="AF368" s="1412"/>
      <c r="AG368" s="1412"/>
      <c r="AH368" s="1412"/>
    </row>
    <row r="369" spans="1:34" ht="13.05" customHeight="1">
      <c r="E369" s="1412"/>
      <c r="F369" s="1412"/>
      <c r="G369" s="1412"/>
      <c r="H369" s="1412"/>
      <c r="I369" s="1412"/>
      <c r="J369" s="1412"/>
      <c r="K369" s="1412"/>
      <c r="L369" s="1412"/>
      <c r="M369" s="1412"/>
      <c r="N369" s="1412"/>
      <c r="O369" s="1412"/>
      <c r="P369" s="1412"/>
      <c r="Q369" s="1412"/>
      <c r="R369" s="1412"/>
      <c r="S369" s="1412"/>
      <c r="T369" s="1412"/>
      <c r="U369" s="1412"/>
      <c r="V369" s="1412"/>
      <c r="W369" s="1412"/>
      <c r="X369" s="1412"/>
      <c r="Y369" s="1412"/>
      <c r="Z369" s="1412"/>
      <c r="AA369" s="1412"/>
      <c r="AB369" s="1412"/>
      <c r="AC369" s="1412"/>
      <c r="AD369" s="1412"/>
      <c r="AE369" s="1412"/>
      <c r="AF369" s="1412"/>
      <c r="AG369" s="1412"/>
      <c r="AH369" s="1412"/>
    </row>
    <row r="370" spans="1:34" ht="13.05" customHeight="1">
      <c r="E370" s="4" t="s">
        <v>448</v>
      </c>
      <c r="F370" s="4"/>
      <c r="G370" s="4"/>
      <c r="H370" s="4"/>
      <c r="I370" s="4"/>
      <c r="J370" s="4"/>
      <c r="K370" s="4"/>
      <c r="L370" s="4"/>
      <c r="N370" s="1774" t="s">
        <v>591</v>
      </c>
      <c r="O370" s="1598"/>
      <c r="P370" s="1598"/>
      <c r="Q370" s="1598"/>
      <c r="R370" s="4"/>
      <c r="U370" s="4" t="s">
        <v>449</v>
      </c>
      <c r="V370" s="4"/>
      <c r="W370" s="4"/>
      <c r="X370" s="4"/>
      <c r="Y370" s="4"/>
      <c r="Z370" s="4"/>
      <c r="AA370" s="4"/>
      <c r="AB370" s="4"/>
      <c r="AC370" s="1774" t="s">
        <v>591</v>
      </c>
      <c r="AD370" s="1598"/>
      <c r="AE370" s="1598"/>
      <c r="AF370" s="1598"/>
    </row>
    <row r="371" spans="1:34" ht="13.05" customHeight="1">
      <c r="E371" s="4" t="s">
        <v>450</v>
      </c>
      <c r="F371" s="4"/>
      <c r="G371" s="4"/>
      <c r="H371" s="4"/>
      <c r="I371" s="4"/>
      <c r="J371" s="4"/>
      <c r="K371" s="4"/>
      <c r="L371" s="4"/>
      <c r="N371" s="1774" t="s">
        <v>591</v>
      </c>
      <c r="O371" s="1598"/>
      <c r="P371" s="1598"/>
      <c r="Q371" s="1598"/>
      <c r="R371" s="4"/>
      <c r="U371" s="4" t="s">
        <v>0</v>
      </c>
      <c r="V371" s="4"/>
      <c r="W371" s="4"/>
      <c r="X371" s="4"/>
      <c r="Y371" s="4"/>
      <c r="Z371" s="4"/>
      <c r="AA371" s="4"/>
      <c r="AB371" s="4"/>
      <c r="AC371" s="1774" t="s">
        <v>591</v>
      </c>
      <c r="AD371" s="1598"/>
      <c r="AE371" s="1598"/>
      <c r="AF371" s="1598"/>
    </row>
    <row r="372" spans="1:34" ht="13.05" customHeight="1">
      <c r="E372" s="4" t="s">
        <v>1</v>
      </c>
      <c r="F372" s="4"/>
      <c r="G372" s="4"/>
      <c r="H372" s="4"/>
      <c r="I372" s="4"/>
      <c r="J372" s="4"/>
      <c r="K372" s="4"/>
      <c r="L372" s="4"/>
      <c r="N372" s="1774" t="s">
        <v>591</v>
      </c>
      <c r="O372" s="1598"/>
      <c r="P372" s="1598"/>
      <c r="Q372" s="1598"/>
      <c r="R372" s="4"/>
      <c r="V372" s="4"/>
      <c r="W372" s="4"/>
      <c r="X372" s="4"/>
      <c r="Y372" s="4"/>
      <c r="Z372" s="4"/>
      <c r="AA372" s="4"/>
      <c r="AB372" s="4"/>
    </row>
    <row r="373" spans="1:34" ht="13.05" customHeight="1">
      <c r="E373" s="4" t="s">
        <v>2</v>
      </c>
      <c r="F373" s="4"/>
      <c r="G373" s="4"/>
      <c r="H373" s="4"/>
      <c r="I373" s="4"/>
      <c r="J373" s="4"/>
      <c r="K373" s="4"/>
      <c r="L373" s="4"/>
      <c r="N373" s="1818" t="s">
        <v>2693</v>
      </c>
      <c r="O373" s="1819"/>
      <c r="P373" s="1819"/>
      <c r="Q373" s="1819"/>
      <c r="R373" s="1819"/>
      <c r="S373" s="1819"/>
      <c r="T373" s="1819"/>
      <c r="U373" s="1819"/>
      <c r="V373" s="1819"/>
      <c r="W373" s="1819"/>
      <c r="X373" s="1819"/>
      <c r="Y373" s="1819"/>
      <c r="Z373" s="1819"/>
      <c r="AA373" s="1819"/>
      <c r="AB373" s="1819"/>
      <c r="AC373" s="1819"/>
      <c r="AD373" s="1819"/>
      <c r="AE373" s="1819"/>
      <c r="AF373" s="1819"/>
    </row>
    <row r="374" spans="1:34" ht="13.05" customHeight="1">
      <c r="E374" s="4"/>
      <c r="F374" s="4"/>
      <c r="G374" s="4"/>
      <c r="H374" s="4"/>
      <c r="I374" s="4"/>
      <c r="J374" s="4"/>
      <c r="K374" s="4"/>
      <c r="L374" s="4"/>
      <c r="N374" s="1820"/>
      <c r="O374" s="1820"/>
      <c r="P374" s="1820"/>
      <c r="Q374" s="1820"/>
      <c r="R374" s="1820"/>
      <c r="S374" s="1820"/>
      <c r="T374" s="1820"/>
      <c r="U374" s="1820"/>
      <c r="V374" s="1820"/>
      <c r="W374" s="1820"/>
      <c r="X374" s="1820"/>
      <c r="Y374" s="1820"/>
      <c r="Z374" s="1820"/>
      <c r="AA374" s="1820"/>
      <c r="AB374" s="1820"/>
      <c r="AC374" s="1820"/>
      <c r="AD374" s="1820"/>
      <c r="AE374" s="1820"/>
      <c r="AF374" s="1820"/>
    </row>
    <row r="375" spans="1:34" ht="13.05" customHeight="1">
      <c r="C375" s="512"/>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2084</v>
      </c>
      <c r="F377" s="4"/>
      <c r="G377" s="4"/>
      <c r="H377" s="4"/>
      <c r="I377" s="4"/>
      <c r="J377" s="4"/>
      <c r="K377" s="4"/>
      <c r="L377" s="4"/>
      <c r="N377" t="s">
        <v>2079</v>
      </c>
      <c r="R377" s="27" t="s">
        <v>305</v>
      </c>
      <c r="S377" s="1809"/>
      <c r="T377" s="1809"/>
      <c r="U377" s="1" t="s">
        <v>306</v>
      </c>
      <c r="V377" s="1809"/>
      <c r="W377" s="1809"/>
      <c r="Y377" t="s">
        <v>2079</v>
      </c>
      <c r="AC377" s="27" t="s">
        <v>305</v>
      </c>
      <c r="AD377" s="1809"/>
      <c r="AE377" s="1809"/>
      <c r="AF377" s="1" t="s">
        <v>306</v>
      </c>
      <c r="AG377" s="1809"/>
      <c r="AH377" s="1809"/>
    </row>
    <row r="378" spans="1:34" ht="13.05" customHeight="1">
      <c r="E378" s="4" t="s">
        <v>987</v>
      </c>
      <c r="F378" s="4"/>
      <c r="G378" s="4"/>
      <c r="H378" s="4"/>
      <c r="I378" s="4"/>
      <c r="J378" s="4"/>
      <c r="K378" s="4"/>
      <c r="L378" s="4"/>
      <c r="N378" s="1809"/>
      <c r="O378" s="1809"/>
      <c r="P378" s="1809"/>
    </row>
    <row r="379" spans="1:34" ht="13.05" customHeight="1">
      <c r="E379" s="204" t="s">
        <v>2085</v>
      </c>
      <c r="F379" s="4"/>
      <c r="G379" s="4"/>
      <c r="H379" s="4"/>
      <c r="I379" s="4"/>
      <c r="J379" s="4"/>
      <c r="K379" s="4"/>
      <c r="L379" s="4"/>
      <c r="AG379" s="1758" t="s">
        <v>591</v>
      </c>
      <c r="AH379" s="1758"/>
    </row>
    <row r="380" spans="1:34" ht="13.05" customHeight="1">
      <c r="E380" s="4"/>
      <c r="F380" s="4"/>
      <c r="G380" s="4" t="s">
        <v>2086</v>
      </c>
      <c r="H380" s="4"/>
      <c r="I380" s="4"/>
      <c r="J380" s="4"/>
      <c r="K380" s="4"/>
      <c r="L380" s="4"/>
      <c r="AG380" s="1758" t="s">
        <v>591</v>
      </c>
      <c r="AH380" s="1758"/>
    </row>
    <row r="381" spans="1:34" ht="13.05" customHeight="1">
      <c r="E381" s="4"/>
      <c r="F381" s="4"/>
      <c r="G381" s="320" t="s">
        <v>988</v>
      </c>
      <c r="H381" s="4"/>
      <c r="I381" s="4"/>
      <c r="J381" s="4"/>
      <c r="K381" s="4"/>
      <c r="L381" s="4"/>
      <c r="V381" s="1356" t="s">
        <v>591</v>
      </c>
      <c r="W381" s="1356"/>
      <c r="Y381" s="22" t="s">
        <v>980</v>
      </c>
    </row>
    <row r="382" spans="1:34" ht="13.05" customHeight="1">
      <c r="E382" s="4" t="s">
        <v>981</v>
      </c>
      <c r="F382" s="4"/>
      <c r="G382" s="4"/>
      <c r="H382" s="4"/>
      <c r="I382" s="4"/>
      <c r="J382" s="4"/>
      <c r="K382" s="4"/>
      <c r="L382" s="4"/>
      <c r="V382" s="1356" t="s">
        <v>591</v>
      </c>
      <c r="W382" s="1356"/>
      <c r="Y382" s="4" t="s">
        <v>982</v>
      </c>
    </row>
    <row r="383" spans="1:34" ht="13.05" customHeight="1"/>
    <row r="384" spans="1:34" ht="13.05" customHeight="1">
      <c r="A384" s="2" t="s">
        <v>78</v>
      </c>
      <c r="B384" s="2"/>
    </row>
    <row r="385" spans="4:36" ht="13.05" customHeight="1">
      <c r="D385" t="s">
        <v>428</v>
      </c>
      <c r="J385" s="1361" t="s">
        <v>2694</v>
      </c>
      <c r="K385" s="1362"/>
      <c r="L385" s="1362"/>
      <c r="M385" s="1362"/>
      <c r="N385" s="1362"/>
      <c r="O385" s="1362"/>
      <c r="P385" s="1362"/>
      <c r="Q385" s="1362"/>
      <c r="R385" s="1362"/>
      <c r="S385" s="1362"/>
      <c r="T385" s="1362"/>
      <c r="U385" s="1362"/>
      <c r="V385" s="8" t="s">
        <v>83</v>
      </c>
      <c r="W385" s="8"/>
      <c r="X385" s="8"/>
      <c r="Y385" s="8"/>
      <c r="Z385" s="8"/>
      <c r="AA385" s="8"/>
      <c r="AB385" s="8"/>
      <c r="AC385" s="1361" t="s">
        <v>2695</v>
      </c>
      <c r="AD385" s="1362"/>
      <c r="AE385" s="1362"/>
      <c r="AF385" s="1362"/>
      <c r="AG385" s="1362"/>
      <c r="AH385" s="1362"/>
      <c r="AI385" s="1362"/>
      <c r="AJ385" s="1362"/>
    </row>
    <row r="386" spans="4:36" ht="13.05" customHeight="1">
      <c r="D386" s="3" t="s">
        <v>1182</v>
      </c>
      <c r="J386" s="1511" t="s">
        <v>2695</v>
      </c>
      <c r="K386" s="1511"/>
      <c r="L386" s="1511"/>
      <c r="M386" s="1511"/>
      <c r="N386" s="1511"/>
      <c r="O386" s="1511"/>
      <c r="P386" s="1511"/>
      <c r="Q386" s="1511"/>
      <c r="R386" s="1511"/>
      <c r="S386" s="1511"/>
      <c r="T386" s="1511"/>
      <c r="U386" s="1511"/>
      <c r="V386" s="3" t="s">
        <v>1182</v>
      </c>
      <c r="W386" s="8"/>
      <c r="X386" s="8"/>
      <c r="Y386" s="8"/>
      <c r="Z386" s="8"/>
      <c r="AA386" s="8"/>
      <c r="AB386" s="8"/>
      <c r="AC386" s="1361"/>
      <c r="AD386" s="1362"/>
      <c r="AE386" s="1362"/>
      <c r="AF386" s="1362"/>
      <c r="AG386" s="1362"/>
      <c r="AH386" s="1362"/>
      <c r="AI386" s="1362"/>
      <c r="AJ386" s="1362"/>
    </row>
    <row r="387" spans="4:36" ht="13.05" customHeight="1">
      <c r="D387" s="3" t="s">
        <v>441</v>
      </c>
      <c r="J387" s="1556" t="s">
        <v>2696</v>
      </c>
      <c r="K387" s="1511"/>
      <c r="L387" s="1511"/>
      <c r="M387" s="1511"/>
      <c r="N387" s="1511"/>
      <c r="O387" s="1511"/>
      <c r="P387" s="1511"/>
      <c r="Q387" s="1511"/>
      <c r="R387" s="1511"/>
      <c r="S387" s="1511"/>
      <c r="T387" s="1511"/>
      <c r="U387" s="1511"/>
      <c r="V387" s="3" t="s">
        <v>441</v>
      </c>
      <c r="W387" s="8"/>
      <c r="X387" s="8"/>
      <c r="Y387" s="8"/>
      <c r="Z387" s="8"/>
      <c r="AA387" s="8"/>
      <c r="AB387" s="8"/>
      <c r="AC387" s="1362"/>
      <c r="AD387" s="1362"/>
      <c r="AE387" s="1362"/>
      <c r="AF387" s="1362"/>
      <c r="AG387" s="1362"/>
      <c r="AH387" s="1362"/>
      <c r="AI387" s="1362"/>
      <c r="AJ387" s="1362"/>
    </row>
    <row r="388" spans="4:36" ht="13.05" customHeight="1">
      <c r="D388" t="s">
        <v>1178</v>
      </c>
      <c r="J388" s="1813" t="s">
        <v>2712</v>
      </c>
      <c r="K388" s="1387"/>
      <c r="L388" s="1387"/>
      <c r="M388" s="1387"/>
      <c r="N388" s="1387"/>
      <c r="O388" s="1387"/>
      <c r="P388" s="1387"/>
      <c r="Q388" s="1387"/>
      <c r="R388" s="1387"/>
      <c r="S388" s="1387"/>
      <c r="T388" s="1387"/>
      <c r="U388" s="1387"/>
      <c r="V388" s="1362"/>
      <c r="W388" s="1362"/>
      <c r="X388" s="1362"/>
      <c r="Y388" s="1362"/>
      <c r="Z388" s="1362"/>
      <c r="AA388" s="1362"/>
      <c r="AB388" s="1362"/>
      <c r="AC388" s="1362"/>
      <c r="AD388" s="1362"/>
      <c r="AE388" s="1362"/>
      <c r="AF388" s="1362"/>
      <c r="AG388" s="1362"/>
      <c r="AH388" s="1362"/>
      <c r="AI388" s="1362"/>
      <c r="AJ388" s="1362"/>
    </row>
    <row r="389" spans="4:36" ht="13.05" customHeight="1">
      <c r="D389" t="s">
        <v>4</v>
      </c>
      <c r="Q389" s="1744">
        <v>45467</v>
      </c>
      <c r="R389" s="1744"/>
      <c r="S389" s="1744"/>
      <c r="T389" s="1744"/>
      <c r="U389" s="1744"/>
      <c r="V389" t="s">
        <v>309</v>
      </c>
      <c r="AI389" s="1356" t="s">
        <v>545</v>
      </c>
      <c r="AJ389" s="1356"/>
    </row>
    <row r="390" spans="4:36" ht="13.05" customHeight="1">
      <c r="D390" t="s">
        <v>5</v>
      </c>
      <c r="Q390" s="1423">
        <v>46197</v>
      </c>
      <c r="R390" s="1817"/>
      <c r="S390" s="1817"/>
      <c r="T390" s="1817"/>
      <c r="U390" s="1817"/>
      <c r="W390" s="21" t="s">
        <v>74</v>
      </c>
      <c r="AG390" s="1814"/>
      <c r="AH390" s="1814"/>
      <c r="AI390" s="1814"/>
      <c r="AJ390" s="1814"/>
    </row>
    <row r="391" spans="4:36" ht="13.05" customHeight="1">
      <c r="D391" t="s">
        <v>427</v>
      </c>
      <c r="Q391" s="1851">
        <v>1600000</v>
      </c>
      <c r="R391" s="1851"/>
      <c r="S391" s="1851"/>
      <c r="T391" s="1851"/>
      <c r="U391" s="1851"/>
      <c r="V391" s="3" t="s">
        <v>1181</v>
      </c>
      <c r="AG391" s="1815">
        <v>46143</v>
      </c>
      <c r="AH391" s="1816"/>
      <c r="AI391" s="1816"/>
      <c r="AJ391" s="1816"/>
    </row>
    <row r="392" spans="4:36" ht="13.05" customHeight="1">
      <c r="D392" t="s">
        <v>88</v>
      </c>
      <c r="I392" s="1745" t="s">
        <v>2627</v>
      </c>
      <c r="J392" s="1745"/>
      <c r="K392" s="1745"/>
      <c r="L392" s="1745"/>
      <c r="M392" s="1745"/>
      <c r="N392" s="1745"/>
      <c r="Q392" s="4" t="s">
        <v>206</v>
      </c>
      <c r="S392" s="1850"/>
      <c r="T392" s="1850"/>
      <c r="U392" s="1850"/>
      <c r="V392" t="s">
        <v>73</v>
      </c>
      <c r="AI392" s="1356" t="s">
        <v>669</v>
      </c>
      <c r="AJ392" s="1356"/>
    </row>
    <row r="393" spans="4:36" ht="13.05" customHeight="1">
      <c r="D393" t="s">
        <v>310</v>
      </c>
      <c r="Q393" s="1444"/>
      <c r="R393" s="1444"/>
      <c r="S393" s="1444"/>
      <c r="T393" s="1444"/>
      <c r="U393" s="1444"/>
      <c r="V393" t="s">
        <v>311</v>
      </c>
      <c r="AG393" s="1814"/>
      <c r="AH393" s="1814"/>
      <c r="AI393" s="1814"/>
      <c r="AJ393" s="1814"/>
    </row>
    <row r="394" spans="4:36" ht="13.05" customHeight="1">
      <c r="D394" t="s">
        <v>312</v>
      </c>
      <c r="Q394" s="1823"/>
      <c r="R394" s="1823"/>
      <c r="S394" s="1823"/>
      <c r="T394" s="1823"/>
      <c r="U394" s="1823"/>
      <c r="V394" t="s">
        <v>1163</v>
      </c>
      <c r="AG394" s="1814"/>
      <c r="AH394" s="1814"/>
      <c r="AI394" s="1814"/>
      <c r="AJ394" s="1814"/>
    </row>
    <row r="395" spans="4:36" ht="13.05" customHeight="1">
      <c r="D395" t="s">
        <v>1162</v>
      </c>
      <c r="AG395" s="1814"/>
      <c r="AH395" s="1814"/>
      <c r="AI395" s="1814"/>
      <c r="AJ395" s="1814"/>
    </row>
    <row r="396" spans="4:36" ht="13.05" customHeight="1">
      <c r="AG396" s="456"/>
      <c r="AH396" s="456"/>
      <c r="AI396" s="456"/>
      <c r="AJ396" s="456"/>
    </row>
    <row r="397" spans="4:36" ht="13.05" customHeight="1">
      <c r="D397" s="3" t="s">
        <v>2142</v>
      </c>
      <c r="AG397" s="456"/>
      <c r="AH397" s="456"/>
      <c r="AI397" s="1356" t="s">
        <v>669</v>
      </c>
      <c r="AJ397" s="1356"/>
    </row>
    <row r="398" spans="4:36" ht="13.05" customHeight="1">
      <c r="D398" s="3" t="s">
        <v>1667</v>
      </c>
      <c r="T398" s="1743"/>
      <c r="U398" s="1743"/>
      <c r="V398" s="1743"/>
      <c r="W398" s="1743"/>
      <c r="X398" s="1743"/>
      <c r="Y398" s="1743"/>
      <c r="Z398" s="1743"/>
      <c r="AA398" s="1743"/>
      <c r="AB398" s="1743"/>
      <c r="AC398" s="1743"/>
      <c r="AD398" s="1743"/>
      <c r="AE398" s="1743"/>
      <c r="AF398" s="1743"/>
      <c r="AG398" s="1743"/>
      <c r="AH398" s="1743"/>
      <c r="AI398" s="1743"/>
      <c r="AJ398" s="1743"/>
    </row>
    <row r="399" spans="4:36" ht="13.05" customHeight="1">
      <c r="D399" s="3" t="s">
        <v>1666</v>
      </c>
      <c r="T399" s="1743"/>
      <c r="U399" s="1743"/>
      <c r="V399" s="1743"/>
      <c r="W399" s="1743"/>
      <c r="X399" s="1743"/>
      <c r="Y399" s="1743"/>
      <c r="Z399" s="1743"/>
      <c r="AA399" s="1743"/>
      <c r="AB399" s="1743"/>
      <c r="AC399" s="1743"/>
      <c r="AD399" s="1743"/>
      <c r="AE399" s="1743"/>
      <c r="AF399" s="1743"/>
      <c r="AG399" s="1743"/>
      <c r="AH399" s="1743"/>
      <c r="AI399" s="1743"/>
      <c r="AJ399" s="1743"/>
    </row>
    <row r="400" spans="4:36" ht="13.05" customHeight="1">
      <c r="AG400" s="456"/>
      <c r="AH400" s="456"/>
      <c r="AI400" s="456"/>
      <c r="AJ400" s="456"/>
    </row>
    <row r="401" spans="1:36" ht="13.05" customHeight="1">
      <c r="D401" s="3" t="s">
        <v>1660</v>
      </c>
      <c r="S401" s="1743" t="s">
        <v>669</v>
      </c>
      <c r="T401" s="1743"/>
      <c r="U401" s="1743"/>
      <c r="V401" t="s">
        <v>1661</v>
      </c>
      <c r="AG401" s="1829"/>
      <c r="AH401" s="1829"/>
      <c r="AI401" s="1829"/>
      <c r="AJ401" s="1829"/>
    </row>
    <row r="402" spans="1:36" ht="13.05" customHeight="1">
      <c r="D402" s="3" t="s">
        <v>1658</v>
      </c>
      <c r="S402" s="1743" t="s">
        <v>591</v>
      </c>
      <c r="T402" s="1743"/>
      <c r="U402" s="1743"/>
      <c r="V402" t="s">
        <v>1663</v>
      </c>
      <c r="AE402" s="1756"/>
      <c r="AF402" s="1756"/>
      <c r="AG402" s="1756"/>
      <c r="AH402" s="1756"/>
      <c r="AI402" s="1756"/>
      <c r="AJ402" s="1756"/>
    </row>
    <row r="403" spans="1:36" ht="13.0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0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05" customHeight="1">
      <c r="D405" s="3" t="s">
        <v>1665</v>
      </c>
      <c r="E405" s="477"/>
      <c r="F405" s="477"/>
      <c r="G405" s="477"/>
      <c r="H405" s="477"/>
      <c r="I405" s="477"/>
      <c r="J405" s="477"/>
      <c r="K405" s="477"/>
      <c r="L405" s="477"/>
      <c r="M405" s="477"/>
      <c r="N405" s="477"/>
      <c r="O405" s="477"/>
      <c r="P405" s="477"/>
      <c r="Q405" s="477"/>
      <c r="R405" s="477"/>
      <c r="S405" s="1849" t="s">
        <v>1184</v>
      </c>
      <c r="T405" s="1849"/>
      <c r="U405" s="1849"/>
      <c r="V405" s="1849"/>
      <c r="W405" s="1849"/>
      <c r="X405" s="1849"/>
      <c r="Y405" s="1849"/>
      <c r="Z405" s="1849"/>
      <c r="AA405" s="1849"/>
      <c r="AB405" s="1849"/>
      <c r="AC405" s="1849"/>
      <c r="AD405" s="1849"/>
      <c r="AE405" s="1849"/>
      <c r="AF405" s="1849"/>
      <c r="AG405" s="1849"/>
      <c r="AH405" s="1849"/>
      <c r="AI405" s="1849"/>
      <c r="AJ405" s="1849"/>
    </row>
    <row r="406" spans="1:36" ht="13.0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0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05" customHeight="1">
      <c r="AG408" s="456"/>
      <c r="AH408" s="456"/>
      <c r="AI408" s="456"/>
      <c r="AJ408" s="456"/>
    </row>
    <row r="409" spans="1:36" ht="13.05" customHeight="1">
      <c r="A409" s="2" t="s">
        <v>589</v>
      </c>
      <c r="B409" s="2"/>
      <c r="C409" s="2" t="s">
        <v>111</v>
      </c>
    </row>
    <row r="410" spans="1:36" ht="13.05" customHeight="1">
      <c r="B410" s="2"/>
      <c r="C410" s="2"/>
      <c r="D410" s="2" t="s">
        <v>1204</v>
      </c>
      <c r="I410" s="1361" t="s">
        <v>2697</v>
      </c>
      <c r="J410" s="1361"/>
      <c r="K410" s="1361"/>
      <c r="L410" s="1361"/>
      <c r="M410" s="1361"/>
      <c r="N410" s="1361"/>
      <c r="O410" s="1361"/>
      <c r="P410" s="1361"/>
      <c r="Q410" s="1361"/>
      <c r="R410" s="1361"/>
      <c r="S410" s="1361"/>
      <c r="T410" s="1361"/>
      <c r="U410" s="1361"/>
      <c r="V410" s="1361"/>
      <c r="W410" s="1361"/>
      <c r="X410" s="1361"/>
      <c r="Y410" s="1361"/>
      <c r="Z410" s="1361"/>
      <c r="AA410" s="1361"/>
      <c r="AB410" s="1361"/>
      <c r="AC410" s="1361"/>
      <c r="AD410" s="1361"/>
      <c r="AE410" s="1361"/>
    </row>
    <row r="411" spans="1:36" ht="13.05" customHeight="1">
      <c r="E411" t="s">
        <v>106</v>
      </c>
      <c r="R411" s="1356" t="s">
        <v>545</v>
      </c>
      <c r="S411" s="1356"/>
      <c r="AC411" s="27" t="s">
        <v>570</v>
      </c>
      <c r="AD411" s="1598">
        <v>4</v>
      </c>
      <c r="AE411" s="1598"/>
    </row>
    <row r="412" spans="1:36" ht="13.05" customHeight="1">
      <c r="E412" t="s">
        <v>107</v>
      </c>
      <c r="R412" s="1356" t="s">
        <v>591</v>
      </c>
      <c r="S412" s="1356"/>
      <c r="AC412" s="27" t="s">
        <v>570</v>
      </c>
      <c r="AD412" s="1598"/>
      <c r="AE412" s="1598"/>
    </row>
    <row r="413" spans="1:36" ht="13.05" customHeight="1">
      <c r="E413" t="s">
        <v>108</v>
      </c>
      <c r="S413" s="1356" t="s">
        <v>591</v>
      </c>
      <c r="T413" s="1356"/>
    </row>
    <row r="414" spans="1:36" ht="13.05" customHeight="1">
      <c r="E414" t="s">
        <v>170</v>
      </c>
      <c r="H414" s="1824" t="s">
        <v>2710</v>
      </c>
      <c r="I414" s="1824"/>
      <c r="J414" s="1824"/>
      <c r="K414" s="1824"/>
      <c r="L414" s="1824"/>
      <c r="M414" s="1824"/>
      <c r="N414" s="1824"/>
      <c r="O414" s="1824"/>
      <c r="P414" s="1824"/>
      <c r="Q414" s="1824"/>
      <c r="R414" s="1824"/>
      <c r="S414" s="1824"/>
      <c r="T414" s="1824"/>
      <c r="U414" s="1824"/>
      <c r="V414" s="1824"/>
      <c r="W414" s="1824"/>
      <c r="X414" s="1824"/>
      <c r="Y414" s="1824"/>
      <c r="Z414" s="1824"/>
      <c r="AA414" s="1824"/>
      <c r="AB414" s="1824"/>
      <c r="AC414" s="1824"/>
      <c r="AD414" s="1824"/>
      <c r="AE414" s="1824"/>
    </row>
    <row r="415" spans="1:36" ht="13.05" customHeight="1">
      <c r="H415" s="1825"/>
      <c r="I415" s="1825"/>
      <c r="J415" s="1825"/>
      <c r="K415" s="1825"/>
      <c r="L415" s="1825"/>
      <c r="M415" s="1825"/>
      <c r="N415" s="1825"/>
      <c r="O415" s="1825"/>
      <c r="P415" s="1825"/>
      <c r="Q415" s="1825"/>
      <c r="R415" s="1825"/>
      <c r="S415" s="1825"/>
      <c r="T415" s="1825"/>
      <c r="U415" s="1825"/>
      <c r="V415" s="1825"/>
      <c r="W415" s="1825"/>
      <c r="X415" s="1825"/>
      <c r="Y415" s="1825"/>
      <c r="Z415" s="1825"/>
      <c r="AA415" s="1825"/>
      <c r="AB415" s="1825"/>
      <c r="AC415" s="1825"/>
      <c r="AD415" s="1825"/>
      <c r="AE415" s="1825"/>
    </row>
    <row r="416" spans="1:36" ht="13.05" customHeight="1"/>
    <row r="417" spans="1:39" ht="13.05" customHeight="1">
      <c r="A417" s="2" t="s">
        <v>590</v>
      </c>
      <c r="B417" s="2"/>
      <c r="C417" s="2"/>
      <c r="D417" s="2" t="s">
        <v>114</v>
      </c>
      <c r="AF417" s="2" t="s">
        <v>957</v>
      </c>
    </row>
    <row r="418" spans="1:39" ht="13.05" customHeight="1">
      <c r="E418" s="1809"/>
      <c r="F418" s="1809"/>
      <c r="G418" s="1809"/>
      <c r="H418" s="13" t="s">
        <v>115</v>
      </c>
      <c r="I418" s="1809"/>
      <c r="J418" s="1809"/>
      <c r="K418" s="1809"/>
      <c r="L418" t="s">
        <v>116</v>
      </c>
      <c r="N418" s="27" t="s">
        <v>575</v>
      </c>
      <c r="P418" s="1827">
        <v>0.46978879699999998</v>
      </c>
      <c r="Q418" s="1827"/>
      <c r="R418" s="1827"/>
      <c r="S418" t="s">
        <v>117</v>
      </c>
      <c r="W418" s="1822">
        <f>IF(E418&gt;0,(E418*I418),(P418*43560))</f>
        <v>20463.999997319999</v>
      </c>
      <c r="X418" s="1822"/>
      <c r="Y418" s="1822"/>
      <c r="Z418" t="s">
        <v>118</v>
      </c>
      <c r="AF418" s="1828">
        <f>IFERROR(IF(P418&gt;0,(AG437/P418),(AG437/(W418/43560))),0)</f>
        <v>97.916340904144633</v>
      </c>
      <c r="AG418" s="1828"/>
      <c r="AH418" s="1828"/>
      <c r="AM418" s="3"/>
    </row>
    <row r="419" spans="1:39" ht="13.05" customHeight="1">
      <c r="E419" t="s">
        <v>51</v>
      </c>
    </row>
    <row r="420" spans="1:39" ht="13.05" customHeight="1">
      <c r="E420" s="1830"/>
      <c r="F420" s="1830"/>
      <c r="G420" s="1830"/>
      <c r="H420" s="1830"/>
      <c r="I420" s="1830"/>
      <c r="J420" s="1830"/>
      <c r="K420" s="1830"/>
      <c r="L420" s="1830"/>
      <c r="M420" s="1830"/>
      <c r="N420" s="1830"/>
      <c r="O420" s="1830"/>
      <c r="P420" s="1830"/>
      <c r="Q420" s="1830"/>
      <c r="R420" s="1830"/>
      <c r="S420" s="1830"/>
      <c r="T420" s="1830"/>
      <c r="U420" s="1830"/>
      <c r="V420" s="1830"/>
      <c r="W420" s="1830"/>
      <c r="X420" s="1830"/>
      <c r="Y420" s="1830"/>
      <c r="Z420" s="1830"/>
      <c r="AA420" s="1830"/>
      <c r="AB420" s="1830"/>
      <c r="AC420" s="1830"/>
      <c r="AD420" s="1830"/>
      <c r="AE420" s="1830"/>
      <c r="AF420" s="1830"/>
      <c r="AG420" s="1830"/>
      <c r="AH420" s="1830"/>
      <c r="AI420" s="1830"/>
      <c r="AJ420" s="1830"/>
    </row>
    <row r="421" spans="1:39" ht="13.05" customHeight="1">
      <c r="E421" s="118" t="s">
        <v>1736</v>
      </c>
      <c r="F421" s="1013"/>
      <c r="G421" s="1013"/>
      <c r="H421" s="1013"/>
      <c r="I421" s="1826">
        <v>0.46978879699999998</v>
      </c>
      <c r="J421" s="1826"/>
      <c r="K421" s="1826"/>
      <c r="L421" s="1013"/>
      <c r="M421" s="118"/>
      <c r="N421" s="1013"/>
      <c r="O421" s="1013"/>
      <c r="P421" s="1749">
        <f>(DU755+DU778+DU800)/I421</f>
        <v>204.34714623473664</v>
      </c>
      <c r="Q421" s="1749"/>
      <c r="R421" s="174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05" customHeight="1"/>
    <row r="423" spans="1:39" ht="13.05" customHeight="1">
      <c r="A423" s="2" t="s">
        <v>592</v>
      </c>
      <c r="B423" s="2"/>
      <c r="C423" s="2"/>
      <c r="D423" s="2" t="s">
        <v>120</v>
      </c>
    </row>
    <row r="424" spans="1:39" ht="13.05" customHeight="1">
      <c r="E424" t="s">
        <v>121</v>
      </c>
      <c r="P424" s="1356">
        <v>1</v>
      </c>
      <c r="Q424" s="1356"/>
      <c r="S424" t="s">
        <v>189</v>
      </c>
      <c r="AE424" s="1356">
        <v>1</v>
      </c>
      <c r="AF424" s="1356"/>
    </row>
    <row r="425" spans="1:39" ht="13.05" customHeight="1">
      <c r="E425" t="s">
        <v>190</v>
      </c>
      <c r="P425" s="1356">
        <v>0</v>
      </c>
      <c r="Q425" s="1356"/>
      <c r="S425" t="s">
        <v>131</v>
      </c>
      <c r="AE425" s="1356" t="s">
        <v>591</v>
      </c>
      <c r="AF425" s="1356"/>
    </row>
    <row r="426" spans="1:39" ht="13.05" customHeight="1">
      <c r="F426" s="28" t="s">
        <v>132</v>
      </c>
    </row>
    <row r="427" spans="1:39" ht="13.05" customHeight="1">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1790"/>
      <c r="AG427" s="1790"/>
      <c r="AH427" s="1790"/>
    </row>
    <row r="428" spans="1:39" ht="13.05" customHeight="1">
      <c r="F428" s="1754"/>
      <c r="G428" s="1754"/>
      <c r="H428" s="1754"/>
      <c r="I428" s="1754"/>
      <c r="J428" s="1754"/>
      <c r="K428" s="1754"/>
      <c r="L428" s="1754"/>
      <c r="M428" s="1754"/>
      <c r="N428" s="1754"/>
      <c r="O428" s="1754"/>
      <c r="P428" s="1754"/>
      <c r="Q428" s="1754"/>
      <c r="R428" s="1754"/>
      <c r="S428" s="1754"/>
      <c r="T428" s="1754"/>
      <c r="U428" s="1754"/>
      <c r="V428" s="1754"/>
      <c r="W428" s="1754"/>
      <c r="X428" s="1754"/>
      <c r="Y428" s="1754"/>
      <c r="Z428" s="1754"/>
      <c r="AA428" s="1754"/>
      <c r="AB428" s="1754"/>
      <c r="AC428" s="1754"/>
      <c r="AD428" s="1754"/>
      <c r="AE428" s="1754"/>
      <c r="AF428" s="1754"/>
      <c r="AG428" s="1754"/>
      <c r="AH428" s="1754"/>
    </row>
    <row r="429" spans="1:39" ht="13.05" customHeight="1">
      <c r="E429" t="s">
        <v>608</v>
      </c>
      <c r="P429" s="1"/>
      <c r="Q429" s="1356" t="s">
        <v>545</v>
      </c>
      <c r="R429" s="1356"/>
    </row>
    <row r="430" spans="1:39" ht="13.05" customHeight="1">
      <c r="F430" t="s">
        <v>609</v>
      </c>
      <c r="P430" s="1"/>
      <c r="Q430" s="1"/>
      <c r="AF430" s="1356" t="s">
        <v>591</v>
      </c>
      <c r="AG430" s="1811"/>
    </row>
    <row r="431" spans="1:39" ht="13.05" customHeight="1"/>
    <row r="432" spans="1:39" ht="13.05" customHeight="1">
      <c r="A432" s="2"/>
      <c r="B432" s="2"/>
      <c r="C432" s="2"/>
      <c r="E432" s="4" t="s">
        <v>308</v>
      </c>
      <c r="Z432" s="1356" t="s">
        <v>669</v>
      </c>
      <c r="AA432" s="1356"/>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56" t="s">
        <v>591</v>
      </c>
      <c r="AA434" s="1356"/>
    </row>
    <row r="435" spans="1:55" ht="13.05" customHeight="1"/>
    <row r="436" spans="1:55" ht="13.05" customHeight="1">
      <c r="A436" s="2" t="s">
        <v>467</v>
      </c>
      <c r="B436" s="2"/>
      <c r="C436" s="2"/>
      <c r="D436" s="2" t="s">
        <v>764</v>
      </c>
      <c r="AF436" s="48"/>
    </row>
    <row r="437" spans="1:55" ht="13.05" customHeight="1">
      <c r="D437" s="1573" t="s">
        <v>43</v>
      </c>
      <c r="E437" s="1574"/>
      <c r="F437" s="1574"/>
      <c r="G437" s="1574"/>
      <c r="H437" s="1574"/>
      <c r="I437" s="1574"/>
      <c r="J437" s="1574"/>
      <c r="K437" s="1574"/>
      <c r="L437" s="1574"/>
      <c r="M437" s="1574"/>
      <c r="N437" s="1574"/>
      <c r="O437" s="1574"/>
      <c r="P437" s="1574"/>
      <c r="Q437" s="1574"/>
      <c r="R437" s="1574"/>
      <c r="S437" s="1574"/>
      <c r="T437" s="1574"/>
      <c r="U437" s="1574"/>
      <c r="V437" s="1574"/>
      <c r="W437" s="1574"/>
      <c r="X437" s="1574"/>
      <c r="Y437" s="1574"/>
      <c r="Z437" s="1574"/>
      <c r="AA437" s="1574"/>
      <c r="AB437" s="1574"/>
      <c r="AC437" s="1574"/>
      <c r="AD437" s="1574"/>
      <c r="AE437" s="1574"/>
      <c r="AF437" s="1810"/>
      <c r="AG437" s="1812">
        <v>46</v>
      </c>
      <c r="AH437" s="1812"/>
      <c r="AI437" s="1812"/>
      <c r="AJ437" s="1812"/>
    </row>
    <row r="438" spans="1:55" ht="13.05" customHeight="1">
      <c r="D438" s="1735" t="s">
        <v>1222</v>
      </c>
      <c r="E438" s="1736"/>
      <c r="F438" s="1736"/>
      <c r="G438" s="1736"/>
      <c r="H438" s="1736"/>
      <c r="I438" s="1736"/>
      <c r="J438" s="1736"/>
      <c r="K438" s="1736"/>
      <c r="L438" s="1736"/>
      <c r="M438" s="1736"/>
      <c r="N438" s="1736"/>
      <c r="O438" s="1736"/>
      <c r="P438" s="1736"/>
      <c r="Q438" s="1736"/>
      <c r="R438" s="1736"/>
      <c r="S438" s="1736"/>
      <c r="T438" s="1736"/>
      <c r="U438" s="1736"/>
      <c r="V438" s="1736"/>
      <c r="W438" s="1736"/>
      <c r="X438" s="1736"/>
      <c r="Y438" s="1736"/>
      <c r="Z438" s="1736"/>
      <c r="AA438" s="1736"/>
      <c r="AB438" s="1736"/>
      <c r="AC438" s="1736"/>
      <c r="AD438" s="1736"/>
      <c r="AE438" s="1736"/>
      <c r="AF438" s="1737"/>
      <c r="AG438" s="1821">
        <v>0</v>
      </c>
      <c r="AH438" s="1613"/>
      <c r="AI438" s="1613"/>
      <c r="AJ438" s="1613"/>
    </row>
    <row r="439" spans="1:55" ht="13.05" customHeight="1">
      <c r="D439" s="1735" t="s">
        <v>1031</v>
      </c>
      <c r="E439" s="1736"/>
      <c r="F439" s="1736"/>
      <c r="G439" s="1736"/>
      <c r="H439" s="1736"/>
      <c r="I439" s="1736"/>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736"/>
      <c r="AD439" s="1736"/>
      <c r="AE439" s="1736"/>
      <c r="AF439" s="1737"/>
      <c r="AG439" s="1812">
        <v>45</v>
      </c>
      <c r="AH439" s="1812"/>
      <c r="AI439" s="1812"/>
      <c r="AJ439" s="1812"/>
    </row>
    <row r="440" spans="1:55" ht="13.05" customHeight="1">
      <c r="D440" s="1735" t="s">
        <v>1032</v>
      </c>
      <c r="E440" s="1736"/>
      <c r="F440" s="1736"/>
      <c r="G440" s="1736"/>
      <c r="H440" s="1736"/>
      <c r="I440" s="1736"/>
      <c r="J440" s="1736"/>
      <c r="K440" s="1736"/>
      <c r="L440" s="1736"/>
      <c r="M440" s="1736"/>
      <c r="N440" s="1736"/>
      <c r="O440" s="1736"/>
      <c r="P440" s="1736"/>
      <c r="Q440" s="1736"/>
      <c r="R440" s="1736"/>
      <c r="S440" s="1736"/>
      <c r="T440" s="1736"/>
      <c r="U440" s="1736"/>
      <c r="V440" s="1736"/>
      <c r="W440" s="1736"/>
      <c r="X440" s="1736"/>
      <c r="Y440" s="1736"/>
      <c r="Z440" s="1736"/>
      <c r="AA440" s="1736"/>
      <c r="AB440" s="1736"/>
      <c r="AC440" s="1736"/>
      <c r="AD440" s="1736"/>
      <c r="AE440" s="1736"/>
      <c r="AF440" s="1737"/>
      <c r="AG440" s="1812">
        <v>45</v>
      </c>
      <c r="AH440" s="1812"/>
      <c r="AI440" s="1812"/>
      <c r="AJ440" s="1812"/>
    </row>
    <row r="441" spans="1:55" ht="13.05" customHeight="1">
      <c r="D441" s="1735" t="s">
        <v>1034</v>
      </c>
      <c r="E441" s="1736"/>
      <c r="F441" s="1736"/>
      <c r="G441" s="1736"/>
      <c r="H441" s="1736"/>
      <c r="I441" s="1736"/>
      <c r="J441" s="1736"/>
      <c r="K441" s="1736"/>
      <c r="L441" s="1736"/>
      <c r="M441" s="1736"/>
      <c r="N441" s="1736"/>
      <c r="O441" s="1736"/>
      <c r="P441" s="1736"/>
      <c r="Q441" s="1736"/>
      <c r="R441" s="1736"/>
      <c r="S441" s="1736"/>
      <c r="T441" s="1736"/>
      <c r="U441" s="1736"/>
      <c r="V441" s="1736"/>
      <c r="W441" s="1736"/>
      <c r="X441" s="1736"/>
      <c r="Y441" s="1736"/>
      <c r="Z441" s="1736"/>
      <c r="AA441" s="1736"/>
      <c r="AB441" s="1736"/>
      <c r="AC441" s="1736"/>
      <c r="AD441" s="1736"/>
      <c r="AE441" s="1736"/>
      <c r="AF441" s="1737"/>
      <c r="AG441" s="1852">
        <f>IF(ISERROR(AG440/AG439),0,AG440/AG439)</f>
        <v>1</v>
      </c>
      <c r="AH441" s="1852"/>
      <c r="AI441" s="1852"/>
      <c r="AJ441" s="1852"/>
    </row>
    <row r="442" spans="1:55" ht="13.05" customHeight="1">
      <c r="D442" s="1735" t="s">
        <v>1033</v>
      </c>
      <c r="E442" s="1736"/>
      <c r="F442" s="1736"/>
      <c r="G442" s="1736"/>
      <c r="H442" s="1736"/>
      <c r="I442" s="1736"/>
      <c r="J442" s="1736"/>
      <c r="K442" s="1736"/>
      <c r="L442" s="1736"/>
      <c r="M442" s="1736"/>
      <c r="N442" s="1736"/>
      <c r="O442" s="1736"/>
      <c r="P442" s="1736"/>
      <c r="Q442" s="1736"/>
      <c r="R442" s="1736"/>
      <c r="S442" s="1736"/>
      <c r="T442" s="1736"/>
      <c r="U442" s="1736"/>
      <c r="V442" s="1736"/>
      <c r="W442" s="1736"/>
      <c r="X442" s="1736"/>
      <c r="Y442" s="1736"/>
      <c r="Z442" s="1736"/>
      <c r="AA442" s="1736"/>
      <c r="AB442" s="1736"/>
      <c r="AC442" s="1736"/>
      <c r="AD442" s="1736"/>
      <c r="AE442" s="1736"/>
      <c r="AF442" s="1737"/>
      <c r="AG442" s="1831">
        <f>AG443</f>
        <v>37608</v>
      </c>
      <c r="AH442" s="1831"/>
      <c r="AI442" s="1831"/>
      <c r="AJ442" s="1831"/>
    </row>
    <row r="443" spans="1:55" ht="13.05" customHeight="1">
      <c r="D443" s="1735" t="s">
        <v>1035</v>
      </c>
      <c r="E443" s="1736"/>
      <c r="F443" s="1736"/>
      <c r="G443" s="1736"/>
      <c r="H443" s="1736"/>
      <c r="I443" s="1736"/>
      <c r="J443" s="1736"/>
      <c r="K443" s="1736"/>
      <c r="L443" s="1736"/>
      <c r="M443" s="1736"/>
      <c r="N443" s="1736"/>
      <c r="O443" s="1736"/>
      <c r="P443" s="1736"/>
      <c r="Q443" s="1736"/>
      <c r="R443" s="1736"/>
      <c r="S443" s="1736"/>
      <c r="T443" s="1736"/>
      <c r="U443" s="1736"/>
      <c r="V443" s="1736"/>
      <c r="W443" s="1736"/>
      <c r="X443" s="1736"/>
      <c r="Y443" s="1736"/>
      <c r="Z443" s="1736"/>
      <c r="AA443" s="1736"/>
      <c r="AB443" s="1736"/>
      <c r="AC443" s="1736"/>
      <c r="AD443" s="1736"/>
      <c r="AE443" s="1736"/>
      <c r="AF443" s="1737"/>
      <c r="AG443" s="1831">
        <f>47050-AG448-AG446</f>
        <v>37608</v>
      </c>
      <c r="AH443" s="1831"/>
      <c r="AI443" s="1831"/>
      <c r="AJ443" s="1831"/>
    </row>
    <row r="444" spans="1:55" ht="13.05" customHeight="1">
      <c r="D444" s="1735" t="s">
        <v>1036</v>
      </c>
      <c r="E444" s="1736"/>
      <c r="F444" s="1736"/>
      <c r="G444" s="1736"/>
      <c r="H444" s="1736"/>
      <c r="I444" s="1736"/>
      <c r="J444" s="1736"/>
      <c r="K444" s="1736"/>
      <c r="L444" s="1736"/>
      <c r="M444" s="1736"/>
      <c r="N444" s="1736"/>
      <c r="O444" s="1736"/>
      <c r="P444" s="1736"/>
      <c r="Q444" s="1736"/>
      <c r="R444" s="1736"/>
      <c r="S444" s="1736"/>
      <c r="T444" s="1736"/>
      <c r="U444" s="1736"/>
      <c r="V444" s="1736"/>
      <c r="W444" s="1736"/>
      <c r="X444" s="1736"/>
      <c r="Y444" s="1736"/>
      <c r="Z444" s="1736"/>
      <c r="AA444" s="1736"/>
      <c r="AB444" s="1736"/>
      <c r="AC444" s="1736"/>
      <c r="AD444" s="1736"/>
      <c r="AE444" s="1736"/>
      <c r="AF444" s="1737"/>
      <c r="AG444" s="1852">
        <f>IF(ISERROR(AG443/AG442),0,AG443/AG442)</f>
        <v>1</v>
      </c>
      <c r="AH444" s="1852"/>
      <c r="AI444" s="1852"/>
      <c r="AJ444" s="1852"/>
    </row>
    <row r="445" spans="1:55" ht="13.05" customHeight="1">
      <c r="D445" s="1735" t="s">
        <v>1037</v>
      </c>
      <c r="E445" s="1736"/>
      <c r="F445" s="1736"/>
      <c r="G445" s="1736"/>
      <c r="H445" s="1736"/>
      <c r="I445" s="1736"/>
      <c r="J445" s="1736"/>
      <c r="K445" s="1736"/>
      <c r="L445" s="1736"/>
      <c r="M445" s="1736"/>
      <c r="N445" s="1736"/>
      <c r="O445" s="1736"/>
      <c r="P445" s="1736"/>
      <c r="Q445" s="1736"/>
      <c r="R445" s="1736"/>
      <c r="S445" s="1736"/>
      <c r="T445" s="1736"/>
      <c r="U445" s="1736"/>
      <c r="V445" s="1736"/>
      <c r="W445" s="1736"/>
      <c r="X445" s="1736"/>
      <c r="Y445" s="1736"/>
      <c r="Z445" s="1736"/>
      <c r="AA445" s="1736"/>
      <c r="AB445" s="1736"/>
      <c r="AC445" s="1736"/>
      <c r="AD445" s="1736"/>
      <c r="AE445" s="1736"/>
      <c r="AF445" s="1737"/>
      <c r="AG445" s="1852">
        <f>MIN(IF(AG441&gt;AG444,AG444,AG441),1)</f>
        <v>1</v>
      </c>
      <c r="AH445" s="1852"/>
      <c r="AI445" s="1852"/>
      <c r="AJ445" s="1852"/>
    </row>
    <row r="446" spans="1:55" ht="13.05" customHeight="1">
      <c r="D446" s="1735" t="s">
        <v>2087</v>
      </c>
      <c r="E446" s="1574"/>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1810"/>
      <c r="AG446" s="1831">
        <v>1555</v>
      </c>
      <c r="AH446" s="1831"/>
      <c r="AI446" s="1831"/>
      <c r="AJ446" s="1831"/>
      <c r="AZ446" s="34"/>
      <c r="BA446" s="34"/>
      <c r="BB446" s="34"/>
      <c r="BC446" s="34"/>
    </row>
    <row r="447" spans="1:55" ht="13.05" customHeight="1">
      <c r="D447" s="1573" t="s">
        <v>569</v>
      </c>
      <c r="E447" s="1574"/>
      <c r="F447" s="1574"/>
      <c r="G447" s="1574"/>
      <c r="H447" s="1574"/>
      <c r="I447" s="1574"/>
      <c r="J447" s="1574"/>
      <c r="K447" s="1574"/>
      <c r="L447" s="1574"/>
      <c r="M447" s="1574"/>
      <c r="N447" s="1574"/>
      <c r="O447" s="1574"/>
      <c r="P447" s="1574"/>
      <c r="Q447" s="1574"/>
      <c r="R447" s="1574"/>
      <c r="S447" s="1574"/>
      <c r="T447" s="1574"/>
      <c r="U447" s="1574"/>
      <c r="V447" s="1574"/>
      <c r="W447" s="1574"/>
      <c r="X447" s="1574"/>
      <c r="Y447" s="1574"/>
      <c r="Z447" s="1574"/>
      <c r="AA447" s="1574"/>
      <c r="AB447" s="1574"/>
      <c r="AC447" s="1574"/>
      <c r="AD447" s="1574"/>
      <c r="AE447" s="1574"/>
      <c r="AF447" s="1810"/>
      <c r="AG447" s="1831">
        <v>1293</v>
      </c>
      <c r="AH447" s="1831"/>
      <c r="AI447" s="1831"/>
      <c r="AJ447" s="1831"/>
      <c r="AZ447" s="3"/>
      <c r="BA447" s="3"/>
      <c r="BB447" s="3"/>
      <c r="BC447" s="3"/>
    </row>
    <row r="448" spans="1:55" ht="13.05" customHeight="1">
      <c r="D448" s="1735" t="s">
        <v>1205</v>
      </c>
      <c r="E448" s="1574"/>
      <c r="F448" s="1574"/>
      <c r="G448" s="1574"/>
      <c r="H448" s="1574"/>
      <c r="I448" s="1574"/>
      <c r="J448" s="1574"/>
      <c r="K448" s="1574"/>
      <c r="L448" s="1574"/>
      <c r="M448" s="1574"/>
      <c r="N448" s="1574"/>
      <c r="O448" s="1574"/>
      <c r="P448" s="1574"/>
      <c r="Q448" s="1574"/>
      <c r="R448" s="1574"/>
      <c r="S448" s="1574"/>
      <c r="T448" s="1574"/>
      <c r="U448" s="1574"/>
      <c r="V448" s="1574"/>
      <c r="W448" s="1574"/>
      <c r="X448" s="1574"/>
      <c r="Y448" s="1574"/>
      <c r="Z448" s="1574"/>
      <c r="AA448" s="1574"/>
      <c r="AB448" s="1574"/>
      <c r="AC448" s="1574"/>
      <c r="AD448" s="1574"/>
      <c r="AE448" s="1574"/>
      <c r="AF448" s="1810"/>
      <c r="AG448" s="1831">
        <f>6163+986+2031-AG447</f>
        <v>7887</v>
      </c>
      <c r="AH448" s="1831"/>
      <c r="AI448" s="1831"/>
      <c r="AJ448" s="1831"/>
      <c r="AZ448" s="3"/>
      <c r="BA448" s="3"/>
      <c r="BB448" s="3"/>
      <c r="BC448" s="3"/>
    </row>
    <row r="449" spans="1:55" ht="13.05" customHeight="1">
      <c r="D449" s="1735" t="s">
        <v>1038</v>
      </c>
      <c r="E449" s="1574"/>
      <c r="F449" s="1574"/>
      <c r="G449" s="1574"/>
      <c r="H449" s="1574"/>
      <c r="I449" s="1574"/>
      <c r="J449" s="1574"/>
      <c r="K449" s="1574"/>
      <c r="L449" s="1574"/>
      <c r="M449" s="1574"/>
      <c r="N449" s="1574"/>
      <c r="O449" s="1574"/>
      <c r="P449" s="1574"/>
      <c r="Q449" s="1574"/>
      <c r="R449" s="1574"/>
      <c r="S449" s="1574"/>
      <c r="T449" s="1574"/>
      <c r="U449" s="1574"/>
      <c r="V449" s="1574"/>
      <c r="W449" s="1574"/>
      <c r="X449" s="1574"/>
      <c r="Y449" s="1574"/>
      <c r="Z449" s="1574"/>
      <c r="AA449" s="1574"/>
      <c r="AB449" s="1574"/>
      <c r="AC449" s="1574"/>
      <c r="AD449" s="1574"/>
      <c r="AE449" s="1574"/>
      <c r="AF449" s="1810"/>
      <c r="AG449" s="1831">
        <v>0</v>
      </c>
      <c r="AH449" s="1831"/>
      <c r="AI449" s="1831"/>
      <c r="AJ449" s="1831"/>
      <c r="BB449" s="3"/>
      <c r="BC449" s="3"/>
    </row>
    <row r="450" spans="1:55" ht="13.05" customHeight="1">
      <c r="D450" s="1771" t="s">
        <v>1039</v>
      </c>
      <c r="E450" s="1772"/>
      <c r="F450" s="1772"/>
      <c r="G450" s="1772"/>
      <c r="H450" s="1772"/>
      <c r="I450" s="1772"/>
      <c r="J450" s="1772"/>
      <c r="K450" s="1772"/>
      <c r="L450" s="1772"/>
      <c r="M450" s="1772"/>
      <c r="N450" s="1772"/>
      <c r="O450" s="1772"/>
      <c r="P450" s="1772"/>
      <c r="Q450" s="1772"/>
      <c r="R450" s="1772"/>
      <c r="S450" s="1772"/>
      <c r="T450" s="1772"/>
      <c r="U450" s="1772"/>
      <c r="V450" s="1772"/>
      <c r="W450" s="1772"/>
      <c r="X450" s="1772"/>
      <c r="Y450" s="1772"/>
      <c r="Z450" s="1772"/>
      <c r="AA450" s="1772"/>
      <c r="AB450" s="1772"/>
      <c r="AC450" s="1772"/>
      <c r="AD450" s="1772"/>
      <c r="AE450" s="1772"/>
      <c r="AF450" s="1773"/>
      <c r="AG450" s="1860">
        <f>AG442+AG446+AG448+AG449</f>
        <v>47050</v>
      </c>
      <c r="AH450" s="1860"/>
      <c r="AI450" s="1860"/>
      <c r="AJ450" s="1860"/>
      <c r="AZ450" s="3"/>
      <c r="BA450" s="3"/>
      <c r="BB450" s="3"/>
      <c r="BC450" s="3"/>
    </row>
    <row r="451" spans="1:55" ht="13.05" customHeight="1">
      <c r="D451" s="1738" t="s">
        <v>1206</v>
      </c>
      <c r="E451" s="1738"/>
      <c r="F451" s="1738"/>
      <c r="G451" s="1738"/>
      <c r="H451" s="1738"/>
      <c r="I451" s="1738"/>
      <c r="J451" s="1738"/>
      <c r="K451" s="1738"/>
      <c r="L451" s="1738"/>
      <c r="M451" s="1738"/>
      <c r="N451" s="1738"/>
      <c r="O451" s="1738"/>
      <c r="P451" s="1738"/>
      <c r="Q451" s="1738"/>
      <c r="R451" s="1738"/>
      <c r="S451" s="1738"/>
      <c r="T451" s="1738"/>
      <c r="U451" s="1738"/>
      <c r="V451" s="1738"/>
      <c r="W451" s="1738"/>
      <c r="X451" s="1738"/>
      <c r="Y451" s="1738"/>
      <c r="Z451" s="1738"/>
      <c r="AA451" s="1738"/>
      <c r="AB451" s="1738"/>
      <c r="AC451" s="1738"/>
      <c r="AD451" s="1738"/>
      <c r="AE451" s="1738"/>
      <c r="AF451" s="1738"/>
      <c r="AG451" s="1738"/>
      <c r="AH451" s="1738"/>
      <c r="AI451" s="1738"/>
      <c r="AJ451" s="1738"/>
      <c r="AZ451" s="3"/>
      <c r="BA451" s="3"/>
      <c r="BB451" s="3"/>
      <c r="BC451" s="3"/>
    </row>
    <row r="452" spans="1:55" ht="13.05" customHeight="1">
      <c r="D452" s="1739"/>
      <c r="E452" s="1739"/>
      <c r="F452" s="1739"/>
      <c r="G452" s="1739"/>
      <c r="H452" s="1739"/>
      <c r="I452" s="1739"/>
      <c r="J452" s="1739"/>
      <c r="K452" s="1739"/>
      <c r="L452" s="1739"/>
      <c r="M452" s="1739"/>
      <c r="N452" s="1739"/>
      <c r="O452" s="1739"/>
      <c r="P452" s="1739"/>
      <c r="Q452" s="1739"/>
      <c r="R452" s="1739"/>
      <c r="S452" s="1739"/>
      <c r="T452" s="1739"/>
      <c r="U452" s="1739"/>
      <c r="V452" s="1739"/>
      <c r="W452" s="1739"/>
      <c r="X452" s="1739"/>
      <c r="Y452" s="1739"/>
      <c r="Z452" s="1739"/>
      <c r="AA452" s="1739"/>
      <c r="AB452" s="1739"/>
      <c r="AC452" s="1739"/>
      <c r="AD452" s="1739"/>
      <c r="AE452" s="1739"/>
      <c r="AF452" s="1739"/>
      <c r="AG452" s="1739"/>
      <c r="AH452" s="1739"/>
      <c r="AI452" s="1739"/>
      <c r="AJ452" s="1739"/>
      <c r="AZ452" s="3"/>
      <c r="BA452" s="3"/>
      <c r="BB452" s="3"/>
      <c r="BC452" s="3"/>
    </row>
    <row r="453" spans="1:55" ht="13.0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57">
        <f>IF(AG437=0,"",'Sources and Uses Budget'!B105/Application!AG437)</f>
        <v>795129.71739130432</v>
      </c>
      <c r="AD454" s="1757"/>
      <c r="AE454" s="1757"/>
      <c r="AF454" s="1757"/>
      <c r="AG454" s="177"/>
      <c r="AH454" s="177"/>
      <c r="AI454" s="177"/>
      <c r="AJ454" s="183"/>
      <c r="AZ454" s="3"/>
      <c r="BA454" s="3" t="str">
        <f>AG575</f>
        <v>Yes</v>
      </c>
      <c r="BB454" s="3"/>
      <c r="BC454" s="3"/>
    </row>
    <row r="455" spans="1:55" ht="13.0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57">
        <f>IF(AG437=0,"",'Sources and Uses Budget'!C105/Application!AG437)</f>
        <v>795129.71739130432</v>
      </c>
      <c r="AD455" s="1757"/>
      <c r="AE455" s="1757"/>
      <c r="AF455" s="1757"/>
      <c r="AG455" s="177"/>
      <c r="AH455" s="177"/>
      <c r="AI455" s="177"/>
      <c r="AJ455" s="183"/>
      <c r="AZ455" s="3"/>
      <c r="BA455" s="3"/>
      <c r="BB455" s="3"/>
      <c r="BC455" s="3"/>
    </row>
    <row r="456" spans="1:55" ht="13.0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57">
        <f>IF(AG437=0,"",('Sources and Uses Budget'!$S$107+'Sources and Uses Budget'!$T$107)/Application!AG437)</f>
        <v>727252.41304347827</v>
      </c>
      <c r="AD456" s="1757"/>
      <c r="AE456" s="1757"/>
      <c r="AF456" s="1757"/>
      <c r="AG456" s="177"/>
      <c r="AH456" s="177"/>
      <c r="AI456" s="177"/>
      <c r="AJ456" s="183"/>
      <c r="AZ456" s="3"/>
      <c r="BA456" s="3"/>
      <c r="BB456" s="3"/>
      <c r="BC456" s="3"/>
    </row>
    <row r="457" spans="1:55" ht="13.05" customHeight="1">
      <c r="D457" s="177"/>
      <c r="E457" s="177"/>
      <c r="F457" s="172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28"/>
      <c r="H457" s="1728"/>
      <c r="I457" s="1728"/>
      <c r="J457" s="1728"/>
      <c r="K457" s="1728"/>
      <c r="L457" s="1728"/>
      <c r="M457" s="1728"/>
      <c r="N457" s="1728"/>
      <c r="O457" s="1728"/>
      <c r="P457" s="1728"/>
      <c r="Q457" s="1728"/>
      <c r="R457" s="1728"/>
      <c r="S457" s="1728"/>
      <c r="T457" s="1728"/>
      <c r="U457" s="1728"/>
      <c r="V457" s="1728"/>
      <c r="W457" s="1728"/>
      <c r="X457" s="1728"/>
      <c r="Y457" s="1728"/>
      <c r="Z457" s="1728"/>
      <c r="AA457" s="1728"/>
      <c r="AB457" s="1728"/>
      <c r="AC457" s="515"/>
      <c r="AD457" s="177"/>
      <c r="AE457" s="177"/>
      <c r="AF457" s="177"/>
      <c r="AG457" s="177"/>
      <c r="AH457" s="177"/>
      <c r="AI457" s="177"/>
      <c r="AJ457" s="183"/>
      <c r="AZ457" s="3"/>
      <c r="BA457" s="3"/>
      <c r="BB457" s="3"/>
      <c r="BC457" s="3"/>
    </row>
    <row r="458" spans="1:55" ht="13.05" customHeight="1">
      <c r="A458" s="2"/>
      <c r="D458" s="2"/>
      <c r="E458" s="177"/>
      <c r="F458" s="1728"/>
      <c r="G458" s="1728"/>
      <c r="H458" s="1728"/>
      <c r="I458" s="1728"/>
      <c r="J458" s="1728"/>
      <c r="K458" s="1728"/>
      <c r="L458" s="1728"/>
      <c r="M458" s="1728"/>
      <c r="N458" s="1728"/>
      <c r="O458" s="1728"/>
      <c r="P458" s="1728"/>
      <c r="Q458" s="1728"/>
      <c r="R458" s="1728"/>
      <c r="S458" s="1728"/>
      <c r="T458" s="1728"/>
      <c r="U458" s="1728"/>
      <c r="V458" s="1728"/>
      <c r="W458" s="1728"/>
      <c r="X458" s="1728"/>
      <c r="Y458" s="1728"/>
      <c r="Z458" s="1728"/>
      <c r="AA458" s="1728"/>
      <c r="AB458" s="1728"/>
      <c r="AC458" s="177"/>
      <c r="AD458" s="177"/>
      <c r="AE458" s="177"/>
      <c r="AF458" s="177"/>
      <c r="AG458" s="177"/>
      <c r="AH458" s="177"/>
      <c r="AI458" s="177"/>
      <c r="AJ458" s="183"/>
      <c r="AZ458" s="3"/>
      <c r="BA458" s="3"/>
      <c r="BB458" s="3"/>
      <c r="BC458" s="3"/>
    </row>
    <row r="459" spans="1:55" ht="13.0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5" t="s">
        <v>2099</v>
      </c>
      <c r="E465" s="1763"/>
      <c r="F465" s="1763"/>
      <c r="G465" s="1763"/>
      <c r="H465" s="1763"/>
      <c r="I465" s="1763"/>
      <c r="J465" s="1763"/>
      <c r="K465" s="1763"/>
      <c r="L465" s="1763"/>
      <c r="M465" s="1763"/>
      <c r="N465" s="1763"/>
      <c r="O465" s="1763"/>
      <c r="P465" s="1763"/>
      <c r="Q465" s="1763"/>
      <c r="R465" s="1763"/>
      <c r="S465" s="1763"/>
      <c r="T465" s="1763"/>
      <c r="U465" s="1763"/>
      <c r="V465" s="1764"/>
      <c r="W465" s="1759">
        <v>0</v>
      </c>
      <c r="X465" s="1760"/>
      <c r="Y465" s="1761"/>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62" t="s">
        <v>693</v>
      </c>
      <c r="E466" s="1763"/>
      <c r="F466" s="1763"/>
      <c r="G466" s="1763"/>
      <c r="H466" s="1763"/>
      <c r="I466" s="1763"/>
      <c r="J466" s="1763"/>
      <c r="K466" s="1763"/>
      <c r="L466" s="1763"/>
      <c r="M466" s="1763"/>
      <c r="N466" s="1763"/>
      <c r="O466" s="1763"/>
      <c r="P466" s="1763"/>
      <c r="Q466" s="1763"/>
      <c r="R466" s="1763"/>
      <c r="S466" s="1763"/>
      <c r="T466" s="1763"/>
      <c r="U466" s="1763"/>
      <c r="V466" s="1764"/>
      <c r="W466" s="1759">
        <v>0</v>
      </c>
      <c r="X466" s="1760"/>
      <c r="Y466" s="1761"/>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62" t="s">
        <v>694</v>
      </c>
      <c r="E467" s="1763"/>
      <c r="F467" s="1763"/>
      <c r="G467" s="1763"/>
      <c r="H467" s="1763"/>
      <c r="I467" s="1763"/>
      <c r="J467" s="1763"/>
      <c r="K467" s="1763"/>
      <c r="L467" s="1763"/>
      <c r="M467" s="1763"/>
      <c r="N467" s="1763"/>
      <c r="O467" s="1763"/>
      <c r="P467" s="1763"/>
      <c r="Q467" s="1763"/>
      <c r="R467" s="1763"/>
      <c r="S467" s="1763"/>
      <c r="T467" s="1763"/>
      <c r="U467" s="1763"/>
      <c r="V467" s="1764"/>
      <c r="W467" s="1759">
        <v>0</v>
      </c>
      <c r="X467" s="1760"/>
      <c r="Y467" s="1761"/>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62" t="s">
        <v>695</v>
      </c>
      <c r="E468" s="1763"/>
      <c r="F468" s="1763"/>
      <c r="G468" s="1763"/>
      <c r="H468" s="1763"/>
      <c r="I468" s="1763"/>
      <c r="J468" s="1763"/>
      <c r="K468" s="1763"/>
      <c r="L468" s="1763"/>
      <c r="M468" s="1763"/>
      <c r="N468" s="1763"/>
      <c r="O468" s="1763"/>
      <c r="P468" s="1763"/>
      <c r="Q468" s="1763"/>
      <c r="R468" s="1763"/>
      <c r="S468" s="1763"/>
      <c r="T468" s="1763"/>
      <c r="U468" s="1763"/>
      <c r="V468" s="1764"/>
      <c r="W468" s="1759">
        <v>0</v>
      </c>
      <c r="X468" s="1760"/>
      <c r="Y468" s="1761"/>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62" t="s">
        <v>881</v>
      </c>
      <c r="E469" s="1763"/>
      <c r="F469" s="1763"/>
      <c r="G469" s="1763"/>
      <c r="H469" s="1763"/>
      <c r="I469" s="1763"/>
      <c r="J469" s="1763"/>
      <c r="K469" s="1763"/>
      <c r="L469" s="1763"/>
      <c r="M469" s="1763"/>
      <c r="N469" s="1763"/>
      <c r="O469" s="1763"/>
      <c r="P469" s="1763"/>
      <c r="Q469" s="1763"/>
      <c r="R469" s="1763"/>
      <c r="S469" s="1763"/>
      <c r="T469" s="1763"/>
      <c r="U469" s="1763"/>
      <c r="V469" s="1764"/>
      <c r="W469" s="1759">
        <v>0</v>
      </c>
      <c r="X469" s="1760"/>
      <c r="Y469" s="1761"/>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62" t="s">
        <v>696</v>
      </c>
      <c r="E470" s="1763"/>
      <c r="F470" s="1763"/>
      <c r="G470" s="1763"/>
      <c r="H470" s="1763"/>
      <c r="I470" s="1763"/>
      <c r="J470" s="1763"/>
      <c r="K470" s="1763"/>
      <c r="L470" s="1763"/>
      <c r="M470" s="1763"/>
      <c r="N470" s="1763"/>
      <c r="O470" s="1763"/>
      <c r="P470" s="1763"/>
      <c r="Q470" s="1763"/>
      <c r="R470" s="1763"/>
      <c r="S470" s="1763"/>
      <c r="T470" s="1763"/>
      <c r="U470" s="1763"/>
      <c r="V470" s="1764"/>
      <c r="W470" s="1759">
        <v>45</v>
      </c>
      <c r="X470" s="1760"/>
      <c r="Y470" s="1761"/>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762" t="s">
        <v>1012</v>
      </c>
      <c r="E471" s="1763"/>
      <c r="F471" s="1763"/>
      <c r="G471" s="1763"/>
      <c r="H471" s="1763"/>
      <c r="I471" s="1763"/>
      <c r="J471" s="1763"/>
      <c r="K471" s="1763"/>
      <c r="L471" s="1763"/>
      <c r="M471" s="1763"/>
      <c r="N471" s="1763"/>
      <c r="O471" s="1763"/>
      <c r="P471" s="1763"/>
      <c r="Q471" s="1763"/>
      <c r="R471" s="1763"/>
      <c r="S471" s="1763"/>
      <c r="T471" s="1763"/>
      <c r="U471" s="1763"/>
      <c r="V471" s="1764"/>
      <c r="W471" s="1759">
        <v>0</v>
      </c>
      <c r="X471" s="1760"/>
      <c r="Y471" s="1761"/>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5" t="s">
        <v>2190</v>
      </c>
      <c r="E472" s="1857"/>
      <c r="F472" s="1857"/>
      <c r="G472" s="1857"/>
      <c r="H472" s="1857"/>
      <c r="I472" s="1857"/>
      <c r="J472" s="1857"/>
      <c r="K472" s="1857"/>
      <c r="L472" s="1857"/>
      <c r="M472" s="1857"/>
      <c r="N472" s="1857"/>
      <c r="O472" s="1857"/>
      <c r="P472" s="1857"/>
      <c r="Q472" s="1857"/>
      <c r="R472" s="1857"/>
      <c r="S472" s="1857"/>
      <c r="T472" s="1857"/>
      <c r="U472" s="1857"/>
      <c r="V472" s="1858"/>
      <c r="W472" s="1759">
        <v>0</v>
      </c>
      <c r="X472" s="1760"/>
      <c r="Y472" s="1761"/>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5" t="s">
        <v>1654</v>
      </c>
      <c r="E473" s="1763"/>
      <c r="F473" s="1763"/>
      <c r="G473" s="1763"/>
      <c r="H473" s="1763"/>
      <c r="I473" s="1763"/>
      <c r="J473" s="1763"/>
      <c r="K473" s="1763"/>
      <c r="L473" s="1763"/>
      <c r="M473" s="1763"/>
      <c r="N473" s="1763"/>
      <c r="O473" s="1763"/>
      <c r="P473" s="1763"/>
      <c r="Q473" s="1763"/>
      <c r="R473" s="1763"/>
      <c r="S473" s="1763"/>
      <c r="T473" s="1763"/>
      <c r="U473" s="1763"/>
      <c r="V473" s="1764"/>
      <c r="W473" s="1759">
        <v>7</v>
      </c>
      <c r="X473" s="1760"/>
      <c r="Y473" s="1761"/>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3" t="s">
        <v>170</v>
      </c>
      <c r="E474" s="244"/>
      <c r="F474" s="245"/>
      <c r="G474" s="1746"/>
      <c r="H474" s="1747"/>
      <c r="I474" s="1747"/>
      <c r="J474" s="1747"/>
      <c r="K474" s="1747"/>
      <c r="L474" s="1747"/>
      <c r="M474" s="1747"/>
      <c r="N474" s="1747"/>
      <c r="O474" s="1747"/>
      <c r="P474" s="1747"/>
      <c r="Q474" s="1747"/>
      <c r="R474" s="1747"/>
      <c r="S474" s="1747"/>
      <c r="T474" s="1747"/>
      <c r="U474" s="1747"/>
      <c r="V474" s="1748"/>
      <c r="W474" s="1759">
        <v>0</v>
      </c>
      <c r="X474" s="1760"/>
      <c r="Y474" s="1761"/>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0" t="s">
        <v>2711</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05" customHeight="1">
      <c r="AU479" s="95"/>
      <c r="AV479" s="95"/>
      <c r="AW479" s="95"/>
      <c r="AX479" s="95"/>
      <c r="AY479" s="95"/>
      <c r="AZ479" s="3"/>
      <c r="BA479" s="3" t="str">
        <f>AG599</f>
        <v>No</v>
      </c>
      <c r="BB479" s="3"/>
      <c r="BC479" s="3"/>
    </row>
    <row r="480" spans="1:55" ht="13.05" customHeight="1">
      <c r="A480" s="1484" t="s">
        <v>810</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95"/>
      <c r="AV480" s="95"/>
      <c r="AW480" s="95"/>
      <c r="AX480" s="95"/>
      <c r="AY480" s="95"/>
      <c r="AZ480" s="3"/>
      <c r="BB480" s="3"/>
      <c r="BC480" s="3"/>
    </row>
    <row r="481" spans="1:55" ht="13.0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row>
    <row r="482" spans="1:55" ht="13.05" customHeight="1">
      <c r="AZ482" s="3"/>
      <c r="BB482" s="3"/>
      <c r="BC482" s="3"/>
    </row>
    <row r="483" spans="1:55" ht="13.05" customHeight="1">
      <c r="A483" s="2" t="s">
        <v>319</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8" t="s">
        <v>393</v>
      </c>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70"/>
      <c r="AZ485" s="3"/>
      <c r="BB485" s="3"/>
      <c r="BC485" s="3"/>
    </row>
    <row r="486" spans="1:55" ht="13.05" customHeight="1">
      <c r="B486" s="45" t="s">
        <v>394</v>
      </c>
      <c r="C486" s="5"/>
      <c r="D486" s="5"/>
      <c r="E486" s="5"/>
      <c r="F486" s="5"/>
      <c r="G486" s="5"/>
      <c r="H486" s="5"/>
      <c r="I486" s="5"/>
      <c r="J486" s="5"/>
      <c r="K486" s="5"/>
      <c r="L486" s="5"/>
      <c r="M486" s="5"/>
      <c r="N486" s="5"/>
      <c r="O486" s="5"/>
      <c r="P486" s="5"/>
      <c r="Q486" s="1538" t="s">
        <v>2698</v>
      </c>
      <c r="R486" s="1511"/>
      <c r="S486" s="1511"/>
      <c r="T486" s="1511"/>
      <c r="U486" s="1511"/>
      <c r="V486" s="1511"/>
      <c r="W486" s="1511"/>
      <c r="X486" s="1511"/>
      <c r="Y486" s="1511"/>
      <c r="Z486" s="1511"/>
      <c r="AA486" s="1511"/>
      <c r="AB486" s="1511"/>
      <c r="AC486" s="1511"/>
      <c r="AD486" s="1511"/>
      <c r="AE486" s="1511"/>
      <c r="AF486" s="1511"/>
      <c r="AG486" s="1511"/>
      <c r="AH486" s="1511"/>
      <c r="AI486" s="1511"/>
      <c r="AJ486" s="1511"/>
      <c r="AK486" s="1539"/>
      <c r="AZ486" s="3"/>
      <c r="BB486" s="3"/>
      <c r="BC486" s="3"/>
    </row>
    <row r="487" spans="1:55" ht="13.05" customHeight="1">
      <c r="B487" s="45" t="s">
        <v>395</v>
      </c>
      <c r="C487" s="5"/>
      <c r="D487" s="5"/>
      <c r="E487" s="5"/>
      <c r="F487" s="5"/>
      <c r="G487" s="5"/>
      <c r="H487" s="5"/>
      <c r="I487" s="5"/>
      <c r="J487" s="5"/>
      <c r="K487" s="5"/>
      <c r="L487" s="5"/>
      <c r="M487" s="5"/>
      <c r="N487" s="5"/>
      <c r="O487" s="5"/>
      <c r="P487" s="5"/>
      <c r="Q487" s="1555" t="s">
        <v>2699</v>
      </c>
      <c r="R487" s="1511"/>
      <c r="S487" s="1511"/>
      <c r="T487" s="1511"/>
      <c r="U487" s="1511"/>
      <c r="V487" s="1511"/>
      <c r="W487" s="1511"/>
      <c r="X487" s="1511"/>
      <c r="Y487" s="1511"/>
      <c r="Z487" s="1511"/>
      <c r="AA487" s="1511"/>
      <c r="AB487" s="1511"/>
      <c r="AC487" s="1511"/>
      <c r="AD487" s="1511"/>
      <c r="AE487" s="1511"/>
      <c r="AF487" s="1511"/>
      <c r="AG487" s="1511"/>
      <c r="AH487" s="1511"/>
      <c r="AI487" s="1511"/>
      <c r="AJ487" s="1511"/>
      <c r="AK487" s="1539"/>
      <c r="AZ487" s="3"/>
      <c r="BB487" s="3"/>
      <c r="BC487" s="3"/>
    </row>
    <row r="488" spans="1:55" ht="13.05" customHeight="1">
      <c r="B488" s="45" t="s">
        <v>396</v>
      </c>
      <c r="C488" s="5"/>
      <c r="D488" s="5"/>
      <c r="E488" s="5"/>
      <c r="F488" s="5"/>
      <c r="G488" s="5"/>
      <c r="H488" s="5"/>
      <c r="I488" s="5"/>
      <c r="J488" s="5"/>
      <c r="K488" s="5"/>
      <c r="L488" s="5"/>
      <c r="M488" s="5"/>
      <c r="N488" s="5"/>
      <c r="O488" s="5"/>
      <c r="P488" s="5"/>
      <c r="Q488" s="1555" t="s">
        <v>2700</v>
      </c>
      <c r="R488" s="1511"/>
      <c r="S488" s="1511"/>
      <c r="T488" s="1511"/>
      <c r="U488" s="1511"/>
      <c r="V488" s="1511"/>
      <c r="W488" s="1511"/>
      <c r="X488" s="1511"/>
      <c r="Y488" s="1511"/>
      <c r="Z488" s="1511"/>
      <c r="AA488" s="1511"/>
      <c r="AB488" s="1511"/>
      <c r="AC488" s="1511"/>
      <c r="AD488" s="1511"/>
      <c r="AE488" s="1511"/>
      <c r="AF488" s="1511"/>
      <c r="AG488" s="1511"/>
      <c r="AH488" s="1511"/>
      <c r="AI488" s="1511"/>
      <c r="AJ488" s="1511"/>
      <c r="AK488" s="1539"/>
      <c r="AZ488" s="3"/>
      <c r="BA488" s="3"/>
      <c r="BB488" s="3"/>
      <c r="BC488" s="3"/>
    </row>
    <row r="489" spans="1:55" ht="13.05" customHeight="1">
      <c r="B489" s="1838" t="s">
        <v>397</v>
      </c>
      <c r="C489" s="1839"/>
      <c r="D489" s="1839"/>
      <c r="E489" s="1839"/>
      <c r="F489" s="1839"/>
      <c r="G489" s="1839"/>
      <c r="H489" s="1839"/>
      <c r="I489" s="1839"/>
      <c r="J489" s="1839"/>
      <c r="K489" s="1839"/>
      <c r="L489" s="1839"/>
      <c r="M489" s="1839"/>
      <c r="N489" s="1839"/>
      <c r="O489" s="1839"/>
      <c r="P489" s="1840"/>
      <c r="Q489" s="1844" t="s">
        <v>669</v>
      </c>
      <c r="R489" s="1845"/>
      <c r="S489" s="1750" t="s">
        <v>166</v>
      </c>
      <c r="T489" s="1751"/>
      <c r="U489" s="1751"/>
      <c r="V489" s="1751"/>
      <c r="W489" s="1751"/>
      <c r="X489" s="1751"/>
      <c r="Y489" s="1751"/>
      <c r="Z489" s="1751"/>
      <c r="AA489" s="1751"/>
      <c r="AB489" s="1751"/>
      <c r="AC489" s="1751"/>
      <c r="AD489" s="1751"/>
      <c r="AE489" s="1751"/>
      <c r="AF489" s="1751"/>
      <c r="AG489" s="1751"/>
      <c r="AH489" s="1751"/>
      <c r="AI489" s="1751"/>
      <c r="AJ489" s="1751"/>
      <c r="AK489" s="1752"/>
      <c r="AZ489" s="3"/>
      <c r="BA489" s="3"/>
      <c r="BB489" s="3"/>
      <c r="BC489" s="3"/>
    </row>
    <row r="490" spans="1:55" ht="13.05" customHeight="1">
      <c r="B490" s="1841"/>
      <c r="C490" s="1842"/>
      <c r="D490" s="1842"/>
      <c r="E490" s="1842"/>
      <c r="F490" s="1842"/>
      <c r="G490" s="1842"/>
      <c r="H490" s="1842"/>
      <c r="I490" s="1842"/>
      <c r="J490" s="1842"/>
      <c r="K490" s="1842"/>
      <c r="L490" s="1842"/>
      <c r="M490" s="1842"/>
      <c r="N490" s="1842"/>
      <c r="O490" s="1842"/>
      <c r="P490" s="1843"/>
      <c r="Q490" s="1846"/>
      <c r="R490" s="1847"/>
      <c r="S490" s="1753"/>
      <c r="T490" s="1754"/>
      <c r="U490" s="1754"/>
      <c r="V490" s="1754"/>
      <c r="W490" s="1754"/>
      <c r="X490" s="1754"/>
      <c r="Y490" s="1754"/>
      <c r="Z490" s="1754"/>
      <c r="AA490" s="1754"/>
      <c r="AB490" s="1754"/>
      <c r="AC490" s="1754"/>
      <c r="AD490" s="1754"/>
      <c r="AE490" s="1754"/>
      <c r="AF490" s="1754"/>
      <c r="AG490" s="1754"/>
      <c r="AH490" s="1754"/>
      <c r="AI490" s="1754"/>
      <c r="AJ490" s="1754"/>
      <c r="AK490" s="1755"/>
      <c r="AZ490" s="3"/>
      <c r="BA490" s="3"/>
      <c r="BB490" s="3"/>
      <c r="BC490" s="3"/>
    </row>
    <row r="491" spans="1:55" ht="13.05" customHeight="1">
      <c r="B491" s="895" t="s">
        <v>1671</v>
      </c>
      <c r="C491" s="873"/>
      <c r="D491" s="873"/>
      <c r="E491" s="873"/>
      <c r="F491" s="873"/>
      <c r="G491" s="873"/>
      <c r="H491" s="873"/>
      <c r="I491" s="873"/>
      <c r="J491" s="873"/>
      <c r="K491" s="873"/>
      <c r="L491" s="873"/>
      <c r="M491" s="873"/>
      <c r="N491" s="873"/>
      <c r="O491" s="873"/>
      <c r="P491" s="873"/>
      <c r="Q491" s="1854" t="s">
        <v>669</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row>
    <row r="492" spans="1:55" ht="13.05" customHeight="1">
      <c r="B492" s="45" t="s">
        <v>398</v>
      </c>
      <c r="C492" s="5"/>
      <c r="D492" s="5"/>
      <c r="E492" s="5"/>
      <c r="F492" s="5"/>
      <c r="G492" s="5"/>
      <c r="H492" s="5"/>
      <c r="I492" s="5"/>
      <c r="J492" s="5"/>
      <c r="K492" s="5"/>
      <c r="L492" s="5"/>
      <c r="M492" s="5"/>
      <c r="N492" s="5"/>
      <c r="O492" s="5"/>
      <c r="P492" s="5"/>
      <c r="Q492" s="1555" t="s">
        <v>2760</v>
      </c>
      <c r="R492" s="1511"/>
      <c r="S492" s="1511"/>
      <c r="T492" s="1511"/>
      <c r="U492" s="1511"/>
      <c r="V492" s="1511"/>
      <c r="W492" s="1511"/>
      <c r="X492" s="1511"/>
      <c r="Y492" s="1511"/>
      <c r="Z492" s="1511"/>
      <c r="AA492" s="1511"/>
      <c r="AB492" s="1511"/>
      <c r="AC492" s="1511"/>
      <c r="AD492" s="1511"/>
      <c r="AE492" s="1511"/>
      <c r="AF492" s="1511"/>
      <c r="AG492" s="1511"/>
      <c r="AH492" s="1511"/>
      <c r="AI492" s="1511"/>
      <c r="AJ492" s="1511"/>
      <c r="AK492" s="1539"/>
      <c r="AZ492" s="3"/>
      <c r="BA492" s="3"/>
      <c r="BB492" s="3"/>
      <c r="BC492" s="3"/>
    </row>
    <row r="493" spans="1:55" ht="13.05" customHeight="1">
      <c r="B493" s="45" t="s">
        <v>399</v>
      </c>
      <c r="C493" s="5"/>
      <c r="D493" s="5"/>
      <c r="E493" s="5"/>
      <c r="F493" s="5"/>
      <c r="G493" s="5"/>
      <c r="H493" s="5"/>
      <c r="I493" s="5"/>
      <c r="J493" s="5"/>
      <c r="K493" s="5"/>
      <c r="L493" s="5"/>
      <c r="M493" s="5"/>
      <c r="N493" s="5"/>
      <c r="O493" s="5"/>
      <c r="P493" s="5"/>
      <c r="Q493" s="1555" t="s">
        <v>2759</v>
      </c>
      <c r="R493" s="1511"/>
      <c r="S493" s="1511"/>
      <c r="T493" s="1511"/>
      <c r="U493" s="1511"/>
      <c r="V493" s="1511"/>
      <c r="W493" s="1511"/>
      <c r="X493" s="1511"/>
      <c r="Y493" s="1511"/>
      <c r="Z493" s="1511"/>
      <c r="AA493" s="1511"/>
      <c r="AB493" s="1511"/>
      <c r="AC493" s="1511"/>
      <c r="AD493" s="1511"/>
      <c r="AE493" s="1511"/>
      <c r="AF493" s="1511"/>
      <c r="AG493" s="1511"/>
      <c r="AH493" s="1511"/>
      <c r="AI493" s="1511"/>
      <c r="AJ493" s="1511"/>
      <c r="AK493" s="1539"/>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538">
        <v>0</v>
      </c>
      <c r="R494" s="1511"/>
      <c r="S494" s="1511"/>
      <c r="T494" s="1511"/>
      <c r="U494" s="1511"/>
      <c r="V494" s="1511"/>
      <c r="W494" s="1511"/>
      <c r="X494" s="1511"/>
      <c r="Y494" s="1511"/>
      <c r="Z494" s="1511"/>
      <c r="AA494" s="1511"/>
      <c r="AB494" s="1511"/>
      <c r="AC494" s="1511"/>
      <c r="AD494" s="1511"/>
      <c r="AE494" s="1511"/>
      <c r="AF494" s="1511"/>
      <c r="AG494" s="1511"/>
      <c r="AH494" s="1511"/>
      <c r="AI494" s="1511"/>
      <c r="AJ494" s="1511"/>
      <c r="AK494" s="1539"/>
      <c r="AZ494" s="3"/>
      <c r="BA494" s="3"/>
      <c r="BB494" s="3"/>
      <c r="BC494" s="3"/>
    </row>
    <row r="495" spans="1:55" ht="13.05" customHeight="1">
      <c r="B495" s="121" t="s">
        <v>1669</v>
      </c>
      <c r="C495" s="5"/>
      <c r="D495" s="5"/>
      <c r="E495" s="5"/>
      <c r="F495" s="5"/>
      <c r="G495" s="5"/>
      <c r="H495" s="5"/>
      <c r="I495" s="5"/>
      <c r="J495" s="5"/>
      <c r="K495" s="5"/>
      <c r="L495" s="5"/>
      <c r="M495" s="1499">
        <v>0</v>
      </c>
      <c r="N495" s="1500"/>
      <c r="O495" s="1500"/>
      <c r="P495" s="1501"/>
      <c r="Q495" s="121" t="s">
        <v>1670</v>
      </c>
      <c r="R495" s="5"/>
      <c r="S495" s="5"/>
      <c r="T495" s="5"/>
      <c r="U495" s="5"/>
      <c r="V495" s="5"/>
      <c r="W495" s="5"/>
      <c r="X495" s="5"/>
      <c r="Y495" s="5"/>
      <c r="Z495" s="5"/>
      <c r="AA495" s="5"/>
      <c r="AB495" s="5"/>
      <c r="AC495" s="5"/>
      <c r="AD495" s="5"/>
      <c r="AE495" s="5"/>
      <c r="AF495" s="5"/>
      <c r="AG495" s="5"/>
      <c r="AH495" s="1499">
        <v>0</v>
      </c>
      <c r="AI495" s="1500"/>
      <c r="AJ495" s="1500"/>
      <c r="AK495" s="1501"/>
      <c r="AZ495" s="3"/>
      <c r="BA495" s="3"/>
      <c r="BB495" s="3"/>
      <c r="BC495" s="3"/>
    </row>
    <row r="496" spans="1:55" ht="13.0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8" t="s">
        <v>401</v>
      </c>
      <c r="AD499" s="1769"/>
      <c r="AE499" s="1769"/>
      <c r="AF499" s="1769"/>
      <c r="AG499" s="1769"/>
      <c r="AH499" s="1769"/>
      <c r="AI499" s="1769"/>
      <c r="AJ499" s="1769"/>
      <c r="AK499" s="1770"/>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8" t="s">
        <v>402</v>
      </c>
      <c r="AD500" s="1769"/>
      <c r="AE500" s="1769"/>
      <c r="AF500" s="1769"/>
      <c r="AG500" s="50" t="s">
        <v>403</v>
      </c>
      <c r="AH500" s="1769" t="s">
        <v>404</v>
      </c>
      <c r="AI500" s="1769"/>
      <c r="AJ500" s="1769"/>
      <c r="AK500" s="1770"/>
      <c r="AZ500" s="3"/>
      <c r="BA500" s="3"/>
      <c r="BB500" s="3"/>
      <c r="BC500" s="3"/>
      <c r="BD500" s="3"/>
      <c r="BE500" s="3"/>
      <c r="BF500" s="3"/>
      <c r="BG500" s="3"/>
      <c r="BH500" s="3"/>
      <c r="BI500" s="3"/>
      <c r="BJ500" s="3"/>
      <c r="BK500" s="3"/>
      <c r="BL500" s="3"/>
      <c r="BM500" s="3"/>
      <c r="BN500" s="3"/>
    </row>
    <row r="501" spans="1:66" ht="13.05" customHeight="1">
      <c r="B501" s="1673" t="s">
        <v>405</v>
      </c>
      <c r="C501" s="1488"/>
      <c r="D501" s="1488"/>
      <c r="E501" s="1488"/>
      <c r="F501" s="1488"/>
      <c r="G501" s="1488"/>
      <c r="H501" s="1489"/>
      <c r="I501" s="42" t="s">
        <v>406</v>
      </c>
      <c r="J501" s="42"/>
      <c r="K501" s="42"/>
      <c r="L501" s="42"/>
      <c r="M501" s="42"/>
      <c r="N501" s="42"/>
      <c r="O501" s="42"/>
      <c r="P501" s="42"/>
      <c r="Q501" s="42"/>
      <c r="R501" s="42"/>
      <c r="S501" s="42"/>
      <c r="T501" s="42"/>
      <c r="U501" s="42"/>
      <c r="V501" s="42"/>
      <c r="W501" s="42"/>
      <c r="AC501" s="1700" t="s">
        <v>591</v>
      </c>
      <c r="AD501" s="1598"/>
      <c r="AE501" s="1598"/>
      <c r="AF501" s="1598"/>
      <c r="AG501" s="13" t="s">
        <v>403</v>
      </c>
      <c r="AH501" s="1387"/>
      <c r="AI501" s="1387"/>
      <c r="AJ501" s="1387"/>
      <c r="AK501" s="1388"/>
      <c r="AZ501" s="3"/>
      <c r="BA501" s="3"/>
      <c r="BB501" s="3"/>
      <c r="BC501" s="3"/>
      <c r="BD501" s="3"/>
      <c r="BE501" s="3"/>
      <c r="BF501" s="3"/>
      <c r="BG501" s="3"/>
      <c r="BH501" s="3"/>
      <c r="BI501" s="3"/>
      <c r="BJ501" s="3"/>
      <c r="BK501" s="3"/>
      <c r="BL501" s="3"/>
      <c r="BM501" s="3"/>
      <c r="BN501" s="3"/>
    </row>
    <row r="502" spans="1:66" ht="13.05" customHeight="1">
      <c r="B502" s="1674"/>
      <c r="C502" s="1490"/>
      <c r="D502" s="1490"/>
      <c r="E502" s="1490"/>
      <c r="F502" s="1490"/>
      <c r="G502" s="1490"/>
      <c r="H502" s="1491"/>
      <c r="I502" s="48" t="s">
        <v>407</v>
      </c>
      <c r="J502" s="48"/>
      <c r="K502" s="48"/>
      <c r="L502" s="48"/>
      <c r="M502" s="48"/>
      <c r="N502" s="48"/>
      <c r="O502" s="48"/>
      <c r="P502" s="48"/>
      <c r="Q502" s="48"/>
      <c r="R502" s="48"/>
      <c r="S502" s="48"/>
      <c r="T502" s="48"/>
      <c r="U502" s="48"/>
      <c r="V502" s="48"/>
      <c r="W502" s="48"/>
      <c r="X502" s="48"/>
      <c r="Y502" s="48"/>
      <c r="Z502" s="48"/>
      <c r="AA502" s="48"/>
      <c r="AB502" s="48"/>
      <c r="AC502" s="1700">
        <v>5</v>
      </c>
      <c r="AD502" s="1598"/>
      <c r="AE502" s="1598"/>
      <c r="AF502" s="1598"/>
      <c r="AG502" s="38" t="s">
        <v>403</v>
      </c>
      <c r="AH502" s="1387">
        <v>2026</v>
      </c>
      <c r="AI502" s="1387"/>
      <c r="AJ502" s="1387"/>
      <c r="AK502" s="1388"/>
      <c r="AZ502" s="3"/>
      <c r="BA502" s="3"/>
      <c r="BB502" s="3"/>
      <c r="BC502" s="3"/>
      <c r="BD502" s="3"/>
      <c r="BE502" s="3"/>
      <c r="BF502" s="3"/>
      <c r="BG502" s="3"/>
      <c r="BH502" s="3"/>
      <c r="BI502" s="3"/>
      <c r="BJ502" s="3"/>
      <c r="BK502" s="3"/>
      <c r="BL502" s="3"/>
      <c r="BM502" s="3"/>
      <c r="BN502" s="3"/>
    </row>
    <row r="503" spans="1:66" ht="13.05" customHeight="1">
      <c r="B503" s="1673" t="s">
        <v>408</v>
      </c>
      <c r="C503" s="1488"/>
      <c r="D503" s="1488"/>
      <c r="E503" s="1488"/>
      <c r="F503" s="1488"/>
      <c r="G503" s="1488"/>
      <c r="H503" s="1489"/>
      <c r="I503" s="42" t="s">
        <v>409</v>
      </c>
      <c r="J503" s="42"/>
      <c r="K503" s="42"/>
      <c r="L503" s="42"/>
      <c r="M503" s="42"/>
      <c r="N503" s="42"/>
      <c r="O503" s="42"/>
      <c r="P503" s="42"/>
      <c r="Q503" s="42"/>
      <c r="R503" s="42"/>
      <c r="S503" s="42"/>
      <c r="T503" s="42"/>
      <c r="U503" s="42"/>
      <c r="V503" s="42"/>
      <c r="W503" s="42"/>
      <c r="AC503" s="1700" t="s">
        <v>591</v>
      </c>
      <c r="AD503" s="1598"/>
      <c r="AE503" s="1598"/>
      <c r="AF503" s="1598"/>
      <c r="AG503" s="13" t="s">
        <v>403</v>
      </c>
      <c r="AH503" s="1387"/>
      <c r="AI503" s="1387"/>
      <c r="AJ503" s="1387"/>
      <c r="AK503" s="1388"/>
      <c r="AZ503" s="3"/>
      <c r="BA503" s="3"/>
      <c r="BB503" s="3"/>
      <c r="BC503" s="3"/>
      <c r="BD503" s="3"/>
      <c r="BE503" s="3"/>
      <c r="BF503" s="3"/>
      <c r="BG503" s="3"/>
      <c r="BH503" s="3"/>
      <c r="BI503" s="3"/>
      <c r="BJ503" s="3"/>
      <c r="BK503" s="3"/>
      <c r="BL503" s="3"/>
      <c r="BM503" s="3"/>
      <c r="BN503" s="3"/>
    </row>
    <row r="504" spans="1:66" ht="13.05" customHeight="1">
      <c r="B504" s="1674"/>
      <c r="C504" s="1490"/>
      <c r="D504" s="1490"/>
      <c r="E504" s="1490"/>
      <c r="F504" s="1490"/>
      <c r="G504" s="1490"/>
      <c r="H504" s="1491"/>
      <c r="I504" t="s">
        <v>410</v>
      </c>
      <c r="AC504" s="1700" t="s">
        <v>591</v>
      </c>
      <c r="AD504" s="1598"/>
      <c r="AE504" s="1598"/>
      <c r="AF504" s="1598"/>
      <c r="AG504" s="13" t="s">
        <v>403</v>
      </c>
      <c r="AH504" s="1387"/>
      <c r="AI504" s="1387"/>
      <c r="AJ504" s="1387"/>
      <c r="AK504" s="1388"/>
      <c r="AZ504" s="3"/>
      <c r="BA504" s="3"/>
      <c r="BB504" s="3"/>
      <c r="BC504" s="3"/>
      <c r="BD504" s="3"/>
      <c r="BE504" s="3"/>
      <c r="BF504" s="3"/>
      <c r="BG504" s="3"/>
      <c r="BH504" s="3"/>
      <c r="BI504" s="3"/>
      <c r="BJ504" s="3"/>
      <c r="BK504" s="3"/>
      <c r="BL504" s="3"/>
      <c r="BM504" s="3"/>
      <c r="BN504" s="3"/>
    </row>
    <row r="505" spans="1:66" ht="13.05" customHeight="1">
      <c r="B505" s="1674"/>
      <c r="C505" s="1490"/>
      <c r="D505" s="1490"/>
      <c r="E505" s="1490"/>
      <c r="F505" s="1490"/>
      <c r="G505" s="1490"/>
      <c r="H505" s="1491"/>
      <c r="I505" t="s">
        <v>411</v>
      </c>
      <c r="AC505" s="1700">
        <v>3</v>
      </c>
      <c r="AD505" s="1598"/>
      <c r="AE505" s="1598"/>
      <c r="AF505" s="1598"/>
      <c r="AG505" s="13" t="s">
        <v>403</v>
      </c>
      <c r="AH505" s="1387">
        <v>2026</v>
      </c>
      <c r="AI505" s="1387"/>
      <c r="AJ505" s="1387"/>
      <c r="AK505" s="1388"/>
      <c r="AZ505" s="3"/>
      <c r="BA505" s="3"/>
      <c r="BB505" s="3"/>
      <c r="BC505" s="3"/>
      <c r="BD505" s="3"/>
      <c r="BE505" s="3"/>
      <c r="BF505" s="3"/>
      <c r="BG505" s="3"/>
      <c r="BH505" s="3"/>
      <c r="BI505" s="3"/>
      <c r="BJ505" s="3"/>
      <c r="BK505" s="3"/>
      <c r="BL505" s="3"/>
      <c r="BM505" s="3"/>
      <c r="BN505" s="3"/>
    </row>
    <row r="506" spans="1:66" ht="13.05" customHeight="1">
      <c r="B506" s="1674"/>
      <c r="C506" s="1490"/>
      <c r="D506" s="1490"/>
      <c r="E506" s="1490"/>
      <c r="F506" s="1490"/>
      <c r="G506" s="1490"/>
      <c r="H506" s="1491"/>
      <c r="I506" t="s">
        <v>412</v>
      </c>
      <c r="AC506" s="1700">
        <v>3</v>
      </c>
      <c r="AD506" s="1598"/>
      <c r="AE506" s="1598"/>
      <c r="AF506" s="1598"/>
      <c r="AG506" s="13" t="s">
        <v>403</v>
      </c>
      <c r="AH506" s="1387">
        <v>2026</v>
      </c>
      <c r="AI506" s="1387"/>
      <c r="AJ506" s="1387"/>
      <c r="AK506" s="1388"/>
      <c r="AZ506" s="3"/>
      <c r="BA506" s="3"/>
      <c r="BB506" s="3"/>
      <c r="BC506" s="3"/>
      <c r="BD506" s="3"/>
      <c r="BE506" s="3"/>
      <c r="BF506" s="3"/>
      <c r="BG506" s="3"/>
      <c r="BH506" s="3"/>
      <c r="BI506" s="3"/>
      <c r="BJ506" s="3"/>
      <c r="BK506" s="3"/>
      <c r="BL506" s="3"/>
      <c r="BM506" s="3"/>
      <c r="BN506" s="3"/>
    </row>
    <row r="507" spans="1:66" ht="13.05" customHeight="1">
      <c r="B507" s="1674"/>
      <c r="C507" s="1490"/>
      <c r="D507" s="1490"/>
      <c r="E507" s="1490"/>
      <c r="F507" s="1490"/>
      <c r="G507" s="1490"/>
      <c r="H507" s="1491"/>
      <c r="I507" s="3" t="s">
        <v>413</v>
      </c>
      <c r="AC507" s="1383">
        <v>3</v>
      </c>
      <c r="AD507" s="1384"/>
      <c r="AE507" s="1384"/>
      <c r="AF507" s="1384"/>
      <c r="AG507" s="13" t="s">
        <v>403</v>
      </c>
      <c r="AH507" s="1387">
        <v>2026</v>
      </c>
      <c r="AI507" s="1387"/>
      <c r="AJ507" s="1387"/>
      <c r="AK507" s="1388"/>
      <c r="AZ507" s="3"/>
      <c r="BA507" s="3"/>
      <c r="BB507" s="3"/>
      <c r="BC507" s="3"/>
      <c r="BD507" s="3"/>
      <c r="BE507" s="3"/>
      <c r="BF507" s="3"/>
      <c r="BG507" s="3"/>
      <c r="BH507" s="3"/>
      <c r="BI507" s="3"/>
      <c r="BJ507" s="3"/>
      <c r="BK507" s="3"/>
      <c r="BL507" s="3"/>
      <c r="BM507" s="3"/>
      <c r="BN507" s="3"/>
    </row>
    <row r="508" spans="1:66" ht="13.05" customHeight="1">
      <c r="B508" s="1674"/>
      <c r="C508" s="1490"/>
      <c r="D508" s="1490"/>
      <c r="E508" s="1490"/>
      <c r="F508" s="1490"/>
      <c r="G508" s="1490"/>
      <c r="H508" s="1491"/>
      <c r="I508" s="896" t="s">
        <v>170</v>
      </c>
      <c r="J508" s="48"/>
      <c r="K508" s="48"/>
      <c r="L508" s="1742" t="s">
        <v>334</v>
      </c>
      <c r="M508" s="1743"/>
      <c r="N508" s="1743"/>
      <c r="O508" s="1743"/>
      <c r="P508" s="1743"/>
      <c r="Q508" s="1743"/>
      <c r="R508" s="1743"/>
      <c r="S508" s="1743"/>
      <c r="T508" s="1743"/>
      <c r="U508" s="1743"/>
      <c r="V508" s="1743"/>
      <c r="W508" s="1743"/>
      <c r="X508" s="1743"/>
      <c r="Y508" s="1743"/>
      <c r="Z508" s="1743"/>
      <c r="AA508" s="1743"/>
      <c r="AB508" s="1853"/>
      <c r="AC508" s="1700" t="s">
        <v>591</v>
      </c>
      <c r="AD508" s="1598"/>
      <c r="AE508" s="1598"/>
      <c r="AF508" s="1598"/>
      <c r="AG508" s="38" t="s">
        <v>403</v>
      </c>
      <c r="AH508" s="1387"/>
      <c r="AI508" s="1387"/>
      <c r="AJ508" s="1387"/>
      <c r="AK508" s="1388"/>
      <c r="AZ508" s="3"/>
      <c r="BA508" s="3"/>
      <c r="BB508" s="3"/>
      <c r="BC508" s="3"/>
      <c r="BD508" s="3"/>
      <c r="BE508" s="3"/>
      <c r="BF508" s="3"/>
      <c r="BG508" s="3"/>
      <c r="BH508" s="3"/>
      <c r="BI508" s="3"/>
      <c r="BJ508" s="3"/>
      <c r="BK508" s="3"/>
      <c r="BL508" s="3"/>
      <c r="BM508" s="3"/>
      <c r="BN508" s="3"/>
    </row>
    <row r="509" spans="1:66" ht="13.05" customHeight="1">
      <c r="B509" s="871"/>
      <c r="C509" s="130"/>
      <c r="D509" s="130"/>
      <c r="E509" s="130"/>
      <c r="F509" s="130"/>
      <c r="G509" s="130"/>
      <c r="H509" s="872"/>
      <c r="I509" s="3" t="s">
        <v>1675</v>
      </c>
      <c r="AC509" s="1812" t="s">
        <v>669</v>
      </c>
      <c r="AD509" s="1812"/>
      <c r="AE509" s="1812"/>
      <c r="AF509" s="1812"/>
      <c r="AG509" s="13"/>
      <c r="AH509" s="1359"/>
      <c r="AI509" s="1359"/>
      <c r="AJ509" s="1359"/>
      <c r="AK509" s="1859"/>
      <c r="AZ509" s="3"/>
      <c r="BA509" s="3"/>
      <c r="BB509" s="3"/>
      <c r="BC509" s="3"/>
      <c r="BD509" s="3"/>
      <c r="BE509" s="3"/>
      <c r="BF509" s="3"/>
      <c r="BG509" s="3"/>
      <c r="BH509" s="3"/>
      <c r="BI509" s="3"/>
      <c r="BJ509" s="3"/>
      <c r="BK509" s="3"/>
      <c r="BL509" s="3"/>
      <c r="BM509" s="3"/>
      <c r="BN509" s="3"/>
    </row>
    <row r="510" spans="1:66" ht="13.05" customHeight="1">
      <c r="B510" s="871"/>
      <c r="C510" s="130"/>
      <c r="D510" s="130"/>
      <c r="E510" s="130"/>
      <c r="F510" s="130"/>
      <c r="G510" s="130"/>
      <c r="H510" s="872"/>
      <c r="I510" t="s">
        <v>1672</v>
      </c>
      <c r="AC510" s="1383"/>
      <c r="AD510" s="1384"/>
      <c r="AE510" s="1384"/>
      <c r="AF510" s="1385"/>
      <c r="AG510" s="13"/>
      <c r="AH510" s="1359"/>
      <c r="AI510" s="1359"/>
      <c r="AJ510" s="1359"/>
      <c r="AK510" s="1859"/>
      <c r="AZ510" s="3"/>
      <c r="BA510" s="3"/>
      <c r="BB510" s="3"/>
      <c r="BC510" s="3"/>
      <c r="BD510" s="3"/>
      <c r="BE510" s="3"/>
      <c r="BF510" s="3"/>
      <c r="BG510" s="3"/>
      <c r="BH510" s="3"/>
      <c r="BI510" s="3"/>
      <c r="BJ510" s="3"/>
      <c r="BK510" s="3"/>
      <c r="BL510" s="3"/>
      <c r="BM510" s="3"/>
      <c r="BN510" s="3"/>
    </row>
    <row r="511" spans="1:66" ht="13.0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0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5"/>
      <c r="AD512" s="1836"/>
      <c r="AE512" s="1836"/>
      <c r="AF512" s="1837"/>
      <c r="AG512" s="38"/>
      <c r="AH512" s="1740"/>
      <c r="AI512" s="1740"/>
      <c r="AJ512" s="1740"/>
      <c r="AK512" s="1741"/>
      <c r="AZ512" s="3"/>
      <c r="BA512" s="3"/>
      <c r="BB512" s="3"/>
      <c r="BC512" s="3"/>
      <c r="BD512" s="3"/>
      <c r="BE512" s="3"/>
      <c r="BF512" s="3"/>
      <c r="BG512" s="3"/>
      <c r="BH512" s="3"/>
      <c r="BI512" s="3"/>
      <c r="BJ512" s="3"/>
      <c r="BK512" s="3"/>
      <c r="BL512" s="3"/>
      <c r="BM512" s="3"/>
      <c r="BN512" s="3" t="s">
        <v>1184</v>
      </c>
    </row>
    <row r="513" spans="2:66" ht="13.0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9" t="s">
        <v>402</v>
      </c>
      <c r="AD513" s="1606"/>
      <c r="AE513" s="1606"/>
      <c r="AF513" s="1606"/>
      <c r="AG513" s="38" t="s">
        <v>403</v>
      </c>
      <c r="AH513" s="1606" t="s">
        <v>404</v>
      </c>
      <c r="AI513" s="1606"/>
      <c r="AJ513" s="1606"/>
      <c r="AK513" s="1848"/>
      <c r="AZ513" s="3"/>
      <c r="BA513" s="3"/>
      <c r="BB513" s="3"/>
      <c r="BC513" s="3"/>
      <c r="BD513" s="3"/>
      <c r="BE513" s="3"/>
      <c r="BF513" s="3"/>
      <c r="BG513" s="3"/>
      <c r="BH513" s="3"/>
      <c r="BI513" s="3"/>
      <c r="BJ513" s="3"/>
      <c r="BK513" s="3"/>
      <c r="BL513" s="3"/>
      <c r="BM513" s="3"/>
      <c r="BN513" s="3" t="s">
        <v>2104</v>
      </c>
    </row>
    <row r="514" spans="2:66" ht="13.05" customHeight="1">
      <c r="B514" s="1673" t="s">
        <v>414</v>
      </c>
      <c r="C514" s="1488"/>
      <c r="D514" s="1488"/>
      <c r="E514" s="1488"/>
      <c r="F514" s="1488"/>
      <c r="G514" s="1488"/>
      <c r="H514" s="1489"/>
      <c r="I514" s="42" t="s">
        <v>415</v>
      </c>
      <c r="J514" s="42"/>
      <c r="K514" s="42"/>
      <c r="L514" s="42"/>
      <c r="M514" s="42"/>
      <c r="N514" s="42"/>
      <c r="O514" s="42"/>
      <c r="P514" s="42"/>
      <c r="Q514" s="42"/>
      <c r="R514" s="42"/>
      <c r="S514" s="42"/>
      <c r="T514" s="42"/>
      <c r="U514" s="42"/>
      <c r="V514" s="42"/>
      <c r="W514" s="42"/>
      <c r="AC514" s="1700">
        <v>9</v>
      </c>
      <c r="AD514" s="1598"/>
      <c r="AE514" s="1598"/>
      <c r="AF514" s="1598"/>
      <c r="AG514" s="13" t="s">
        <v>403</v>
      </c>
      <c r="AH514" s="1387">
        <v>2025</v>
      </c>
      <c r="AI514" s="1387"/>
      <c r="AJ514" s="1387"/>
      <c r="AK514" s="1388"/>
      <c r="AZ514" s="3"/>
      <c r="BA514" s="3"/>
      <c r="BB514" s="3"/>
      <c r="BC514" s="3"/>
      <c r="BD514" s="3"/>
      <c r="BE514" s="3"/>
      <c r="BF514" s="3"/>
      <c r="BG514" s="3"/>
      <c r="BH514" s="3"/>
      <c r="BI514" s="3"/>
      <c r="BJ514" s="3"/>
      <c r="BK514" s="3"/>
      <c r="BL514" s="3"/>
      <c r="BM514" s="3"/>
      <c r="BN514" s="3" t="s">
        <v>2105</v>
      </c>
    </row>
    <row r="515" spans="2:66" ht="13.05" customHeight="1">
      <c r="B515" s="1674"/>
      <c r="C515" s="1490"/>
      <c r="D515" s="1490"/>
      <c r="E515" s="1490"/>
      <c r="F515" s="1490"/>
      <c r="G515" s="1490"/>
      <c r="H515" s="1491"/>
      <c r="I515" t="s">
        <v>416</v>
      </c>
      <c r="AC515" s="1700">
        <v>9</v>
      </c>
      <c r="AD515" s="1598"/>
      <c r="AE515" s="1598"/>
      <c r="AF515" s="1598"/>
      <c r="AG515" s="13" t="s">
        <v>403</v>
      </c>
      <c r="AH515" s="1387">
        <v>2025</v>
      </c>
      <c r="AI515" s="1387"/>
      <c r="AJ515" s="1387"/>
      <c r="AK515" s="1388"/>
      <c r="AZ515" s="3"/>
      <c r="BA515" s="3"/>
      <c r="BB515" s="3"/>
      <c r="BC515" s="3"/>
      <c r="BD515" s="3"/>
      <c r="BE515" s="3"/>
      <c r="BF515" s="3"/>
      <c r="BG515" s="3"/>
      <c r="BH515" s="3"/>
      <c r="BI515" s="3"/>
      <c r="BJ515" s="3"/>
      <c r="BK515" s="3"/>
      <c r="BL515" s="3"/>
      <c r="BM515" s="3"/>
      <c r="BN515" s="3" t="s">
        <v>2106</v>
      </c>
    </row>
    <row r="516" spans="2:66" ht="13.05" customHeight="1">
      <c r="B516" s="1674"/>
      <c r="C516" s="1490"/>
      <c r="D516" s="1490"/>
      <c r="E516" s="1490"/>
      <c r="F516" s="1490"/>
      <c r="G516" s="1490"/>
      <c r="H516" s="1491"/>
      <c r="I516" s="48" t="s">
        <v>417</v>
      </c>
      <c r="J516" s="48"/>
      <c r="K516" s="48"/>
      <c r="L516" s="48"/>
      <c r="M516" s="48"/>
      <c r="N516" s="48"/>
      <c r="O516" s="48"/>
      <c r="P516" s="48"/>
      <c r="Q516" s="48"/>
      <c r="R516" s="48"/>
      <c r="S516" s="48"/>
      <c r="T516" s="48"/>
      <c r="U516" s="48"/>
      <c r="V516" s="48"/>
      <c r="W516" s="48"/>
      <c r="X516" s="48"/>
      <c r="Y516" s="48"/>
      <c r="Z516" s="48"/>
      <c r="AA516" s="48"/>
      <c r="AB516" s="48"/>
      <c r="AC516" s="1700">
        <v>5</v>
      </c>
      <c r="AD516" s="1598"/>
      <c r="AE516" s="1598"/>
      <c r="AF516" s="1598"/>
      <c r="AG516" s="38" t="s">
        <v>403</v>
      </c>
      <c r="AH516" s="1387">
        <v>2026</v>
      </c>
      <c r="AI516" s="1387"/>
      <c r="AJ516" s="1387"/>
      <c r="AK516" s="1388"/>
      <c r="AZ516" s="3"/>
      <c r="BA516" s="3"/>
      <c r="BB516" s="3"/>
      <c r="BC516" s="3"/>
      <c r="BD516" s="3"/>
      <c r="BE516" s="3"/>
      <c r="BF516" s="3"/>
      <c r="BG516" s="3"/>
      <c r="BH516" s="3"/>
      <c r="BI516" s="3"/>
      <c r="BJ516" s="3"/>
      <c r="BK516" s="3"/>
      <c r="BL516" s="3"/>
      <c r="BM516" s="3"/>
      <c r="BN516" s="3" t="s">
        <v>2107</v>
      </c>
    </row>
    <row r="517" spans="2:66" ht="13.05" customHeight="1">
      <c r="B517" s="1673" t="s">
        <v>418</v>
      </c>
      <c r="C517" s="1488"/>
      <c r="D517" s="1488"/>
      <c r="E517" s="1488"/>
      <c r="F517" s="1488"/>
      <c r="G517" s="1488"/>
      <c r="H517" s="1489"/>
      <c r="I517" s="42" t="s">
        <v>415</v>
      </c>
      <c r="J517" s="42"/>
      <c r="K517" s="42"/>
      <c r="L517" s="42"/>
      <c r="M517" s="42"/>
      <c r="N517" s="42"/>
      <c r="O517" s="42"/>
      <c r="P517" s="42"/>
      <c r="Q517" s="42"/>
      <c r="R517" s="42"/>
      <c r="S517" s="42"/>
      <c r="T517" s="42"/>
      <c r="U517" s="42"/>
      <c r="V517" s="42"/>
      <c r="W517" s="42"/>
      <c r="X517" s="42"/>
      <c r="Y517" s="42"/>
      <c r="Z517" s="42"/>
      <c r="AA517" s="42"/>
      <c r="AB517" s="42"/>
      <c r="AC517" s="1383">
        <v>9</v>
      </c>
      <c r="AD517" s="1384"/>
      <c r="AE517" s="1384"/>
      <c r="AF517" s="1384"/>
      <c r="AG517" s="129" t="s">
        <v>403</v>
      </c>
      <c r="AH517" s="1387">
        <v>2025</v>
      </c>
      <c r="AI517" s="1387"/>
      <c r="AJ517" s="1387"/>
      <c r="AK517" s="1388"/>
      <c r="AZ517" s="3"/>
      <c r="BB517" s="3"/>
      <c r="BC517" s="3"/>
      <c r="BD517" s="3"/>
      <c r="BE517" s="3"/>
      <c r="BF517" s="3"/>
      <c r="BG517" s="3"/>
      <c r="BH517" s="3"/>
      <c r="BI517" s="3"/>
      <c r="BJ517" s="3"/>
      <c r="BK517" s="3"/>
      <c r="BL517" s="3"/>
      <c r="BM517" s="3"/>
      <c r="BN517" s="3" t="s">
        <v>2108</v>
      </c>
    </row>
    <row r="518" spans="2:66" ht="13.05" customHeight="1">
      <c r="B518" s="1674"/>
      <c r="C518" s="1490"/>
      <c r="D518" s="1490"/>
      <c r="E518" s="1490"/>
      <c r="F518" s="1490"/>
      <c r="G518" s="1490"/>
      <c r="H518" s="1491"/>
      <c r="I518" t="s">
        <v>416</v>
      </c>
      <c r="AC518" s="1700">
        <v>9</v>
      </c>
      <c r="AD518" s="1598"/>
      <c r="AE518" s="1598"/>
      <c r="AF518" s="1598"/>
      <c r="AG518" s="13" t="s">
        <v>403</v>
      </c>
      <c r="AH518" s="1387">
        <v>2025</v>
      </c>
      <c r="AI518" s="1387"/>
      <c r="AJ518" s="1387"/>
      <c r="AK518" s="1388"/>
      <c r="BB518" s="3"/>
      <c r="BC518" s="3"/>
      <c r="BD518" s="3"/>
      <c r="BE518" s="3"/>
      <c r="BF518" s="3"/>
      <c r="BG518" s="3"/>
      <c r="BH518" s="3"/>
      <c r="BI518" s="3"/>
      <c r="BJ518" s="3"/>
      <c r="BK518" s="3"/>
      <c r="BL518" s="3"/>
      <c r="BM518" s="3"/>
      <c r="BN518" s="3" t="s">
        <v>2109</v>
      </c>
    </row>
    <row r="519" spans="2:66" ht="13.05" customHeight="1">
      <c r="B519" s="1675"/>
      <c r="C519" s="1492"/>
      <c r="D519" s="1492"/>
      <c r="E519" s="1492"/>
      <c r="F519" s="1492"/>
      <c r="G519" s="1492"/>
      <c r="H519" s="1493"/>
      <c r="I519" s="48" t="s">
        <v>417</v>
      </c>
      <c r="J519" s="48"/>
      <c r="K519" s="48"/>
      <c r="L519" s="48"/>
      <c r="M519" s="48"/>
      <c r="N519" s="48"/>
      <c r="O519" s="48"/>
      <c r="P519" s="48"/>
      <c r="Q519" s="48"/>
      <c r="R519" s="48"/>
      <c r="S519" s="48"/>
      <c r="T519" s="48"/>
      <c r="U519" s="48"/>
      <c r="V519" s="48"/>
      <c r="W519" s="48"/>
      <c r="X519" s="48"/>
      <c r="Y519" s="48"/>
      <c r="Z519" s="48"/>
      <c r="AA519" s="48"/>
      <c r="AB519" s="48"/>
      <c r="AC519" s="1700">
        <v>8</v>
      </c>
      <c r="AD519" s="1598"/>
      <c r="AE519" s="1598"/>
      <c r="AF519" s="1598"/>
      <c r="AG519" s="38" t="s">
        <v>403</v>
      </c>
      <c r="AH519" s="1387">
        <v>2028</v>
      </c>
      <c r="AI519" s="1387"/>
      <c r="AJ519" s="1387"/>
      <c r="AK519" s="1388"/>
      <c r="BB519" s="3"/>
      <c r="BC519" s="3"/>
      <c r="BD519" s="3"/>
      <c r="BE519" s="3"/>
      <c r="BF519" s="3"/>
      <c r="BG519" s="3"/>
      <c r="BH519" s="3"/>
      <c r="BI519" s="3"/>
      <c r="BJ519" s="3"/>
      <c r="BK519" s="3"/>
      <c r="BL519" s="3"/>
      <c r="BM519" s="3"/>
      <c r="BN519" s="3" t="s">
        <v>2110</v>
      </c>
    </row>
    <row r="520" spans="2:66" ht="13.05" customHeight="1">
      <c r="B520" s="1673" t="s">
        <v>419</v>
      </c>
      <c r="C520" s="1488"/>
      <c r="D520" s="1488"/>
      <c r="E520" s="1488"/>
      <c r="F520" s="1488"/>
      <c r="G520" s="1488"/>
      <c r="H520" s="1489"/>
      <c r="I520" s="41" t="s">
        <v>420</v>
      </c>
      <c r="J520" s="42"/>
      <c r="K520" s="42"/>
      <c r="L520" s="42"/>
      <c r="M520" s="42"/>
      <c r="N520" s="42"/>
      <c r="O520" s="1742" t="s">
        <v>2701</v>
      </c>
      <c r="P520" s="1743"/>
      <c r="Q520" s="1743"/>
      <c r="R520" s="1743"/>
      <c r="S520" s="1743"/>
      <c r="T520" s="1743"/>
      <c r="U520" s="1743"/>
      <c r="V520" s="1743"/>
      <c r="W520" s="1743"/>
      <c r="X520" s="1743"/>
      <c r="Y520" s="1743"/>
      <c r="Z520" s="1743"/>
      <c r="AA520" s="1743"/>
      <c r="AB520" s="58"/>
      <c r="AC520" s="1383" t="s">
        <v>591</v>
      </c>
      <c r="AD520" s="1384"/>
      <c r="AE520" s="1384"/>
      <c r="AF520" s="1384"/>
      <c r="AG520" s="129" t="s">
        <v>403</v>
      </c>
      <c r="AH520" s="1387"/>
      <c r="AI520" s="1387"/>
      <c r="AJ520" s="1387"/>
      <c r="AK520" s="1388"/>
      <c r="AZ520" s="3"/>
      <c r="BB520" s="3"/>
      <c r="BC520" s="3"/>
      <c r="BD520" s="3"/>
      <c r="BE520" s="3"/>
      <c r="BF520" s="3"/>
      <c r="BG520" s="3"/>
      <c r="BH520" s="3"/>
      <c r="BI520" s="3"/>
      <c r="BJ520" s="3"/>
      <c r="BK520" s="3"/>
      <c r="BL520" s="3"/>
      <c r="BM520" s="3"/>
      <c r="BN520" s="3" t="s">
        <v>2111</v>
      </c>
    </row>
    <row r="521" spans="2:66" ht="13.05" customHeight="1">
      <c r="B521" s="1674"/>
      <c r="C521" s="1490"/>
      <c r="D521" s="1490"/>
      <c r="E521" s="1490"/>
      <c r="F521" s="1490"/>
      <c r="G521" s="1490"/>
      <c r="H521" s="1491"/>
      <c r="I521" s="114" t="s">
        <v>421</v>
      </c>
      <c r="AB521" s="65"/>
      <c r="AC521" s="1700">
        <v>10</v>
      </c>
      <c r="AD521" s="1598"/>
      <c r="AE521" s="1598"/>
      <c r="AF521" s="1598"/>
      <c r="AG521" s="13" t="s">
        <v>403</v>
      </c>
      <c r="AH521" s="1387">
        <v>2024</v>
      </c>
      <c r="AI521" s="1387"/>
      <c r="AJ521" s="1387"/>
      <c r="AK521" s="1388"/>
      <c r="AZ521" s="3"/>
      <c r="BB521" s="3"/>
      <c r="BC521" s="3"/>
      <c r="BD521" s="3"/>
      <c r="BE521" s="3"/>
      <c r="BF521" s="3"/>
      <c r="BG521" s="3"/>
      <c r="BH521" s="3"/>
      <c r="BI521" s="3"/>
      <c r="BJ521" s="3"/>
      <c r="BK521" s="3"/>
      <c r="BL521" s="3"/>
      <c r="BM521" s="3"/>
      <c r="BN521" s="3" t="s">
        <v>2112</v>
      </c>
    </row>
    <row r="522" spans="2:66" ht="13.05" customHeight="1">
      <c r="B522" s="1674"/>
      <c r="C522" s="1490"/>
      <c r="D522" s="1490"/>
      <c r="E522" s="1490"/>
      <c r="F522" s="1490"/>
      <c r="G522" s="1490"/>
      <c r="H522" s="1491"/>
      <c r="I522" s="47" t="s">
        <v>422</v>
      </c>
      <c r="J522" s="48"/>
      <c r="K522" s="48"/>
      <c r="L522" s="48"/>
      <c r="M522" s="48"/>
      <c r="N522" s="48"/>
      <c r="O522" s="48"/>
      <c r="P522" s="48"/>
      <c r="Q522" s="48"/>
      <c r="R522" s="48"/>
      <c r="S522" s="48"/>
      <c r="T522" s="48"/>
      <c r="U522" s="48"/>
      <c r="V522" s="48"/>
      <c r="W522" s="48"/>
      <c r="X522" s="48"/>
      <c r="Y522" s="48"/>
      <c r="Z522" s="48"/>
      <c r="AA522" s="48"/>
      <c r="AB522" s="49"/>
      <c r="AC522" s="1700">
        <v>6</v>
      </c>
      <c r="AD522" s="1598"/>
      <c r="AE522" s="1598"/>
      <c r="AF522" s="1598"/>
      <c r="AG522" s="38" t="s">
        <v>403</v>
      </c>
      <c r="AH522" s="1387">
        <v>2025</v>
      </c>
      <c r="AI522" s="1387"/>
      <c r="AJ522" s="1387"/>
      <c r="AK522" s="1388"/>
      <c r="AZ522" s="3"/>
      <c r="BA522" s="3"/>
      <c r="BB522" s="3"/>
      <c r="BC522" s="3"/>
      <c r="BD522" s="3"/>
      <c r="BE522" s="3"/>
      <c r="BF522" s="3"/>
      <c r="BG522" s="3"/>
      <c r="BH522" s="3"/>
      <c r="BI522" s="3"/>
      <c r="BJ522" s="3"/>
      <c r="BK522" s="3"/>
      <c r="BL522" s="3"/>
      <c r="BM522" s="3"/>
      <c r="BN522" s="3" t="s">
        <v>2113</v>
      </c>
    </row>
    <row r="523" spans="2:66" ht="13.05" customHeight="1">
      <c r="B523" s="1674"/>
      <c r="C523" s="1490"/>
      <c r="D523" s="1490"/>
      <c r="E523" s="1490"/>
      <c r="F523" s="1490"/>
      <c r="G523" s="1490"/>
      <c r="H523" s="1491"/>
      <c r="I523" s="42" t="s">
        <v>423</v>
      </c>
      <c r="J523" s="42"/>
      <c r="K523" s="42"/>
      <c r="L523" s="42"/>
      <c r="M523" s="42"/>
      <c r="N523" s="42"/>
      <c r="O523" s="1742" t="s">
        <v>334</v>
      </c>
      <c r="P523" s="1743"/>
      <c r="Q523" s="1743"/>
      <c r="R523" s="1743"/>
      <c r="S523" s="1743"/>
      <c r="T523" s="1743"/>
      <c r="U523" s="1743"/>
      <c r="V523" s="1743"/>
      <c r="W523" s="1743"/>
      <c r="X523" s="1743"/>
      <c r="Y523" s="1743"/>
      <c r="Z523" s="1743"/>
      <c r="AA523" s="1743"/>
      <c r="AC523" s="1700" t="s">
        <v>591</v>
      </c>
      <c r="AD523" s="1598"/>
      <c r="AE523" s="1598"/>
      <c r="AF523" s="1598"/>
      <c r="AG523" s="13" t="s">
        <v>403</v>
      </c>
      <c r="AH523" s="1387"/>
      <c r="AI523" s="1387"/>
      <c r="AJ523" s="1387"/>
      <c r="AK523" s="1388"/>
      <c r="AZ523" s="3"/>
      <c r="BA523" s="3"/>
      <c r="BB523" s="3"/>
      <c r="BC523" s="3"/>
      <c r="BD523" s="3"/>
      <c r="BE523" s="3"/>
      <c r="BF523" s="3"/>
      <c r="BG523" s="3"/>
      <c r="BH523" s="3"/>
      <c r="BI523" s="3"/>
      <c r="BJ523" s="3"/>
      <c r="BK523" s="3"/>
      <c r="BL523" s="3"/>
      <c r="BM523" s="3"/>
      <c r="BN523" s="3" t="s">
        <v>2114</v>
      </c>
    </row>
    <row r="524" spans="2:66" ht="13.05" customHeight="1">
      <c r="B524" s="1674"/>
      <c r="C524" s="1490"/>
      <c r="D524" s="1490"/>
      <c r="E524" s="1490"/>
      <c r="F524" s="1490"/>
      <c r="G524" s="1490"/>
      <c r="H524" s="1491"/>
      <c r="I524" t="s">
        <v>421</v>
      </c>
      <c r="AC524" s="1700" t="s">
        <v>591</v>
      </c>
      <c r="AD524" s="1598"/>
      <c r="AE524" s="1598"/>
      <c r="AF524" s="1598"/>
      <c r="AG524" s="13" t="s">
        <v>403</v>
      </c>
      <c r="AH524" s="1387"/>
      <c r="AI524" s="1387"/>
      <c r="AJ524" s="1387"/>
      <c r="AK524" s="1388"/>
      <c r="AZ524" s="3"/>
      <c r="BA524" s="3"/>
      <c r="BB524" s="3"/>
      <c r="BC524" s="3"/>
      <c r="BD524" s="3"/>
      <c r="BE524" s="3"/>
      <c r="BF524" s="3"/>
      <c r="BG524" s="3"/>
      <c r="BH524" s="3"/>
      <c r="BI524" s="3"/>
      <c r="BJ524" s="3"/>
      <c r="BK524" s="3"/>
      <c r="BL524" s="3"/>
      <c r="BM524" s="3"/>
      <c r="BN524" s="3" t="s">
        <v>2115</v>
      </c>
    </row>
    <row r="525" spans="2:66" ht="13.05" customHeight="1">
      <c r="B525" s="1674"/>
      <c r="C525" s="1490"/>
      <c r="D525" s="1490"/>
      <c r="E525" s="1490"/>
      <c r="F525" s="1490"/>
      <c r="G525" s="1490"/>
      <c r="H525" s="1491"/>
      <c r="I525" s="48" t="s">
        <v>422</v>
      </c>
      <c r="J525" s="48"/>
      <c r="K525" s="48"/>
      <c r="L525" s="48"/>
      <c r="M525" s="48"/>
      <c r="N525" s="48"/>
      <c r="O525" s="48"/>
      <c r="P525" s="48"/>
      <c r="Q525" s="48"/>
      <c r="R525" s="48"/>
      <c r="S525" s="48"/>
      <c r="T525" s="48"/>
      <c r="U525" s="48"/>
      <c r="V525" s="48"/>
      <c r="W525" s="48"/>
      <c r="X525" s="48"/>
      <c r="Y525" s="48"/>
      <c r="Z525" s="48"/>
      <c r="AA525" s="48"/>
      <c r="AB525" s="48"/>
      <c r="AC525" s="1700" t="s">
        <v>591</v>
      </c>
      <c r="AD525" s="1598"/>
      <c r="AE525" s="1598"/>
      <c r="AF525" s="1598"/>
      <c r="AG525" s="38" t="s">
        <v>403</v>
      </c>
      <c r="AH525" s="1387"/>
      <c r="AI525" s="1387"/>
      <c r="AJ525" s="1387"/>
      <c r="AK525" s="1388"/>
      <c r="AZ525" s="3"/>
      <c r="BA525" s="3"/>
      <c r="BB525" s="3"/>
      <c r="BC525" s="3"/>
      <c r="BD525" s="3"/>
      <c r="BE525" s="3"/>
      <c r="BF525" s="3"/>
      <c r="BG525" s="3"/>
      <c r="BH525" s="3"/>
      <c r="BI525" s="3"/>
      <c r="BJ525" s="3"/>
      <c r="BK525" s="3"/>
      <c r="BL525" s="3"/>
      <c r="BM525" s="3"/>
      <c r="BN525" s="3" t="s">
        <v>2116</v>
      </c>
    </row>
    <row r="526" spans="2:66" ht="13.05" customHeight="1">
      <c r="B526" s="1674"/>
      <c r="C526" s="1490"/>
      <c r="D526" s="1490"/>
      <c r="E526" s="1490"/>
      <c r="F526" s="1490"/>
      <c r="G526" s="1490"/>
      <c r="H526" s="1491"/>
      <c r="I526" s="42" t="s">
        <v>423</v>
      </c>
      <c r="J526" s="42"/>
      <c r="K526" s="42"/>
      <c r="L526" s="42"/>
      <c r="M526" s="42"/>
      <c r="N526" s="42"/>
      <c r="O526" s="1742" t="s">
        <v>334</v>
      </c>
      <c r="P526" s="1743"/>
      <c r="Q526" s="1743"/>
      <c r="R526" s="1743"/>
      <c r="S526" s="1743"/>
      <c r="T526" s="1743"/>
      <c r="U526" s="1743"/>
      <c r="V526" s="1743"/>
      <c r="W526" s="1743"/>
      <c r="X526" s="1743"/>
      <c r="Y526" s="1743"/>
      <c r="Z526" s="1743"/>
      <c r="AA526" s="1743"/>
      <c r="AC526" s="1700" t="s">
        <v>591</v>
      </c>
      <c r="AD526" s="1598"/>
      <c r="AE526" s="1598"/>
      <c r="AF526" s="1598"/>
      <c r="AG526" s="13" t="s">
        <v>403</v>
      </c>
      <c r="AH526" s="1387"/>
      <c r="AI526" s="1387"/>
      <c r="AJ526" s="1387"/>
      <c r="AK526" s="1388"/>
      <c r="AZ526" s="3"/>
      <c r="BA526" s="3"/>
      <c r="BB526" s="3"/>
      <c r="BC526" s="3"/>
      <c r="BD526" s="3"/>
      <c r="BE526" s="3"/>
      <c r="BF526" s="3"/>
      <c r="BG526" s="3"/>
      <c r="BH526" s="3"/>
      <c r="BI526" s="3"/>
      <c r="BJ526" s="3"/>
      <c r="BK526" s="3"/>
      <c r="BL526" s="3"/>
      <c r="BM526" s="3"/>
      <c r="BN526" s="3" t="s">
        <v>2117</v>
      </c>
    </row>
    <row r="527" spans="2:66" ht="13.05" customHeight="1">
      <c r="B527" s="1674"/>
      <c r="C527" s="1490"/>
      <c r="D527" s="1490"/>
      <c r="E527" s="1490"/>
      <c r="F527" s="1490"/>
      <c r="G527" s="1490"/>
      <c r="H527" s="1491"/>
      <c r="I527" t="s">
        <v>421</v>
      </c>
      <c r="AC527" s="1700" t="s">
        <v>591</v>
      </c>
      <c r="AD527" s="1598"/>
      <c r="AE527" s="1598"/>
      <c r="AF527" s="1598"/>
      <c r="AG527" s="13" t="s">
        <v>403</v>
      </c>
      <c r="AH527" s="1387"/>
      <c r="AI527" s="1387"/>
      <c r="AJ527" s="1387"/>
      <c r="AK527" s="1388"/>
      <c r="AZ527" s="3"/>
      <c r="BA527" s="3"/>
      <c r="BB527" s="3"/>
      <c r="BC527" s="3"/>
      <c r="BD527" s="3"/>
      <c r="BE527" s="3"/>
      <c r="BF527" s="3"/>
      <c r="BG527" s="3"/>
      <c r="BH527" s="3"/>
      <c r="BI527" s="3"/>
      <c r="BJ527" s="3"/>
      <c r="BK527" s="3"/>
      <c r="BL527" s="3"/>
      <c r="BM527" s="3"/>
      <c r="BN527" s="3" t="s">
        <v>2118</v>
      </c>
    </row>
    <row r="528" spans="2:66" ht="13.05" customHeight="1">
      <c r="B528" s="1674"/>
      <c r="C528" s="1490"/>
      <c r="D528" s="1490"/>
      <c r="E528" s="1490"/>
      <c r="F528" s="1490"/>
      <c r="G528" s="1490"/>
      <c r="H528" s="1491"/>
      <c r="I528" s="48" t="s">
        <v>422</v>
      </c>
      <c r="J528" s="48"/>
      <c r="K528" s="48"/>
      <c r="L528" s="48"/>
      <c r="M528" s="48"/>
      <c r="N528" s="48"/>
      <c r="O528" s="48"/>
      <c r="P528" s="48"/>
      <c r="Q528" s="48"/>
      <c r="R528" s="48"/>
      <c r="S528" s="48"/>
      <c r="T528" s="48"/>
      <c r="U528" s="48"/>
      <c r="V528" s="48"/>
      <c r="W528" s="48"/>
      <c r="X528" s="48"/>
      <c r="Y528" s="48"/>
      <c r="Z528" s="48"/>
      <c r="AA528" s="48"/>
      <c r="AB528" s="48"/>
      <c r="AC528" s="1700" t="s">
        <v>591</v>
      </c>
      <c r="AD528" s="1598"/>
      <c r="AE528" s="1598"/>
      <c r="AF528" s="1598"/>
      <c r="AG528" s="38" t="s">
        <v>403</v>
      </c>
      <c r="AH528" s="1387"/>
      <c r="AI528" s="1387"/>
      <c r="AJ528" s="1387"/>
      <c r="AK528" s="1388"/>
      <c r="AZ528" s="3"/>
      <c r="BA528" s="3"/>
      <c r="BB528" s="3"/>
      <c r="BC528" s="3"/>
      <c r="BD528" s="3"/>
      <c r="BE528" s="3"/>
      <c r="BF528" s="3"/>
      <c r="BG528" s="3"/>
      <c r="BH528" s="3"/>
      <c r="BI528" s="3"/>
      <c r="BJ528" s="3"/>
      <c r="BK528" s="3"/>
      <c r="BL528" s="3"/>
      <c r="BM528" s="3"/>
      <c r="BN528" s="3" t="s">
        <v>2119</v>
      </c>
    </row>
    <row r="529" spans="1:66" ht="13.05" customHeight="1">
      <c r="B529" s="1674"/>
      <c r="C529" s="1490"/>
      <c r="D529" s="1490"/>
      <c r="E529" s="1490"/>
      <c r="F529" s="1490"/>
      <c r="G529" s="1490"/>
      <c r="H529" s="1491"/>
      <c r="I529" s="42" t="s">
        <v>423</v>
      </c>
      <c r="J529" s="42"/>
      <c r="K529" s="42"/>
      <c r="L529" s="42"/>
      <c r="M529" s="42"/>
      <c r="N529" s="42"/>
      <c r="O529" s="1742" t="s">
        <v>334</v>
      </c>
      <c r="P529" s="1743"/>
      <c r="Q529" s="1743"/>
      <c r="R529" s="1743"/>
      <c r="S529" s="1743"/>
      <c r="T529" s="1743"/>
      <c r="U529" s="1743"/>
      <c r="V529" s="1743"/>
      <c r="W529" s="1743"/>
      <c r="X529" s="1743"/>
      <c r="Y529" s="1743"/>
      <c r="Z529" s="1743"/>
      <c r="AA529" s="1743"/>
      <c r="AC529" s="1700" t="s">
        <v>591</v>
      </c>
      <c r="AD529" s="1598"/>
      <c r="AE529" s="1598"/>
      <c r="AF529" s="1598"/>
      <c r="AG529" s="13" t="s">
        <v>403</v>
      </c>
      <c r="AH529" s="1387"/>
      <c r="AI529" s="1387"/>
      <c r="AJ529" s="1387"/>
      <c r="AK529" s="1388"/>
      <c r="AZ529" s="3"/>
      <c r="BA529" s="3"/>
      <c r="BB529" s="3"/>
      <c r="BC529" s="3"/>
      <c r="BD529" s="3"/>
      <c r="BE529" s="3"/>
      <c r="BF529" s="3"/>
      <c r="BG529" s="3"/>
      <c r="BH529" s="3"/>
      <c r="BI529" s="3"/>
      <c r="BJ529" s="3"/>
      <c r="BK529" s="3"/>
      <c r="BL529" s="3"/>
      <c r="BM529" s="3"/>
      <c r="BN529" s="3" t="s">
        <v>2120</v>
      </c>
    </row>
    <row r="530" spans="1:66" ht="13.05" customHeight="1">
      <c r="B530" s="1674"/>
      <c r="C530" s="1490"/>
      <c r="D530" s="1490"/>
      <c r="E530" s="1490"/>
      <c r="F530" s="1490"/>
      <c r="G530" s="1490"/>
      <c r="H530" s="1491"/>
      <c r="I530" t="s">
        <v>421</v>
      </c>
      <c r="AC530" s="1700" t="s">
        <v>591</v>
      </c>
      <c r="AD530" s="1598"/>
      <c r="AE530" s="1598"/>
      <c r="AF530" s="1598"/>
      <c r="AG530" s="13" t="s">
        <v>403</v>
      </c>
      <c r="AH530" s="1387"/>
      <c r="AI530" s="1387"/>
      <c r="AJ530" s="1387"/>
      <c r="AK530" s="1388"/>
      <c r="AZ530" s="3"/>
      <c r="BA530" s="3"/>
      <c r="BB530" s="3"/>
      <c r="BC530" s="3"/>
      <c r="BD530" s="3"/>
      <c r="BE530" s="3"/>
      <c r="BF530" s="3"/>
      <c r="BG530" s="3"/>
      <c r="BH530" s="3"/>
      <c r="BI530" s="3"/>
      <c r="BJ530" s="3"/>
      <c r="BK530" s="3"/>
      <c r="BL530" s="3"/>
      <c r="BM530" s="3"/>
      <c r="BN530" s="3" t="s">
        <v>2121</v>
      </c>
    </row>
    <row r="531" spans="1:66" ht="13.05" customHeight="1">
      <c r="B531" s="1674"/>
      <c r="C531" s="1490"/>
      <c r="D531" s="1490"/>
      <c r="E531" s="1490"/>
      <c r="F531" s="1490"/>
      <c r="G531" s="1490"/>
      <c r="H531" s="1491"/>
      <c r="I531" s="48" t="s">
        <v>422</v>
      </c>
      <c r="J531" s="48"/>
      <c r="K531" s="48"/>
      <c r="L531" s="48"/>
      <c r="M531" s="48"/>
      <c r="N531" s="48"/>
      <c r="O531" s="48"/>
      <c r="P531" s="48"/>
      <c r="Q531" s="48"/>
      <c r="R531" s="48"/>
      <c r="S531" s="48"/>
      <c r="T531" s="48"/>
      <c r="U531" s="48"/>
      <c r="V531" s="48"/>
      <c r="W531" s="48"/>
      <c r="X531" s="48"/>
      <c r="Y531" s="48"/>
      <c r="Z531" s="48"/>
      <c r="AA531" s="48"/>
      <c r="AB531" s="48"/>
      <c r="AC531" s="1700" t="s">
        <v>591</v>
      </c>
      <c r="AD531" s="1598"/>
      <c r="AE531" s="1598"/>
      <c r="AF531" s="1598"/>
      <c r="AG531" s="38" t="s">
        <v>403</v>
      </c>
      <c r="AH531" s="1387"/>
      <c r="AI531" s="1387"/>
      <c r="AJ531" s="1387"/>
      <c r="AK531" s="1388"/>
      <c r="AZ531" s="3"/>
      <c r="BA531" s="3"/>
      <c r="BB531" s="3"/>
      <c r="BC531" s="3"/>
      <c r="BD531" s="3"/>
      <c r="BE531" s="3"/>
      <c r="BF531" s="3"/>
      <c r="BG531" s="3"/>
      <c r="BH531" s="3"/>
      <c r="BI531" s="3"/>
      <c r="BJ531" s="3"/>
      <c r="BK531" s="3"/>
      <c r="BL531" s="3"/>
      <c r="BM531" s="3"/>
      <c r="BN531" s="3" t="s">
        <v>2122</v>
      </c>
    </row>
    <row r="532" spans="1:66" ht="13.05" customHeight="1">
      <c r="B532" s="1674"/>
      <c r="C532" s="1490"/>
      <c r="D532" s="1490"/>
      <c r="E532" s="1490"/>
      <c r="F532" s="1490"/>
      <c r="G532" s="1490"/>
      <c r="H532" s="1491"/>
      <c r="I532" s="42" t="s">
        <v>423</v>
      </c>
      <c r="J532" s="42"/>
      <c r="K532" s="42"/>
      <c r="L532" s="42"/>
      <c r="M532" s="42"/>
      <c r="N532" s="42"/>
      <c r="O532" s="1742" t="s">
        <v>334</v>
      </c>
      <c r="P532" s="1743"/>
      <c r="Q532" s="1743"/>
      <c r="R532" s="1743"/>
      <c r="S532" s="1743"/>
      <c r="T532" s="1743"/>
      <c r="U532" s="1743"/>
      <c r="V532" s="1743"/>
      <c r="W532" s="1743"/>
      <c r="X532" s="1743"/>
      <c r="Y532" s="1743"/>
      <c r="Z532" s="1743"/>
      <c r="AA532" s="1743"/>
      <c r="AC532" s="1700" t="s">
        <v>591</v>
      </c>
      <c r="AD532" s="1598"/>
      <c r="AE532" s="1598"/>
      <c r="AF532" s="1598"/>
      <c r="AG532" s="13" t="s">
        <v>403</v>
      </c>
      <c r="AH532" s="1387"/>
      <c r="AI532" s="1387"/>
      <c r="AJ532" s="1387"/>
      <c r="AK532" s="1388"/>
      <c r="AZ532" s="3"/>
      <c r="BA532" s="3"/>
      <c r="BB532" s="3"/>
      <c r="BC532" s="3"/>
      <c r="BD532" s="3"/>
      <c r="BE532" s="3"/>
      <c r="BF532" s="3"/>
      <c r="BG532" s="3"/>
      <c r="BH532" s="3"/>
      <c r="BI532" s="3"/>
      <c r="BJ532" s="3"/>
      <c r="BK532" s="3"/>
      <c r="BL532" s="3"/>
      <c r="BM532" s="3"/>
      <c r="BN532" s="3" t="s">
        <v>2123</v>
      </c>
    </row>
    <row r="533" spans="1:66" ht="13.05" customHeight="1">
      <c r="B533" s="1674"/>
      <c r="C533" s="1490"/>
      <c r="D533" s="1490"/>
      <c r="E533" s="1490"/>
      <c r="F533" s="1490"/>
      <c r="G533" s="1490"/>
      <c r="H533" s="1491"/>
      <c r="I533" t="s">
        <v>421</v>
      </c>
      <c r="AC533" s="1700" t="s">
        <v>591</v>
      </c>
      <c r="AD533" s="1598"/>
      <c r="AE533" s="1598"/>
      <c r="AF533" s="1598"/>
      <c r="AG533" s="38" t="s">
        <v>403</v>
      </c>
      <c r="AH533" s="1387"/>
      <c r="AI533" s="1387"/>
      <c r="AJ533" s="1387"/>
      <c r="AK533" s="1388"/>
      <c r="AZ533" s="3"/>
      <c r="BA533" s="3"/>
      <c r="BB533" s="3"/>
      <c r="BC533" s="3"/>
      <c r="BD533" s="3"/>
      <c r="BE533" s="3"/>
      <c r="BF533" s="3"/>
      <c r="BG533" s="3"/>
      <c r="BH533" s="3"/>
      <c r="BI533" s="3"/>
      <c r="BJ533" s="3"/>
      <c r="BK533" s="3"/>
      <c r="BL533" s="3"/>
      <c r="BM533" s="3"/>
      <c r="BN533" s="3" t="s">
        <v>2124</v>
      </c>
    </row>
    <row r="534" spans="1:66" ht="13.05" customHeight="1">
      <c r="B534" s="1674"/>
      <c r="C534" s="1490"/>
      <c r="D534" s="1490"/>
      <c r="E534" s="1490"/>
      <c r="F534" s="1490"/>
      <c r="G534" s="1490"/>
      <c r="H534" s="1491"/>
      <c r="I534" s="48" t="s">
        <v>422</v>
      </c>
      <c r="J534" s="48"/>
      <c r="K534" s="48"/>
      <c r="L534" s="48"/>
      <c r="M534" s="48"/>
      <c r="N534" s="48"/>
      <c r="O534" s="48"/>
      <c r="P534" s="48"/>
      <c r="Q534" s="48"/>
      <c r="R534" s="48"/>
      <c r="S534" s="48"/>
      <c r="T534" s="48"/>
      <c r="U534" s="48"/>
      <c r="V534" s="48"/>
      <c r="W534" s="48"/>
      <c r="X534" s="48"/>
      <c r="Y534" s="48"/>
      <c r="Z534" s="48"/>
      <c r="AA534" s="48"/>
      <c r="AB534" s="48"/>
      <c r="AC534" s="1700" t="s">
        <v>591</v>
      </c>
      <c r="AD534" s="1598"/>
      <c r="AE534" s="1598"/>
      <c r="AF534" s="1598"/>
      <c r="AG534" s="13" t="s">
        <v>403</v>
      </c>
      <c r="AH534" s="1387"/>
      <c r="AI534" s="1387"/>
      <c r="AJ534" s="1387"/>
      <c r="AK534" s="1388"/>
      <c r="AZ534" s="3"/>
      <c r="BA534" s="3"/>
      <c r="BB534" s="3"/>
      <c r="BC534" s="3"/>
      <c r="BD534" s="3"/>
      <c r="BE534" s="3"/>
      <c r="BF534" s="3"/>
      <c r="BG534" s="3"/>
      <c r="BH534" s="3"/>
      <c r="BI534" s="3"/>
      <c r="BJ534" s="3"/>
      <c r="BK534" s="3"/>
      <c r="BL534" s="3"/>
      <c r="BM534" s="3"/>
      <c r="BN534" s="3" t="s">
        <v>2125</v>
      </c>
    </row>
    <row r="535" spans="1:66" ht="13.05" customHeight="1">
      <c r="B535" s="1674"/>
      <c r="C535" s="1490"/>
      <c r="D535" s="1490"/>
      <c r="E535" s="1490"/>
      <c r="F535" s="1490"/>
      <c r="G535" s="1490"/>
      <c r="H535" s="1491"/>
      <c r="I535" s="42" t="s">
        <v>423</v>
      </c>
      <c r="J535" s="42"/>
      <c r="K535" s="42"/>
      <c r="L535" s="42"/>
      <c r="M535" s="42"/>
      <c r="N535" s="42"/>
      <c r="O535" s="1742" t="s">
        <v>334</v>
      </c>
      <c r="P535" s="1743"/>
      <c r="Q535" s="1743"/>
      <c r="R535" s="1743"/>
      <c r="S535" s="1743"/>
      <c r="T535" s="1743"/>
      <c r="U535" s="1743"/>
      <c r="V535" s="1743"/>
      <c r="W535" s="1743"/>
      <c r="X535" s="1743"/>
      <c r="Y535" s="1743"/>
      <c r="Z535" s="1743"/>
      <c r="AA535" s="1743"/>
      <c r="AC535" s="1700" t="s">
        <v>591</v>
      </c>
      <c r="AD535" s="1598"/>
      <c r="AE535" s="1598"/>
      <c r="AF535" s="1598"/>
      <c r="AG535" s="38" t="s">
        <v>403</v>
      </c>
      <c r="AH535" s="1387"/>
      <c r="AI535" s="1387"/>
      <c r="AJ535" s="1387"/>
      <c r="AK535" s="1388"/>
      <c r="AZ535" s="3"/>
      <c r="BA535" s="3"/>
      <c r="BB535" s="3"/>
      <c r="BC535" s="3"/>
      <c r="BD535" s="3"/>
      <c r="BE535" s="3"/>
      <c r="BF535" s="3"/>
      <c r="BG535" s="3"/>
      <c r="BH535" s="3"/>
      <c r="BI535" s="3"/>
      <c r="BJ535" s="3"/>
      <c r="BK535" s="3"/>
      <c r="BL535" s="3"/>
      <c r="BM535" s="3"/>
      <c r="BN535" s="3" t="s">
        <v>2126</v>
      </c>
    </row>
    <row r="536" spans="1:66" ht="13.05" customHeight="1">
      <c r="B536" s="1674"/>
      <c r="C536" s="1490"/>
      <c r="D536" s="1490"/>
      <c r="E536" s="1490"/>
      <c r="F536" s="1490"/>
      <c r="G536" s="1490"/>
      <c r="H536" s="1491"/>
      <c r="I536" t="s">
        <v>421</v>
      </c>
      <c r="AC536" s="1700" t="s">
        <v>591</v>
      </c>
      <c r="AD536" s="1598"/>
      <c r="AE536" s="1598"/>
      <c r="AF536" s="1598"/>
      <c r="AG536" s="13" t="s">
        <v>403</v>
      </c>
      <c r="AH536" s="1387"/>
      <c r="AI536" s="1387"/>
      <c r="AJ536" s="1387"/>
      <c r="AK536" s="1388"/>
      <c r="AZ536" s="3"/>
      <c r="BA536" s="3"/>
      <c r="BB536" s="3"/>
      <c r="BC536" s="3"/>
      <c r="BD536" s="3"/>
      <c r="BE536" s="3"/>
      <c r="BF536" s="3"/>
      <c r="BG536" s="3"/>
      <c r="BH536" s="3"/>
      <c r="BI536" s="3"/>
      <c r="BJ536" s="3"/>
      <c r="BK536" s="3"/>
      <c r="BL536" s="3"/>
      <c r="BM536" s="3"/>
      <c r="BN536" s="3" t="s">
        <v>2127</v>
      </c>
    </row>
    <row r="537" spans="1:66" ht="13.05" customHeight="1">
      <c r="B537" s="1674"/>
      <c r="C537" s="1490"/>
      <c r="D537" s="1490"/>
      <c r="E537" s="1490"/>
      <c r="F537" s="1490"/>
      <c r="G537" s="1490"/>
      <c r="H537" s="1491"/>
      <c r="I537" s="48" t="s">
        <v>422</v>
      </c>
      <c r="J537" s="48"/>
      <c r="K537" s="48"/>
      <c r="L537" s="48"/>
      <c r="M537" s="48"/>
      <c r="N537" s="48"/>
      <c r="O537" s="48"/>
      <c r="P537" s="48"/>
      <c r="Q537" s="48"/>
      <c r="R537" s="48"/>
      <c r="S537" s="48"/>
      <c r="T537" s="48"/>
      <c r="U537" s="48"/>
      <c r="V537" s="48"/>
      <c r="W537" s="48"/>
      <c r="X537" s="48"/>
      <c r="Y537" s="48"/>
      <c r="Z537" s="48"/>
      <c r="AA537" s="48"/>
      <c r="AB537" s="48"/>
      <c r="AC537" s="1700" t="s">
        <v>591</v>
      </c>
      <c r="AD537" s="1598"/>
      <c r="AE537" s="1598"/>
      <c r="AF537" s="1598"/>
      <c r="AG537" s="38" t="s">
        <v>403</v>
      </c>
      <c r="AH537" s="1387"/>
      <c r="AI537" s="1387"/>
      <c r="AJ537" s="1387"/>
      <c r="AK537" s="1388"/>
      <c r="AZ537" s="3"/>
      <c r="BA537" s="3"/>
      <c r="BB537" s="3"/>
      <c r="BC537" s="3"/>
      <c r="BD537" s="3"/>
      <c r="BE537" s="3"/>
      <c r="BF537" s="3"/>
      <c r="BG537" s="3"/>
      <c r="BH537" s="3"/>
      <c r="BI537" s="3"/>
      <c r="BJ537" s="3"/>
      <c r="BK537" s="3"/>
      <c r="BL537" s="3"/>
      <c r="BM537" s="3"/>
      <c r="BN537" s="3" t="s">
        <v>2128</v>
      </c>
    </row>
    <row r="538" spans="1:66" ht="13.05" customHeight="1">
      <c r="B538" s="1674"/>
      <c r="C538" s="1490"/>
      <c r="D538" s="1490"/>
      <c r="E538" s="1490"/>
      <c r="F538" s="1490"/>
      <c r="G538" s="1490"/>
      <c r="H538" s="1491"/>
      <c r="I538" s="42" t="s">
        <v>562</v>
      </c>
      <c r="J538" s="42"/>
      <c r="K538" s="42"/>
      <c r="L538" s="42"/>
      <c r="M538" s="42"/>
      <c r="N538" s="42"/>
      <c r="O538" s="42"/>
      <c r="P538" s="42"/>
      <c r="Q538" s="42"/>
      <c r="R538" s="42"/>
      <c r="S538" s="42"/>
      <c r="T538" s="42"/>
      <c r="U538" s="42"/>
      <c r="V538" s="42"/>
      <c r="W538" s="42"/>
      <c r="AC538" s="1700" t="s">
        <v>591</v>
      </c>
      <c r="AD538" s="1598"/>
      <c r="AE538" s="1598"/>
      <c r="AF538" s="1598"/>
      <c r="AG538" s="38" t="s">
        <v>403</v>
      </c>
      <c r="AH538" s="1387"/>
      <c r="AI538" s="1387"/>
      <c r="AJ538" s="1387"/>
      <c r="AK538" s="1388"/>
      <c r="AZ538" s="3"/>
      <c r="BA538" s="3"/>
      <c r="BB538" s="3"/>
      <c r="BC538" s="3"/>
      <c r="BD538" s="3"/>
      <c r="BE538" s="3"/>
      <c r="BF538" s="3"/>
      <c r="BG538" s="3"/>
      <c r="BH538" s="3"/>
      <c r="BI538" s="3"/>
      <c r="BJ538" s="3"/>
      <c r="BK538" s="3"/>
      <c r="BL538" s="3"/>
      <c r="BM538" s="3"/>
      <c r="BN538" s="3"/>
    </row>
    <row r="539" spans="1:66" ht="13.05" customHeight="1">
      <c r="B539" s="1674"/>
      <c r="C539" s="1490"/>
      <c r="D539" s="1490"/>
      <c r="E539" s="1490"/>
      <c r="F539" s="1490"/>
      <c r="G539" s="1490"/>
      <c r="H539" s="1491"/>
      <c r="I539" t="s">
        <v>563</v>
      </c>
      <c r="AC539" s="1700">
        <v>5</v>
      </c>
      <c r="AD539" s="1598"/>
      <c r="AE539" s="1598"/>
      <c r="AF539" s="1598"/>
      <c r="AG539" s="13" t="s">
        <v>403</v>
      </c>
      <c r="AH539" s="1387">
        <v>2026</v>
      </c>
      <c r="AI539" s="1387"/>
      <c r="AJ539" s="1387"/>
      <c r="AK539" s="1388"/>
      <c r="AZ539" s="3"/>
      <c r="BA539" s="3"/>
      <c r="BB539" s="3"/>
      <c r="BC539" s="3"/>
      <c r="BD539" s="3"/>
      <c r="BE539" s="3"/>
      <c r="BF539" s="3"/>
      <c r="BG539" s="3"/>
      <c r="BH539" s="3"/>
      <c r="BI539" s="3"/>
      <c r="BJ539" s="3"/>
      <c r="BK539" s="3"/>
      <c r="BL539" s="3"/>
      <c r="BM539" s="3"/>
      <c r="BN539" s="3"/>
    </row>
    <row r="540" spans="1:66" ht="13.05" customHeight="1">
      <c r="B540" s="1674"/>
      <c r="C540" s="1490"/>
      <c r="D540" s="1490"/>
      <c r="E540" s="1490"/>
      <c r="F540" s="1490"/>
      <c r="G540" s="1490"/>
      <c r="H540" s="1491"/>
      <c r="I540" t="s">
        <v>564</v>
      </c>
      <c r="AC540" s="1700">
        <v>2</v>
      </c>
      <c r="AD540" s="1598"/>
      <c r="AE540" s="1598"/>
      <c r="AF540" s="1598"/>
      <c r="AG540" s="38" t="s">
        <v>403</v>
      </c>
      <c r="AH540" s="1387">
        <v>2028</v>
      </c>
      <c r="AI540" s="1387"/>
      <c r="AJ540" s="1387"/>
      <c r="AK540" s="1388"/>
      <c r="AZ540" s="3"/>
      <c r="BA540" s="3"/>
      <c r="BB540" s="3"/>
      <c r="BC540" s="3"/>
      <c r="BD540" s="3"/>
      <c r="BE540" s="3"/>
      <c r="BF540" s="3"/>
      <c r="BG540" s="3"/>
      <c r="BH540" s="3"/>
      <c r="BI540" s="3"/>
      <c r="BJ540" s="3"/>
      <c r="BK540" s="3"/>
      <c r="BL540" s="3"/>
      <c r="BM540" s="3"/>
      <c r="BN540" s="3"/>
    </row>
    <row r="541" spans="1:66" ht="13.05" customHeight="1">
      <c r="B541" s="1674"/>
      <c r="C541" s="1490"/>
      <c r="D541" s="1490"/>
      <c r="E541" s="1490"/>
      <c r="F541" s="1490"/>
      <c r="G541" s="1490"/>
      <c r="H541" s="1491"/>
      <c r="I541" t="s">
        <v>565</v>
      </c>
      <c r="AC541" s="1700">
        <v>2</v>
      </c>
      <c r="AD541" s="1598"/>
      <c r="AE541" s="1598"/>
      <c r="AF541" s="1598"/>
      <c r="AG541" s="38" t="s">
        <v>403</v>
      </c>
      <c r="AH541" s="1387">
        <v>2028</v>
      </c>
      <c r="AI541" s="1387"/>
      <c r="AJ541" s="1387"/>
      <c r="AK541" s="1388"/>
      <c r="AZ541" s="3"/>
      <c r="BA541" s="3"/>
      <c r="BB541" s="3"/>
      <c r="BC541" s="3"/>
      <c r="BD541" s="3"/>
      <c r="BE541" s="3"/>
      <c r="BF541" s="3"/>
      <c r="BG541" s="3"/>
      <c r="BH541" s="3"/>
      <c r="BI541" s="3"/>
      <c r="BJ541" s="3"/>
      <c r="BK541" s="3"/>
      <c r="BL541" s="3"/>
      <c r="BM541" s="3"/>
      <c r="BN541" s="3"/>
    </row>
    <row r="542" spans="1:66" ht="13.05" customHeight="1">
      <c r="B542" s="1675"/>
      <c r="C542" s="1492"/>
      <c r="D542" s="1492"/>
      <c r="E542" s="1492"/>
      <c r="F542" s="1492"/>
      <c r="G542" s="1492"/>
      <c r="H542" s="1493"/>
      <c r="I542" s="48" t="s">
        <v>451</v>
      </c>
      <c r="J542" s="48"/>
      <c r="K542" s="48"/>
      <c r="L542" s="48"/>
      <c r="M542" s="48"/>
      <c r="N542" s="48"/>
      <c r="O542" s="48"/>
      <c r="P542" s="48"/>
      <c r="Q542" s="48"/>
      <c r="R542" s="48"/>
      <c r="S542" s="48"/>
      <c r="T542" s="48"/>
      <c r="U542" s="48"/>
      <c r="V542" s="48"/>
      <c r="W542" s="48"/>
      <c r="X542" s="48"/>
      <c r="Y542" s="48"/>
      <c r="Z542" s="48"/>
      <c r="AA542" s="48"/>
      <c r="AB542" s="48"/>
      <c r="AC542" s="1700">
        <v>5</v>
      </c>
      <c r="AD542" s="1598"/>
      <c r="AE542" s="1598"/>
      <c r="AF542" s="1598"/>
      <c r="AG542" s="38" t="s">
        <v>403</v>
      </c>
      <c r="AH542" s="1387">
        <v>2028</v>
      </c>
      <c r="AI542" s="1387"/>
      <c r="AJ542" s="1387"/>
      <c r="AK542" s="1388"/>
      <c r="BB542" s="3"/>
      <c r="BC542" s="3"/>
      <c r="BD542" s="3"/>
      <c r="BE542" s="3"/>
      <c r="BF542" s="3"/>
      <c r="BG542" s="3"/>
      <c r="BH542" s="3" t="s">
        <v>112</v>
      </c>
      <c r="BI542" s="3" t="str">
        <f>N649</f>
        <v>Yes</v>
      </c>
      <c r="BJ542" s="3"/>
      <c r="BK542" s="3"/>
      <c r="BL542" s="3"/>
      <c r="BM542" s="3"/>
      <c r="BN542" s="3"/>
    </row>
    <row r="543" spans="1:66" ht="13.0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0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0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319</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2100</v>
      </c>
      <c r="AC549" s="98"/>
      <c r="BB549" s="3"/>
      <c r="BC549" s="3"/>
      <c r="BD549" s="3"/>
      <c r="BE549" s="3"/>
      <c r="BF549" s="3"/>
      <c r="BG549" s="3"/>
      <c r="BH549" s="3"/>
      <c r="BI549" s="3"/>
    </row>
    <row r="550" spans="1:61" ht="13.05" customHeight="1">
      <c r="B550" s="512"/>
      <c r="BB550" s="3"/>
      <c r="BC550" s="3"/>
      <c r="BD550" s="3"/>
      <c r="BE550" s="3"/>
      <c r="BF550" s="3"/>
      <c r="BG550" s="3"/>
      <c r="BH550" s="3" t="s">
        <v>119</v>
      </c>
      <c r="BI550" s="3" t="str">
        <f>N657</f>
        <v>Yes</v>
      </c>
    </row>
    <row r="551" spans="1:61" ht="13.05" customHeight="1">
      <c r="B551" s="1673" t="s">
        <v>2102</v>
      </c>
      <c r="C551" s="1488"/>
      <c r="D551" s="1488"/>
      <c r="E551" s="1488"/>
      <c r="F551" s="1488"/>
      <c r="G551" s="1488"/>
      <c r="H551" s="1488"/>
      <c r="I551" s="1488"/>
      <c r="J551" s="1488"/>
      <c r="K551" s="1488"/>
      <c r="L551" s="1489"/>
      <c r="M551" s="1673" t="s">
        <v>2103</v>
      </c>
      <c r="N551" s="1488"/>
      <c r="O551" s="1488"/>
      <c r="P551" s="1489"/>
      <c r="Q551" s="1673" t="s">
        <v>2129</v>
      </c>
      <c r="R551" s="1488"/>
      <c r="S551" s="1489"/>
      <c r="T551" s="1673" t="s">
        <v>2130</v>
      </c>
      <c r="U551" s="1488"/>
      <c r="V551" s="1489"/>
      <c r="W551" s="1673" t="s">
        <v>453</v>
      </c>
      <c r="X551" s="1488"/>
      <c r="Y551" s="1489"/>
      <c r="Z551" s="1673" t="s">
        <v>1851</v>
      </c>
      <c r="AA551" s="1488"/>
      <c r="AB551" s="1488"/>
      <c r="AC551" s="1488"/>
      <c r="AD551" s="1489"/>
      <c r="AE551" s="1673" t="s">
        <v>1676</v>
      </c>
      <c r="AF551" s="1488"/>
      <c r="AG551" s="1488"/>
      <c r="AH551" s="1489"/>
      <c r="AI551" s="1673" t="s">
        <v>1677</v>
      </c>
      <c r="AJ551" s="1488"/>
      <c r="AK551" s="1488"/>
      <c r="AL551" s="1489"/>
      <c r="AM551" s="1673" t="s">
        <v>454</v>
      </c>
      <c r="AN551" s="1488"/>
      <c r="AO551" s="1488"/>
      <c r="AP551" s="1488"/>
      <c r="AQ551" s="1488"/>
      <c r="AR551" s="1488"/>
      <c r="AS551" s="1489"/>
      <c r="BB551" s="3"/>
      <c r="BC551" s="3"/>
      <c r="BD551" s="3"/>
      <c r="BE551" s="3"/>
      <c r="BF551" s="3"/>
      <c r="BG551" s="3"/>
      <c r="BH551" s="3" t="s">
        <v>581</v>
      </c>
      <c r="BI551" s="3" t="str">
        <f>AG657</f>
        <v>No</v>
      </c>
    </row>
    <row r="552" spans="1:61" ht="13.05" customHeight="1">
      <c r="B552" s="1674"/>
      <c r="C552" s="1490"/>
      <c r="D552" s="1490"/>
      <c r="E552" s="1490"/>
      <c r="F552" s="1490"/>
      <c r="G552" s="1490"/>
      <c r="H552" s="1490"/>
      <c r="I552" s="1490"/>
      <c r="J552" s="1490"/>
      <c r="K552" s="1490"/>
      <c r="L552" s="1491"/>
      <c r="M552" s="1674"/>
      <c r="N552" s="1490"/>
      <c r="O552" s="1490"/>
      <c r="P552" s="1491"/>
      <c r="Q552" s="1674"/>
      <c r="R552" s="1490"/>
      <c r="S552" s="1491"/>
      <c r="T552" s="1674"/>
      <c r="U552" s="1490"/>
      <c r="V552" s="1491"/>
      <c r="W552" s="1674"/>
      <c r="X552" s="1490"/>
      <c r="Y552" s="1491"/>
      <c r="Z552" s="1674"/>
      <c r="AA552" s="1490"/>
      <c r="AB552" s="1490"/>
      <c r="AC552" s="1490"/>
      <c r="AD552" s="1491"/>
      <c r="AE552" s="1674"/>
      <c r="AF552" s="1490"/>
      <c r="AG552" s="1490"/>
      <c r="AH552" s="1491"/>
      <c r="AI552" s="1674"/>
      <c r="AJ552" s="1490"/>
      <c r="AK552" s="1490"/>
      <c r="AL552" s="1491"/>
      <c r="AM552" s="1674"/>
      <c r="AN552" s="1490"/>
      <c r="AO552" s="1490"/>
      <c r="AP552" s="1490"/>
      <c r="AQ552" s="1490"/>
      <c r="AR552" s="1490"/>
      <c r="AS552" s="1491"/>
      <c r="AU552" s="1147"/>
      <c r="BB552" s="3"/>
      <c r="BC552" s="3"/>
      <c r="BD552" s="3"/>
      <c r="BE552" s="3"/>
      <c r="BF552" s="3"/>
      <c r="BG552" s="3"/>
      <c r="BH552" s="3"/>
      <c r="BI552" s="3"/>
    </row>
    <row r="553" spans="1:61" ht="13.05" customHeight="1">
      <c r="B553" s="1675"/>
      <c r="C553" s="1492"/>
      <c r="D553" s="1492"/>
      <c r="E553" s="1492"/>
      <c r="F553" s="1492"/>
      <c r="G553" s="1492"/>
      <c r="H553" s="1492"/>
      <c r="I553" s="1492"/>
      <c r="J553" s="1492"/>
      <c r="K553" s="1492"/>
      <c r="L553" s="1493"/>
      <c r="M553" s="1675"/>
      <c r="N553" s="1492"/>
      <c r="O553" s="1492"/>
      <c r="P553" s="1493"/>
      <c r="Q553" s="1675"/>
      <c r="R553" s="1492"/>
      <c r="S553" s="1493"/>
      <c r="T553" s="1675"/>
      <c r="U553" s="1492"/>
      <c r="V553" s="1493"/>
      <c r="W553" s="1675"/>
      <c r="X553" s="1492"/>
      <c r="Y553" s="1493"/>
      <c r="Z553" s="1675"/>
      <c r="AA553" s="1492"/>
      <c r="AB553" s="1492"/>
      <c r="AC553" s="1492"/>
      <c r="AD553" s="1493"/>
      <c r="AE553" s="1675"/>
      <c r="AF553" s="1492"/>
      <c r="AG553" s="1492"/>
      <c r="AH553" s="1493"/>
      <c r="AI553" s="1675"/>
      <c r="AJ553" s="1492"/>
      <c r="AK553" s="1492"/>
      <c r="AL553" s="1493"/>
      <c r="AM553" s="1675"/>
      <c r="AN553" s="1492"/>
      <c r="AO553" s="1492"/>
      <c r="AP553" s="1492"/>
      <c r="AQ553" s="1492"/>
      <c r="AR553" s="1492"/>
      <c r="AS553" s="1493"/>
      <c r="AU553" s="1147"/>
      <c r="BB553" s="3"/>
      <c r="BC553" s="3"/>
      <c r="BD553" s="3"/>
      <c r="BE553" s="3"/>
      <c r="BF553" s="3"/>
      <c r="BG553" s="3"/>
      <c r="BH553" s="3"/>
      <c r="BI553" s="3"/>
    </row>
    <row r="554" spans="1:61" ht="13.05" customHeight="1">
      <c r="B554" s="51" t="s">
        <v>112</v>
      </c>
      <c r="C554" s="1689" t="s">
        <v>2713</v>
      </c>
      <c r="D554" s="1689"/>
      <c r="E554" s="1689"/>
      <c r="F554" s="1689"/>
      <c r="G554" s="1689"/>
      <c r="H554" s="1689"/>
      <c r="I554" s="1689"/>
      <c r="J554" s="1689"/>
      <c r="K554" s="1689"/>
      <c r="L554" s="1689"/>
      <c r="M554" s="1689" t="s">
        <v>2119</v>
      </c>
      <c r="N554" s="1689"/>
      <c r="O554" s="1689"/>
      <c r="P554" s="1689"/>
      <c r="Q554" s="1506">
        <v>27</v>
      </c>
      <c r="R554" s="1506"/>
      <c r="S554" s="1507"/>
      <c r="T554" s="1505"/>
      <c r="U554" s="1506"/>
      <c r="V554" s="1507"/>
      <c r="W554" s="1508">
        <v>6.5000000000000002E-2</v>
      </c>
      <c r="X554" s="1509"/>
      <c r="Y554" s="1510"/>
      <c r="Z554" s="1691" t="s">
        <v>2722</v>
      </c>
      <c r="AA554" s="1691"/>
      <c r="AB554" s="1691"/>
      <c r="AC554" s="1691"/>
      <c r="AD554" s="1691"/>
      <c r="AE554" s="1695"/>
      <c r="AF554" s="1696"/>
      <c r="AG554" s="1696"/>
      <c r="AH554" s="1697"/>
      <c r="AI554" s="1692"/>
      <c r="AJ554" s="1693"/>
      <c r="AK554" s="1693"/>
      <c r="AL554" s="1694"/>
      <c r="AM554" s="1667">
        <v>10500000</v>
      </c>
      <c r="AN554" s="1668"/>
      <c r="AO554" s="1668"/>
      <c r="AP554" s="1668"/>
      <c r="AQ554" s="1668"/>
      <c r="AR554" s="1668"/>
      <c r="AS554" s="1669"/>
      <c r="AT554" s="1148"/>
      <c r="AU554" s="1147"/>
      <c r="BB554" s="3"/>
      <c r="BC554" s="3"/>
      <c r="BD554" s="3"/>
      <c r="BE554" s="3"/>
      <c r="BF554" s="3"/>
      <c r="BG554" s="3"/>
      <c r="BH554" s="3"/>
      <c r="BI554" s="3"/>
    </row>
    <row r="555" spans="1:61" ht="13.05" customHeight="1">
      <c r="B555" s="52" t="s">
        <v>113</v>
      </c>
      <c r="C555" s="1690" t="s">
        <v>2738</v>
      </c>
      <c r="D555" s="1690"/>
      <c r="E555" s="1690"/>
      <c r="F555" s="1690"/>
      <c r="G555" s="1690"/>
      <c r="H555" s="1690"/>
      <c r="I555" s="1690"/>
      <c r="J555" s="1690"/>
      <c r="K555" s="1690"/>
      <c r="L555" s="1690"/>
      <c r="M555" s="1689" t="s">
        <v>2118</v>
      </c>
      <c r="N555" s="1689"/>
      <c r="O555" s="1689"/>
      <c r="P555" s="1689"/>
      <c r="Q555" s="1505">
        <v>27</v>
      </c>
      <c r="R555" s="1506"/>
      <c r="S555" s="1507"/>
      <c r="T555" s="1505"/>
      <c r="U555" s="1506"/>
      <c r="V555" s="1507"/>
      <c r="W555" s="1508">
        <v>7.0000000000000007E-2</v>
      </c>
      <c r="X555" s="1509"/>
      <c r="Y555" s="1510"/>
      <c r="Z555" s="1691" t="s">
        <v>2722</v>
      </c>
      <c r="AA555" s="1691"/>
      <c r="AB555" s="1691"/>
      <c r="AC555" s="1691"/>
      <c r="AD555" s="1691"/>
      <c r="AE555" s="1695"/>
      <c r="AF555" s="1696"/>
      <c r="AG555" s="1696"/>
      <c r="AH555" s="1697"/>
      <c r="AI555" s="1692"/>
      <c r="AJ555" s="1693"/>
      <c r="AK555" s="1693"/>
      <c r="AL555" s="1694"/>
      <c r="AM555" s="1667">
        <v>15313873</v>
      </c>
      <c r="AN555" s="1668"/>
      <c r="AO555" s="1668"/>
      <c r="AP555" s="1668"/>
      <c r="AQ555" s="1668"/>
      <c r="AR555" s="1668"/>
      <c r="AS555" s="1669"/>
      <c r="AT555" s="1148" t="str">
        <f t="shared" ref="AT555:AT561" si="0">IF(AND(NOT(C554=""),C555="",NOT(C556="")),"!","")</f>
        <v/>
      </c>
      <c r="AU555" s="1147"/>
      <c r="BB555" s="3"/>
      <c r="BC555" s="3"/>
      <c r="BD555" s="3"/>
      <c r="BE555" s="3"/>
      <c r="BF555" s="3"/>
      <c r="BG555" s="3"/>
      <c r="BH555" s="3"/>
      <c r="BI555" s="3"/>
    </row>
    <row r="556" spans="1:61" ht="13.05" customHeight="1">
      <c r="B556" s="52" t="s">
        <v>119</v>
      </c>
      <c r="C556" s="1690" t="s">
        <v>2714</v>
      </c>
      <c r="D556" s="1690"/>
      <c r="E556" s="1690"/>
      <c r="F556" s="1690"/>
      <c r="G556" s="1690"/>
      <c r="H556" s="1690"/>
      <c r="I556" s="1690"/>
      <c r="J556" s="1690"/>
      <c r="K556" s="1690"/>
      <c r="L556" s="1690"/>
      <c r="M556" s="1689" t="s">
        <v>2110</v>
      </c>
      <c r="N556" s="1689"/>
      <c r="O556" s="1689"/>
      <c r="P556" s="1689"/>
      <c r="Q556" s="1505"/>
      <c r="R556" s="1506"/>
      <c r="S556" s="1507"/>
      <c r="T556" s="1505"/>
      <c r="U556" s="1506"/>
      <c r="V556" s="1507"/>
      <c r="W556" s="1508"/>
      <c r="X556" s="1509"/>
      <c r="Y556" s="1510"/>
      <c r="Z556" s="1691" t="s">
        <v>2722</v>
      </c>
      <c r="AA556" s="1691"/>
      <c r="AB556" s="1691"/>
      <c r="AC556" s="1691"/>
      <c r="AD556" s="1691"/>
      <c r="AE556" s="1695"/>
      <c r="AF556" s="1696"/>
      <c r="AG556" s="1696"/>
      <c r="AH556" s="1697"/>
      <c r="AI556" s="1692"/>
      <c r="AJ556" s="1693"/>
      <c r="AK556" s="1693"/>
      <c r="AL556" s="1694"/>
      <c r="AM556" s="1667">
        <v>3826710</v>
      </c>
      <c r="AN556" s="1668"/>
      <c r="AO556" s="1668"/>
      <c r="AP556" s="1668"/>
      <c r="AQ556" s="1668"/>
      <c r="AR556" s="1668"/>
      <c r="AS556" s="1669"/>
      <c r="AT556" s="1148" t="str">
        <f t="shared" si="0"/>
        <v/>
      </c>
      <c r="AU556" s="1147"/>
      <c r="BB556" s="3"/>
      <c r="BC556" s="3"/>
      <c r="BD556" s="3"/>
      <c r="BE556" s="3"/>
      <c r="BF556" s="3"/>
      <c r="BG556" s="3"/>
      <c r="BH556" s="3"/>
      <c r="BI556" s="3"/>
    </row>
    <row r="557" spans="1:61" ht="13.05" customHeight="1">
      <c r="B557" s="52" t="s">
        <v>581</v>
      </c>
      <c r="C557" s="1690" t="s">
        <v>2715</v>
      </c>
      <c r="D557" s="1690"/>
      <c r="E557" s="1690"/>
      <c r="F557" s="1690"/>
      <c r="G557" s="1690"/>
      <c r="H557" s="1690"/>
      <c r="I557" s="1690"/>
      <c r="J557" s="1690"/>
      <c r="K557" s="1690"/>
      <c r="L557" s="1690"/>
      <c r="M557" s="1689" t="s">
        <v>2110</v>
      </c>
      <c r="N557" s="1689"/>
      <c r="O557" s="1689"/>
      <c r="P557" s="1689"/>
      <c r="Q557" s="1505"/>
      <c r="R557" s="1506"/>
      <c r="S557" s="1507"/>
      <c r="T557" s="1505"/>
      <c r="U557" s="1506"/>
      <c r="V557" s="1507"/>
      <c r="W557" s="1508"/>
      <c r="X557" s="1509"/>
      <c r="Y557" s="1510"/>
      <c r="Z557" s="1691" t="s">
        <v>1184</v>
      </c>
      <c r="AA557" s="1691"/>
      <c r="AB557" s="1691"/>
      <c r="AC557" s="1691"/>
      <c r="AD557" s="1691"/>
      <c r="AE557" s="1695"/>
      <c r="AF557" s="1696"/>
      <c r="AG557" s="1696"/>
      <c r="AH557" s="1697"/>
      <c r="AI557" s="1692"/>
      <c r="AJ557" s="1693"/>
      <c r="AK557" s="1693"/>
      <c r="AL557" s="1694"/>
      <c r="AM557" s="1667">
        <v>2779137</v>
      </c>
      <c r="AN557" s="1668"/>
      <c r="AO557" s="1668"/>
      <c r="AP557" s="1668"/>
      <c r="AQ557" s="1668"/>
      <c r="AR557" s="1668"/>
      <c r="AS557" s="1669"/>
      <c r="AT557" s="1148" t="str">
        <f t="shared" si="0"/>
        <v/>
      </c>
      <c r="AU557" s="1147"/>
      <c r="BB557" s="3"/>
      <c r="BC557" s="3"/>
      <c r="BD557" s="3"/>
      <c r="BE557" s="3"/>
      <c r="BF557" s="3"/>
      <c r="BG557" s="3"/>
      <c r="BH557" s="3"/>
      <c r="BI557" s="3"/>
    </row>
    <row r="558" spans="1:61" ht="13.05" customHeight="1">
      <c r="B558" s="52" t="s">
        <v>763</v>
      </c>
      <c r="C558" s="1690" t="s">
        <v>2716</v>
      </c>
      <c r="D558" s="1690"/>
      <c r="E558" s="1690"/>
      <c r="F558" s="1690"/>
      <c r="G558" s="1690"/>
      <c r="H558" s="1690"/>
      <c r="I558" s="1690"/>
      <c r="J558" s="1690"/>
      <c r="K558" s="1690"/>
      <c r="L558" s="1690"/>
      <c r="M558" s="1689" t="s">
        <v>2105</v>
      </c>
      <c r="N558" s="1689"/>
      <c r="O558" s="1689"/>
      <c r="P558" s="1689"/>
      <c r="Q558" s="1505"/>
      <c r="R558" s="1506"/>
      <c r="S558" s="1507"/>
      <c r="T558" s="1505"/>
      <c r="U558" s="1506"/>
      <c r="V558" s="1507"/>
      <c r="W558" s="1508"/>
      <c r="X558" s="1509"/>
      <c r="Y558" s="1510"/>
      <c r="Z558" s="1691" t="s">
        <v>1184</v>
      </c>
      <c r="AA558" s="1691"/>
      <c r="AB558" s="1691"/>
      <c r="AC558" s="1691"/>
      <c r="AD558" s="1691"/>
      <c r="AE558" s="1695"/>
      <c r="AF558" s="1696"/>
      <c r="AG558" s="1696"/>
      <c r="AH558" s="1697"/>
      <c r="AI558" s="1692"/>
      <c r="AJ558" s="1693"/>
      <c r="AK558" s="1693"/>
      <c r="AL558" s="1694"/>
      <c r="AM558" s="1667">
        <v>4156247</v>
      </c>
      <c r="AN558" s="1668"/>
      <c r="AO558" s="1668"/>
      <c r="AP558" s="1668"/>
      <c r="AQ558" s="1668"/>
      <c r="AR558" s="1668"/>
      <c r="AS558" s="1669"/>
      <c r="AT558" s="1148" t="str">
        <f t="shared" si="0"/>
        <v/>
      </c>
      <c r="AU558" s="1147"/>
      <c r="BB558" s="3"/>
      <c r="BC558" s="3"/>
      <c r="BD558" s="3"/>
      <c r="BE558" s="3"/>
      <c r="BF558" s="3"/>
      <c r="BG558" s="3"/>
      <c r="BH558" s="3" t="s">
        <v>763</v>
      </c>
      <c r="BI558" s="3" t="str">
        <f>N665</f>
        <v>No</v>
      </c>
    </row>
    <row r="559" spans="1:61" ht="13.05" customHeight="1">
      <c r="B559" s="52" t="s">
        <v>584</v>
      </c>
      <c r="C559" s="1832"/>
      <c r="D559" s="1833"/>
      <c r="E559" s="1833"/>
      <c r="F559" s="1833"/>
      <c r="G559" s="1833"/>
      <c r="H559" s="1833"/>
      <c r="I559" s="1833"/>
      <c r="J559" s="1833"/>
      <c r="K559" s="1833"/>
      <c r="L559" s="1834"/>
      <c r="M559" s="1689" t="s">
        <v>1184</v>
      </c>
      <c r="N559" s="1689"/>
      <c r="O559" s="1689"/>
      <c r="P559" s="1689"/>
      <c r="Q559" s="1505"/>
      <c r="R559" s="1506"/>
      <c r="S559" s="1507"/>
      <c r="T559" s="1505"/>
      <c r="U559" s="1506"/>
      <c r="V559" s="1507"/>
      <c r="W559" s="1508"/>
      <c r="X559" s="1509"/>
      <c r="Y559" s="1510"/>
      <c r="Z559" s="1691" t="s">
        <v>1184</v>
      </c>
      <c r="AA559" s="1691"/>
      <c r="AB559" s="1691"/>
      <c r="AC559" s="1691"/>
      <c r="AD559" s="1691"/>
      <c r="AE559" s="1695"/>
      <c r="AF559" s="1696"/>
      <c r="AG559" s="1696"/>
      <c r="AH559" s="1697"/>
      <c r="AI559" s="1692"/>
      <c r="AJ559" s="1693"/>
      <c r="AK559" s="1693"/>
      <c r="AL559" s="1694"/>
      <c r="AM559" s="1667"/>
      <c r="AN559" s="1668"/>
      <c r="AO559" s="1668"/>
      <c r="AP559" s="1668"/>
      <c r="AQ559" s="1668"/>
      <c r="AR559" s="1668"/>
      <c r="AS559" s="1669"/>
      <c r="AT559" s="1148" t="str">
        <f t="shared" si="0"/>
        <v/>
      </c>
      <c r="AU559" s="1147"/>
      <c r="BB559" s="3"/>
      <c r="BC559" s="3"/>
      <c r="BD559" s="3"/>
      <c r="BE559" s="3"/>
      <c r="BF559" s="3"/>
      <c r="BG559" s="3"/>
      <c r="BH559" s="3" t="s">
        <v>584</v>
      </c>
      <c r="BI559" s="3" t="str">
        <f>AG665</f>
        <v>No</v>
      </c>
    </row>
    <row r="560" spans="1:61" ht="13.05" customHeight="1">
      <c r="B560" s="52" t="s">
        <v>455</v>
      </c>
      <c r="C560" s="1690"/>
      <c r="D560" s="1690"/>
      <c r="E560" s="1690"/>
      <c r="F560" s="1690"/>
      <c r="G560" s="1690"/>
      <c r="H560" s="1690"/>
      <c r="I560" s="1690"/>
      <c r="J560" s="1690"/>
      <c r="K560" s="1690"/>
      <c r="L560" s="1690"/>
      <c r="M560" s="1689" t="s">
        <v>1184</v>
      </c>
      <c r="N560" s="1689"/>
      <c r="O560" s="1689"/>
      <c r="P560" s="1689"/>
      <c r="Q560" s="1505"/>
      <c r="R560" s="1506"/>
      <c r="S560" s="1507"/>
      <c r="T560" s="1505"/>
      <c r="U560" s="1506"/>
      <c r="V560" s="1507"/>
      <c r="W560" s="1508"/>
      <c r="X560" s="1509"/>
      <c r="Y560" s="1510"/>
      <c r="Z560" s="1691" t="s">
        <v>1184</v>
      </c>
      <c r="AA560" s="1691"/>
      <c r="AB560" s="1691"/>
      <c r="AC560" s="1691"/>
      <c r="AD560" s="1691"/>
      <c r="AE560" s="1695"/>
      <c r="AF560" s="1696"/>
      <c r="AG560" s="1696"/>
      <c r="AH560" s="1697"/>
      <c r="AI560" s="1692"/>
      <c r="AJ560" s="1693"/>
      <c r="AK560" s="1693"/>
      <c r="AL560" s="1694"/>
      <c r="AM560" s="1667"/>
      <c r="AN560" s="1668"/>
      <c r="AO560" s="1668"/>
      <c r="AP560" s="1668"/>
      <c r="AQ560" s="1668"/>
      <c r="AR560" s="1668"/>
      <c r="AS560" s="1669"/>
      <c r="AT560" s="1148" t="str">
        <f t="shared" si="0"/>
        <v/>
      </c>
      <c r="AU560" s="1147"/>
      <c r="BB560" s="3"/>
      <c r="BC560" s="3"/>
      <c r="BD560" s="3"/>
      <c r="BE560" s="3"/>
      <c r="BF560" s="3"/>
      <c r="BG560" s="3"/>
      <c r="BH560" s="3"/>
      <c r="BI560" s="3"/>
    </row>
    <row r="561" spans="1:61" ht="13.05" customHeight="1">
      <c r="B561" s="52" t="s">
        <v>456</v>
      </c>
      <c r="C561" s="1690"/>
      <c r="D561" s="1690"/>
      <c r="E561" s="1690"/>
      <c r="F561" s="1690"/>
      <c r="G561" s="1690"/>
      <c r="H561" s="1690"/>
      <c r="I561" s="1690"/>
      <c r="J561" s="1690"/>
      <c r="K561" s="1690"/>
      <c r="L561" s="1690"/>
      <c r="M561" s="1689" t="s">
        <v>1184</v>
      </c>
      <c r="N561" s="1689"/>
      <c r="O561" s="1689"/>
      <c r="P561" s="1689"/>
      <c r="Q561" s="1505"/>
      <c r="R561" s="1506"/>
      <c r="S561" s="1507"/>
      <c r="T561" s="1505"/>
      <c r="U561" s="1506"/>
      <c r="V561" s="1507"/>
      <c r="W561" s="1508"/>
      <c r="X561" s="1509"/>
      <c r="Y561" s="1510"/>
      <c r="Z561" s="1691" t="s">
        <v>1184</v>
      </c>
      <c r="AA561" s="1691"/>
      <c r="AB561" s="1691"/>
      <c r="AC561" s="1691"/>
      <c r="AD561" s="1691"/>
      <c r="AE561" s="1695"/>
      <c r="AF561" s="1696"/>
      <c r="AG561" s="1696"/>
      <c r="AH561" s="1697"/>
      <c r="AI561" s="1692"/>
      <c r="AJ561" s="1693"/>
      <c r="AK561" s="1693"/>
      <c r="AL561" s="1694"/>
      <c r="AM561" s="1667"/>
      <c r="AN561" s="1668"/>
      <c r="AO561" s="1668"/>
      <c r="AP561" s="1668"/>
      <c r="AQ561" s="1668"/>
      <c r="AR561" s="1668"/>
      <c r="AS561" s="1669"/>
      <c r="AT561" s="1148" t="str">
        <f t="shared" si="0"/>
        <v/>
      </c>
      <c r="AU561" s="1147"/>
      <c r="BB561" s="3"/>
      <c r="BC561" s="3"/>
      <c r="BD561" s="3"/>
      <c r="BE561" s="3"/>
      <c r="BF561" s="3"/>
      <c r="BG561" s="3"/>
      <c r="BH561" s="3"/>
      <c r="BI561" s="3"/>
    </row>
    <row r="562" spans="1:61" ht="13.05" customHeight="1">
      <c r="B562" s="52" t="s">
        <v>461</v>
      </c>
      <c r="C562" s="1690"/>
      <c r="D562" s="1690"/>
      <c r="E562" s="1690"/>
      <c r="F562" s="1690"/>
      <c r="G562" s="1690"/>
      <c r="H562" s="1690"/>
      <c r="I562" s="1690"/>
      <c r="J562" s="1690"/>
      <c r="K562" s="1690"/>
      <c r="L562" s="1690"/>
      <c r="M562" s="1689" t="s">
        <v>1184</v>
      </c>
      <c r="N562" s="1689"/>
      <c r="O562" s="1689"/>
      <c r="P562" s="1689"/>
      <c r="Q562" s="1505"/>
      <c r="R562" s="1506"/>
      <c r="S562" s="1507"/>
      <c r="T562" s="1505"/>
      <c r="U562" s="1506"/>
      <c r="V562" s="1507"/>
      <c r="W562" s="1508"/>
      <c r="X562" s="1509"/>
      <c r="Y562" s="1510"/>
      <c r="Z562" s="1691" t="s">
        <v>1184</v>
      </c>
      <c r="AA562" s="1691"/>
      <c r="AB562" s="1691"/>
      <c r="AC562" s="1691"/>
      <c r="AD562" s="1691"/>
      <c r="AE562" s="1695"/>
      <c r="AF562" s="1696"/>
      <c r="AG562" s="1696"/>
      <c r="AH562" s="1697"/>
      <c r="AI562" s="1692"/>
      <c r="AJ562" s="1693"/>
      <c r="AK562" s="1693"/>
      <c r="AL562" s="1694"/>
      <c r="AM562" s="1667"/>
      <c r="AN562" s="1668"/>
      <c r="AO562" s="1668"/>
      <c r="AP562" s="1668"/>
      <c r="AQ562" s="1668"/>
      <c r="AR562" s="1668"/>
      <c r="AS562" s="1669"/>
      <c r="AT562" s="1148" t="str">
        <f t="shared" ref="AT562:AT565" si="1">IF(AND(NOT(C561=""),C562="",NOT(C563="")),"!","")</f>
        <v/>
      </c>
      <c r="AU562" s="1147"/>
      <c r="BB562" s="3"/>
      <c r="BC562" s="3"/>
      <c r="BD562" s="3"/>
      <c r="BE562" s="3"/>
      <c r="BF562" s="3"/>
      <c r="BG562" s="3"/>
      <c r="BH562" s="3"/>
      <c r="BI562" s="3"/>
    </row>
    <row r="563" spans="1:61" ht="13.05" customHeight="1">
      <c r="B563" s="52" t="s">
        <v>646</v>
      </c>
      <c r="C563" s="1690"/>
      <c r="D563" s="1690"/>
      <c r="E563" s="1690"/>
      <c r="F563" s="1690"/>
      <c r="G563" s="1690"/>
      <c r="H563" s="1690"/>
      <c r="I563" s="1690"/>
      <c r="J563" s="1690"/>
      <c r="K563" s="1690"/>
      <c r="L563" s="1690"/>
      <c r="M563" s="1689" t="s">
        <v>1184</v>
      </c>
      <c r="N563" s="1689"/>
      <c r="O563" s="1689"/>
      <c r="P563" s="1689"/>
      <c r="Q563" s="1505"/>
      <c r="R563" s="1506"/>
      <c r="S563" s="1507"/>
      <c r="T563" s="1505"/>
      <c r="U563" s="1506"/>
      <c r="V563" s="1507"/>
      <c r="W563" s="1508"/>
      <c r="X563" s="1509"/>
      <c r="Y563" s="1510"/>
      <c r="Z563" s="1691" t="s">
        <v>1184</v>
      </c>
      <c r="AA563" s="1691"/>
      <c r="AB563" s="1691"/>
      <c r="AC563" s="1691"/>
      <c r="AD563" s="1691"/>
      <c r="AE563" s="1695"/>
      <c r="AF563" s="1696"/>
      <c r="AG563" s="1696"/>
      <c r="AH563" s="1697"/>
      <c r="AI563" s="1692"/>
      <c r="AJ563" s="1693"/>
      <c r="AK563" s="1693"/>
      <c r="AL563" s="1694"/>
      <c r="AM563" s="1667"/>
      <c r="AN563" s="1668"/>
      <c r="AO563" s="1668"/>
      <c r="AP563" s="1668"/>
      <c r="AQ563" s="1668"/>
      <c r="AR563" s="1668"/>
      <c r="AS563" s="1669"/>
      <c r="AT563" s="1148" t="str">
        <f t="shared" si="1"/>
        <v/>
      </c>
      <c r="BB563" s="3"/>
      <c r="BC563" s="3"/>
      <c r="BD563" s="3"/>
      <c r="BE563" s="3"/>
      <c r="BF563" s="3"/>
      <c r="BG563" s="3"/>
      <c r="BH563" s="3"/>
      <c r="BI563" s="3"/>
    </row>
    <row r="564" spans="1:61" ht="13.05" customHeight="1">
      <c r="B564" s="52" t="s">
        <v>362</v>
      </c>
      <c r="C564" s="1690"/>
      <c r="D564" s="1690"/>
      <c r="E564" s="1690"/>
      <c r="F564" s="1690"/>
      <c r="G564" s="1690"/>
      <c r="H564" s="1690"/>
      <c r="I564" s="1690"/>
      <c r="J564" s="1690"/>
      <c r="K564" s="1690"/>
      <c r="L564" s="1690"/>
      <c r="M564" s="1689" t="s">
        <v>1184</v>
      </c>
      <c r="N564" s="1689"/>
      <c r="O564" s="1689"/>
      <c r="P564" s="1689"/>
      <c r="Q564" s="1505"/>
      <c r="R564" s="1506"/>
      <c r="S564" s="1507"/>
      <c r="T564" s="1505"/>
      <c r="U564" s="1506"/>
      <c r="V564" s="1507"/>
      <c r="W564" s="1508"/>
      <c r="X564" s="1509"/>
      <c r="Y564" s="1510"/>
      <c r="Z564" s="1691" t="s">
        <v>1184</v>
      </c>
      <c r="AA564" s="1691"/>
      <c r="AB564" s="1691"/>
      <c r="AC564" s="1691"/>
      <c r="AD564" s="1691"/>
      <c r="AE564" s="1695"/>
      <c r="AF564" s="1696"/>
      <c r="AG564" s="1696"/>
      <c r="AH564" s="1697"/>
      <c r="AI564" s="1692"/>
      <c r="AJ564" s="1693"/>
      <c r="AK564" s="1693"/>
      <c r="AL564" s="1694"/>
      <c r="AM564" s="1667"/>
      <c r="AN564" s="1668"/>
      <c r="AO564" s="1668"/>
      <c r="AP564" s="1668"/>
      <c r="AQ564" s="1668"/>
      <c r="AR564" s="1668"/>
      <c r="AS564" s="1669"/>
      <c r="AT564" s="1148" t="str">
        <f t="shared" si="1"/>
        <v/>
      </c>
      <c r="BB564" s="3"/>
      <c r="BC564" s="3"/>
      <c r="BD564" s="3"/>
      <c r="BE564" s="3"/>
      <c r="BF564" s="3"/>
      <c r="BG564" s="3"/>
      <c r="BH564" s="3"/>
      <c r="BI564" s="3"/>
    </row>
    <row r="565" spans="1:61" ht="13.05" customHeight="1">
      <c r="B565" s="52" t="s">
        <v>363</v>
      </c>
      <c r="C565" s="1690"/>
      <c r="D565" s="1690"/>
      <c r="E565" s="1690"/>
      <c r="F565" s="1690"/>
      <c r="G565" s="1690"/>
      <c r="H565" s="1690"/>
      <c r="I565" s="1690"/>
      <c r="J565" s="1690"/>
      <c r="K565" s="1690"/>
      <c r="L565" s="1690"/>
      <c r="M565" s="1689" t="s">
        <v>1184</v>
      </c>
      <c r="N565" s="1689"/>
      <c r="O565" s="1689"/>
      <c r="P565" s="1689"/>
      <c r="Q565" s="1505"/>
      <c r="R565" s="1506"/>
      <c r="S565" s="1507"/>
      <c r="T565" s="1505"/>
      <c r="U565" s="1506"/>
      <c r="V565" s="1507"/>
      <c r="W565" s="1508"/>
      <c r="X565" s="1509"/>
      <c r="Y565" s="1510"/>
      <c r="Z565" s="1691" t="s">
        <v>1184</v>
      </c>
      <c r="AA565" s="1691"/>
      <c r="AB565" s="1691"/>
      <c r="AC565" s="1691"/>
      <c r="AD565" s="1691"/>
      <c r="AE565" s="1695"/>
      <c r="AF565" s="1696"/>
      <c r="AG565" s="1696"/>
      <c r="AH565" s="1697"/>
      <c r="AI565" s="1692"/>
      <c r="AJ565" s="1693"/>
      <c r="AK565" s="1693"/>
      <c r="AL565" s="1694"/>
      <c r="AM565" s="1667"/>
      <c r="AN565" s="1668"/>
      <c r="AO565" s="1668"/>
      <c r="AP565" s="1668"/>
      <c r="AQ565" s="1668"/>
      <c r="AR565" s="1668"/>
      <c r="AS565" s="1669"/>
      <c r="AT565" s="1148" t="str">
        <f t="shared" si="1"/>
        <v/>
      </c>
      <c r="BB565" s="3"/>
      <c r="BC565" s="3"/>
      <c r="BD565" s="3"/>
      <c r="BE565" s="3"/>
      <c r="BF565" s="3"/>
      <c r="BG565" s="3"/>
      <c r="BH565" s="3"/>
      <c r="BI565" s="3"/>
    </row>
    <row r="566" spans="1:61" ht="13.05" customHeight="1">
      <c r="B566" s="1502" t="s">
        <v>127</v>
      </c>
      <c r="C566" s="1503"/>
      <c r="D566" s="1503"/>
      <c r="E566" s="1503"/>
      <c r="F566" s="1503"/>
      <c r="G566" s="1503"/>
      <c r="H566" s="1503"/>
      <c r="I566" s="1503"/>
      <c r="J566" s="1503"/>
      <c r="K566" s="1503"/>
      <c r="L566" s="1503"/>
      <c r="M566" s="1503"/>
      <c r="N566" s="1503"/>
      <c r="O566" s="1503"/>
      <c r="P566" s="1503"/>
      <c r="Q566" s="1503"/>
      <c r="R566" s="1503"/>
      <c r="S566" s="1503"/>
      <c r="T566" s="1503"/>
      <c r="U566" s="1678"/>
      <c r="V566" s="1503"/>
      <c r="W566" s="1503"/>
      <c r="X566" s="1503"/>
      <c r="Y566" s="1503"/>
      <c r="Z566" s="1503"/>
      <c r="AA566" s="1503"/>
      <c r="AB566" s="1503"/>
      <c r="AC566" s="1503"/>
      <c r="AD566" s="1503"/>
      <c r="AE566" s="1503"/>
      <c r="AF566" s="1503"/>
      <c r="AG566" s="1503"/>
      <c r="AH566" s="1503"/>
      <c r="AI566" s="1503"/>
      <c r="AJ566" s="1503"/>
      <c r="AK566" s="1503"/>
      <c r="AL566" s="1504"/>
      <c r="AM566" s="1614">
        <f>SUM(AM554:AS565)</f>
        <v>36575967</v>
      </c>
      <c r="AN566" s="1615"/>
      <c r="AO566" s="1615"/>
      <c r="AP566" s="1615"/>
      <c r="AQ566" s="1615"/>
      <c r="AR566" s="1615"/>
      <c r="AS566" s="1616"/>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16" t="str">
        <f>C554</f>
        <v>CitiBank Construction Loan (Tax- Exempt)</v>
      </c>
      <c r="H568" s="1416"/>
      <c r="I568" s="1416"/>
      <c r="J568" s="1416"/>
      <c r="K568" s="1416"/>
      <c r="L568" s="1416"/>
      <c r="M568" s="1416"/>
      <c r="N568" s="1416"/>
      <c r="O568" s="1416"/>
      <c r="P568" s="1416"/>
      <c r="Q568" s="1416"/>
      <c r="R568" s="1416"/>
      <c r="S568" s="8"/>
      <c r="T568" s="55" t="s">
        <v>113</v>
      </c>
      <c r="U568" t="s">
        <v>463</v>
      </c>
      <c r="Z568" s="1416" t="str">
        <f>C555</f>
        <v xml:space="preserve">CitiBank Construction Loan (Taxable) </v>
      </c>
      <c r="AA568" s="1416"/>
      <c r="AB568" s="1416"/>
      <c r="AC568" s="1416"/>
      <c r="AD568" s="1416"/>
      <c r="AE568" s="1416"/>
      <c r="AF568" s="1416"/>
      <c r="AG568" s="1416"/>
      <c r="AH568" s="1416"/>
      <c r="AI568" s="1416"/>
      <c r="AJ568" s="1416"/>
      <c r="AK568" s="1416"/>
      <c r="BB568" s="3"/>
      <c r="BC568" s="3"/>
      <c r="BD568" s="3"/>
      <c r="BE568" s="3"/>
      <c r="BF568" s="3"/>
      <c r="BG568" s="3"/>
      <c r="BH568" s="3"/>
      <c r="BI568" s="3"/>
    </row>
    <row r="569" spans="1:61" ht="13.05" customHeight="1">
      <c r="A569" s="22"/>
      <c r="B569" t="s">
        <v>85</v>
      </c>
      <c r="G569" s="1362" t="s">
        <v>2717</v>
      </c>
      <c r="H569" s="1362"/>
      <c r="I569" s="1362"/>
      <c r="J569" s="1362"/>
      <c r="K569" s="1362"/>
      <c r="L569" s="1362"/>
      <c r="M569" s="1362"/>
      <c r="N569" s="1362"/>
      <c r="O569" s="1362"/>
      <c r="P569" s="1362"/>
      <c r="Q569" s="1362"/>
      <c r="R569" s="1362"/>
      <c r="S569" s="8"/>
      <c r="T569" s="22"/>
      <c r="U569" t="s">
        <v>85</v>
      </c>
      <c r="Z569" s="1362" t="s">
        <v>2717</v>
      </c>
      <c r="AA569" s="1362"/>
      <c r="AB569" s="1362"/>
      <c r="AC569" s="1362"/>
      <c r="AD569" s="1362"/>
      <c r="AE569" s="1362"/>
      <c r="AF569" s="1362"/>
      <c r="AG569" s="1362"/>
      <c r="AH569" s="1362"/>
      <c r="AI569" s="1362"/>
      <c r="AJ569" s="1362"/>
      <c r="AK569" s="1362"/>
      <c r="BB569" s="3"/>
      <c r="BC569" s="3"/>
      <c r="BD569" s="3"/>
      <c r="BE569" s="3"/>
      <c r="BF569" s="3"/>
      <c r="BG569" s="3"/>
      <c r="BH569" s="3"/>
      <c r="BI569" s="3"/>
    </row>
    <row r="570" spans="1:61" ht="13.05" customHeight="1">
      <c r="A570" s="22"/>
      <c r="B570" t="s">
        <v>580</v>
      </c>
      <c r="G570" s="1362" t="s">
        <v>2718</v>
      </c>
      <c r="H570" s="1362"/>
      <c r="I570" s="1362"/>
      <c r="J570" s="1362"/>
      <c r="K570" s="1362"/>
      <c r="L570" s="1362"/>
      <c r="M570" s="1362"/>
      <c r="N570" s="1362"/>
      <c r="O570" s="1362"/>
      <c r="P570" s="1362"/>
      <c r="Q570" s="1362"/>
      <c r="R570" s="1362"/>
      <c r="T570" s="22"/>
      <c r="U570" t="s">
        <v>580</v>
      </c>
      <c r="Z570" s="1511" t="s">
        <v>2718</v>
      </c>
      <c r="AA570" s="1511"/>
      <c r="AB570" s="1511"/>
      <c r="AC570" s="1511"/>
      <c r="AD570" s="1511"/>
      <c r="AE570" s="1511"/>
      <c r="AF570" s="1511"/>
      <c r="AG570" s="1511"/>
      <c r="AH570" s="1511"/>
      <c r="AI570" s="1511"/>
      <c r="AJ570" s="1511"/>
      <c r="AK570" s="1511"/>
      <c r="BB570" s="3"/>
      <c r="BC570" s="3"/>
      <c r="BD570" s="3"/>
      <c r="BE570" s="3"/>
      <c r="BF570" s="3"/>
      <c r="BG570" s="3"/>
      <c r="BH570" s="3"/>
      <c r="BI570" s="3"/>
    </row>
    <row r="571" spans="1:61" ht="13.05" customHeight="1">
      <c r="A571" s="22"/>
      <c r="B571" t="s">
        <v>17</v>
      </c>
      <c r="G571" s="1362" t="s">
        <v>2719</v>
      </c>
      <c r="H571" s="1362"/>
      <c r="I571" s="1362"/>
      <c r="J571" s="1362"/>
      <c r="K571" s="1362"/>
      <c r="L571" s="1362"/>
      <c r="M571" s="1362"/>
      <c r="N571" s="1362"/>
      <c r="O571" s="1362"/>
      <c r="P571" s="1362"/>
      <c r="Q571" s="1362"/>
      <c r="R571" s="1362"/>
      <c r="S571" s="8"/>
      <c r="T571" s="22"/>
      <c r="U571" t="s">
        <v>17</v>
      </c>
      <c r="Z571" s="1511" t="s">
        <v>2719</v>
      </c>
      <c r="AA571" s="1511"/>
      <c r="AB571" s="1511"/>
      <c r="AC571" s="1511"/>
      <c r="AD571" s="1511"/>
      <c r="AE571" s="1511"/>
      <c r="AF571" s="1511"/>
      <c r="AG571" s="1511"/>
      <c r="AH571" s="1511"/>
      <c r="AI571" s="1511"/>
      <c r="AJ571" s="1511"/>
      <c r="AK571" s="1511"/>
      <c r="BB571" s="3"/>
      <c r="BC571" s="3"/>
      <c r="BD571" s="3"/>
      <c r="BE571" s="3"/>
      <c r="BF571" s="3"/>
      <c r="BG571" s="3"/>
      <c r="BH571" s="3"/>
      <c r="BI571" s="3"/>
    </row>
    <row r="572" spans="1:61" ht="13.05" customHeight="1">
      <c r="A572" s="22"/>
      <c r="B572" t="s">
        <v>316</v>
      </c>
      <c r="G572" s="1417">
        <v>2122391914</v>
      </c>
      <c r="H572" s="1417"/>
      <c r="I572" s="1417"/>
      <c r="J572" s="1417"/>
      <c r="K572" s="1417"/>
      <c r="L572" s="1417"/>
      <c r="O572" s="33" t="s">
        <v>206</v>
      </c>
      <c r="P572" s="1494"/>
      <c r="Q572" s="1494"/>
      <c r="R572" s="1494"/>
      <c r="S572" s="10"/>
      <c r="T572" s="22"/>
      <c r="U572" t="s">
        <v>316</v>
      </c>
      <c r="Z572" s="1417">
        <v>2122391914</v>
      </c>
      <c r="AA572" s="1417"/>
      <c r="AB572" s="1417"/>
      <c r="AC572" s="1417"/>
      <c r="AD572" s="1417"/>
      <c r="AE572" s="1417"/>
      <c r="AH572" s="33" t="s">
        <v>206</v>
      </c>
      <c r="AI572" s="1494"/>
      <c r="AJ572" s="1494"/>
      <c r="AK572" s="1494"/>
      <c r="BB572" s="3"/>
      <c r="BC572" s="3"/>
      <c r="BD572" s="3"/>
      <c r="BE572" s="3"/>
      <c r="BF572" s="3"/>
      <c r="BG572" s="3"/>
      <c r="BH572" s="3"/>
      <c r="BI572" s="3"/>
    </row>
    <row r="573" spans="1:61" ht="13.05" customHeight="1">
      <c r="A573" s="22"/>
      <c r="B573" t="s">
        <v>18</v>
      </c>
      <c r="H573" s="1362" t="s">
        <v>2720</v>
      </c>
      <c r="I573" s="1362"/>
      <c r="J573" s="1362"/>
      <c r="K573" s="1362"/>
      <c r="L573" s="1362"/>
      <c r="M573" s="1362"/>
      <c r="N573" s="1362"/>
      <c r="O573" s="1362"/>
      <c r="P573" s="1362"/>
      <c r="Q573" s="1362"/>
      <c r="R573" s="1362"/>
      <c r="S573" s="8"/>
      <c r="T573" s="22"/>
      <c r="U573" t="s">
        <v>18</v>
      </c>
      <c r="AA573" s="1362" t="s">
        <v>2720</v>
      </c>
      <c r="AB573" s="1362"/>
      <c r="AC573" s="1362"/>
      <c r="AD573" s="1362"/>
      <c r="AE573" s="1362"/>
      <c r="AF573" s="1362"/>
      <c r="AG573" s="1362"/>
      <c r="AH573" s="1362"/>
      <c r="AI573" s="1362"/>
      <c r="AJ573" s="1362"/>
      <c r="AK573" s="1362"/>
      <c r="BB573" s="3"/>
      <c r="BC573" s="3"/>
      <c r="BD573" s="3"/>
      <c r="BE573" s="3"/>
      <c r="BF573" s="3"/>
      <c r="BG573" s="3"/>
      <c r="BH573" s="3"/>
      <c r="BI573" s="3"/>
    </row>
    <row r="574" spans="1:61" ht="13.05" customHeight="1">
      <c r="A574" s="22"/>
      <c r="B574" s="320" t="s">
        <v>1185</v>
      </c>
      <c r="H574" s="8"/>
      <c r="I574" s="8"/>
      <c r="J574" s="8"/>
      <c r="K574" s="8"/>
      <c r="L574" s="8"/>
      <c r="M574" s="1698"/>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3.05" customHeight="1">
      <c r="A575" s="22"/>
      <c r="B575" t="s">
        <v>20</v>
      </c>
      <c r="N575" s="1356" t="s">
        <v>545</v>
      </c>
      <c r="O575" s="1356"/>
      <c r="T575" s="22"/>
      <c r="U575" t="s">
        <v>20</v>
      </c>
      <c r="AG575" s="1356" t="s">
        <v>545</v>
      </c>
      <c r="AH575" s="1356"/>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16" t="str">
        <f>C556</f>
        <v>Federal LIHTC Equity</v>
      </c>
      <c r="H577" s="1416"/>
      <c r="I577" s="1416"/>
      <c r="J577" s="1416"/>
      <c r="K577" s="1416"/>
      <c r="L577" s="1416"/>
      <c r="M577" s="1416"/>
      <c r="N577" s="1416"/>
      <c r="O577" s="1416"/>
      <c r="P577" s="1416"/>
      <c r="Q577" s="1416"/>
      <c r="R577" s="1416"/>
      <c r="T577" s="55" t="s">
        <v>581</v>
      </c>
      <c r="U577" t="s">
        <v>463</v>
      </c>
      <c r="Z577" s="1416" t="str">
        <f>C557</f>
        <v>State LIHTC Equity</v>
      </c>
      <c r="AA577" s="1416"/>
      <c r="AB577" s="1416"/>
      <c r="AC577" s="1416"/>
      <c r="AD577" s="1416"/>
      <c r="AE577" s="1416"/>
      <c r="AF577" s="1416"/>
      <c r="AG577" s="1416"/>
      <c r="AH577" s="1416"/>
      <c r="AI577" s="1416"/>
      <c r="AJ577" s="1416"/>
      <c r="AK577" s="1416"/>
      <c r="BB577" s="3"/>
      <c r="BC577" s="3"/>
    </row>
    <row r="578" spans="1:55" ht="13.05" customHeight="1">
      <c r="A578" s="22"/>
      <c r="B578" t="s">
        <v>85</v>
      </c>
      <c r="G578" s="1362" t="str">
        <f>Z578</f>
        <v>895 Dove Street, Suite 450</v>
      </c>
      <c r="H578" s="1362"/>
      <c r="I578" s="1362"/>
      <c r="J578" s="1362"/>
      <c r="K578" s="1362"/>
      <c r="L578" s="1362"/>
      <c r="M578" s="1362"/>
      <c r="N578" s="1362"/>
      <c r="O578" s="1362"/>
      <c r="P578" s="1362"/>
      <c r="Q578" s="1362"/>
      <c r="R578" s="1362"/>
      <c r="T578" s="22"/>
      <c r="U578" t="s">
        <v>85</v>
      </c>
      <c r="Z578" s="1361" t="s">
        <v>2731</v>
      </c>
      <c r="AA578" s="1362"/>
      <c r="AB578" s="1362"/>
      <c r="AC578" s="1362"/>
      <c r="AD578" s="1362"/>
      <c r="AE578" s="1362"/>
      <c r="AF578" s="1362"/>
      <c r="AG578" s="1362"/>
      <c r="AH578" s="1362"/>
      <c r="AI578" s="1362"/>
      <c r="AJ578" s="1362"/>
      <c r="AK578" s="1362"/>
      <c r="BB578" s="3"/>
      <c r="BC578" s="3"/>
    </row>
    <row r="579" spans="1:55" ht="13.05" customHeight="1">
      <c r="A579" s="22"/>
      <c r="B579" t="s">
        <v>580</v>
      </c>
      <c r="G579" s="1511" t="str">
        <f>Z579</f>
        <v>Newport Beach, CA 92660</v>
      </c>
      <c r="H579" s="1511"/>
      <c r="I579" s="1511"/>
      <c r="J579" s="1511"/>
      <c r="K579" s="1511"/>
      <c r="L579" s="1511"/>
      <c r="M579" s="1511"/>
      <c r="N579" s="1511"/>
      <c r="O579" s="1511"/>
      <c r="P579" s="1511"/>
      <c r="Q579" s="1511"/>
      <c r="R579" s="1511"/>
      <c r="T579" s="22"/>
      <c r="U579" t="s">
        <v>580</v>
      </c>
      <c r="Z579" s="1556" t="s">
        <v>2733</v>
      </c>
      <c r="AA579" s="1511"/>
      <c r="AB579" s="1511"/>
      <c r="AC579" s="1511"/>
      <c r="AD579" s="1511"/>
      <c r="AE579" s="1511"/>
      <c r="AF579" s="1511"/>
      <c r="AG579" s="1511"/>
      <c r="AH579" s="1511"/>
      <c r="AI579" s="1511"/>
      <c r="AJ579" s="1511"/>
      <c r="AK579" s="1511"/>
      <c r="BB579" s="3"/>
      <c r="BC579" s="3"/>
    </row>
    <row r="580" spans="1:55" ht="13.05" customHeight="1">
      <c r="A580" s="22"/>
      <c r="B580" t="s">
        <v>17</v>
      </c>
      <c r="G580" s="1511" t="str">
        <f>Z580</f>
        <v xml:space="preserve">Corey Bannister </v>
      </c>
      <c r="H580" s="1511"/>
      <c r="I580" s="1511"/>
      <c r="J580" s="1511"/>
      <c r="K580" s="1511"/>
      <c r="L580" s="1511"/>
      <c r="M580" s="1511"/>
      <c r="N580" s="1511"/>
      <c r="O580" s="1511"/>
      <c r="P580" s="1511"/>
      <c r="Q580" s="1511"/>
      <c r="R580" s="1511"/>
      <c r="T580" s="22"/>
      <c r="U580" t="s">
        <v>17</v>
      </c>
      <c r="Z580" s="1556" t="s">
        <v>2734</v>
      </c>
      <c r="AA580" s="1511"/>
      <c r="AB580" s="1511"/>
      <c r="AC580" s="1511"/>
      <c r="AD580" s="1511"/>
      <c r="AE580" s="1511"/>
      <c r="AF580" s="1511"/>
      <c r="AG580" s="1511"/>
      <c r="AH580" s="1511"/>
      <c r="AI580" s="1511"/>
      <c r="AJ580" s="1511"/>
      <c r="AK580" s="1511"/>
      <c r="BB580" s="3"/>
      <c r="BC580" s="3"/>
    </row>
    <row r="581" spans="1:55" ht="13.05" customHeight="1">
      <c r="A581" s="22"/>
      <c r="B581" t="s">
        <v>316</v>
      </c>
      <c r="G581" s="1417" t="str">
        <f>Z581</f>
        <v xml:space="preserve">949-438-1056    
 </v>
      </c>
      <c r="H581" s="1417"/>
      <c r="I581" s="1417"/>
      <c r="J581" s="1417"/>
      <c r="K581" s="1417"/>
      <c r="L581" s="1417"/>
      <c r="O581" s="33" t="s">
        <v>206</v>
      </c>
      <c r="P581" s="1494"/>
      <c r="Q581" s="1494"/>
      <c r="R581" s="1494"/>
      <c r="T581" s="22"/>
      <c r="U581" t="s">
        <v>316</v>
      </c>
      <c r="Z581" s="1734" t="s">
        <v>2735</v>
      </c>
      <c r="AA581" s="1417"/>
      <c r="AB581" s="1417"/>
      <c r="AC581" s="1417"/>
      <c r="AD581" s="1417"/>
      <c r="AE581" s="1417"/>
      <c r="AH581" s="33" t="s">
        <v>206</v>
      </c>
      <c r="AI581" s="1494"/>
      <c r="AJ581" s="1494"/>
      <c r="AK581" s="1494"/>
      <c r="BB581" s="3"/>
      <c r="BC581" s="3"/>
    </row>
    <row r="582" spans="1:55" ht="13.05" customHeight="1">
      <c r="A582" s="22"/>
      <c r="B582" t="s">
        <v>18</v>
      </c>
      <c r="H582" s="1362" t="str">
        <f>AA582</f>
        <v>Equity, LIHTC Investor</v>
      </c>
      <c r="I582" s="1362"/>
      <c r="J582" s="1362"/>
      <c r="K582" s="1362"/>
      <c r="L582" s="1362"/>
      <c r="M582" s="1362"/>
      <c r="N582" s="1362"/>
      <c r="O582" s="1362"/>
      <c r="P582" s="1362"/>
      <c r="Q582" s="1362"/>
      <c r="R582" s="1362"/>
      <c r="T582" s="22"/>
      <c r="U582" t="s">
        <v>18</v>
      </c>
      <c r="AA582" s="1362" t="s">
        <v>2110</v>
      </c>
      <c r="AB582" s="1362"/>
      <c r="AC582" s="1362"/>
      <c r="AD582" s="1362"/>
      <c r="AE582" s="1362"/>
      <c r="AF582" s="1362"/>
      <c r="AG582" s="1362"/>
      <c r="AH582" s="1362"/>
      <c r="AI582" s="1362"/>
      <c r="AJ582" s="1362"/>
      <c r="AK582" s="1362"/>
      <c r="BB582" s="3"/>
      <c r="BC582" s="3"/>
    </row>
    <row r="583" spans="1:55" ht="13.05" customHeight="1">
      <c r="A583" s="22"/>
      <c r="B583" t="s">
        <v>20</v>
      </c>
      <c r="N583" s="1356" t="s">
        <v>545</v>
      </c>
      <c r="O583" s="1356"/>
      <c r="T583" s="22"/>
      <c r="U583" t="s">
        <v>20</v>
      </c>
      <c r="AG583" s="1356" t="s">
        <v>545</v>
      </c>
      <c r="AH583" s="1356"/>
      <c r="BB583" s="3"/>
      <c r="BC583" s="3"/>
    </row>
    <row r="584" spans="1:55" ht="13.05" customHeight="1">
      <c r="A584" s="22"/>
      <c r="T584" s="22"/>
      <c r="BB584" s="3"/>
      <c r="BC584" s="3"/>
    </row>
    <row r="585" spans="1:55" ht="13.05" customHeight="1">
      <c r="A585" s="55" t="s">
        <v>763</v>
      </c>
      <c r="B585" t="s">
        <v>463</v>
      </c>
      <c r="G585" s="1416" t="str">
        <f>C558</f>
        <v>Deferred Costs</v>
      </c>
      <c r="H585" s="1416"/>
      <c r="I585" s="1416"/>
      <c r="J585" s="1416"/>
      <c r="K585" s="1416"/>
      <c r="L585" s="1416"/>
      <c r="M585" s="1416"/>
      <c r="N585" s="1416"/>
      <c r="O585" s="1416"/>
      <c r="P585" s="1416"/>
      <c r="Q585" s="1416"/>
      <c r="R585" s="1416"/>
      <c r="T585" s="55" t="s">
        <v>584</v>
      </c>
      <c r="U585" t="s">
        <v>463</v>
      </c>
      <c r="Z585" s="1416">
        <f>C559</f>
        <v>0</v>
      </c>
      <c r="AA585" s="1416"/>
      <c r="AB585" s="1416"/>
      <c r="AC585" s="1416"/>
      <c r="AD585" s="1416"/>
      <c r="AE585" s="1416"/>
      <c r="AF585" s="1416"/>
      <c r="AG585" s="1416"/>
      <c r="AH585" s="1416"/>
      <c r="AI585" s="1416"/>
      <c r="AJ585" s="1416"/>
      <c r="AK585" s="1416"/>
      <c r="BB585" s="3"/>
      <c r="BC585" s="3"/>
    </row>
    <row r="586" spans="1:55" ht="13.05" customHeight="1">
      <c r="A586" s="22"/>
      <c r="B586" t="s">
        <v>85</v>
      </c>
      <c r="G586" s="1362" t="s">
        <v>2721</v>
      </c>
      <c r="H586" s="1362"/>
      <c r="I586" s="1362"/>
      <c r="J586" s="1362"/>
      <c r="K586" s="1362"/>
      <c r="L586" s="1362"/>
      <c r="M586" s="1362"/>
      <c r="N586" s="1362"/>
      <c r="O586" s="1362"/>
      <c r="P586" s="1362"/>
      <c r="Q586" s="1362"/>
      <c r="R586" s="1362"/>
      <c r="T586" s="22"/>
      <c r="U586" t="s">
        <v>85</v>
      </c>
      <c r="Z586" s="1362"/>
      <c r="AA586" s="1362"/>
      <c r="AB586" s="1362"/>
      <c r="AC586" s="1362"/>
      <c r="AD586" s="1362"/>
      <c r="AE586" s="1362"/>
      <c r="AF586" s="1362"/>
      <c r="AG586" s="1362"/>
      <c r="AH586" s="1362"/>
      <c r="AI586" s="1362"/>
      <c r="AJ586" s="1362"/>
      <c r="AK586" s="1362"/>
      <c r="BB586" s="3"/>
      <c r="BC586" s="3"/>
    </row>
    <row r="587" spans="1:55" ht="13.05" customHeight="1">
      <c r="A587" s="22"/>
      <c r="B587" t="s">
        <v>580</v>
      </c>
      <c r="G587" s="1362" t="s">
        <v>2644</v>
      </c>
      <c r="H587" s="1362"/>
      <c r="I587" s="1362"/>
      <c r="J587" s="1362"/>
      <c r="K587" s="1362"/>
      <c r="L587" s="1362"/>
      <c r="M587" s="1362"/>
      <c r="N587" s="1362"/>
      <c r="O587" s="1362"/>
      <c r="P587" s="1362"/>
      <c r="Q587" s="1362"/>
      <c r="R587" s="1362"/>
      <c r="T587" s="22"/>
      <c r="U587" t="s">
        <v>580</v>
      </c>
      <c r="Z587" s="1511"/>
      <c r="AA587" s="1511"/>
      <c r="AB587" s="1511"/>
      <c r="AC587" s="1511"/>
      <c r="AD587" s="1511"/>
      <c r="AE587" s="1511"/>
      <c r="AF587" s="1511"/>
      <c r="AG587" s="1511"/>
      <c r="AH587" s="1511"/>
      <c r="AI587" s="1511"/>
      <c r="AJ587" s="1511"/>
      <c r="AK587" s="1511"/>
      <c r="BB587" s="3"/>
      <c r="BC587" s="3"/>
    </row>
    <row r="588" spans="1:55" ht="13.05" customHeight="1">
      <c r="A588" s="22"/>
      <c r="B588" t="s">
        <v>17</v>
      </c>
      <c r="G588" s="1362" t="s">
        <v>2626</v>
      </c>
      <c r="H588" s="1362"/>
      <c r="I588" s="1362"/>
      <c r="J588" s="1362"/>
      <c r="K588" s="1362"/>
      <c r="L588" s="1362"/>
      <c r="M588" s="1362"/>
      <c r="N588" s="1362"/>
      <c r="O588" s="1362"/>
      <c r="P588" s="1362"/>
      <c r="Q588" s="1362"/>
      <c r="R588" s="1362"/>
      <c r="T588" s="22"/>
      <c r="U588" t="s">
        <v>17</v>
      </c>
      <c r="Z588" s="1511"/>
      <c r="AA588" s="1511"/>
      <c r="AB588" s="1511"/>
      <c r="AC588" s="1511"/>
      <c r="AD588" s="1511"/>
      <c r="AE588" s="1511"/>
      <c r="AF588" s="1511"/>
      <c r="AG588" s="1511"/>
      <c r="AH588" s="1511"/>
      <c r="AI588" s="1511"/>
      <c r="AJ588" s="1511"/>
      <c r="AK588" s="1511"/>
    </row>
    <row r="589" spans="1:55" ht="13.05" customHeight="1">
      <c r="A589" s="22"/>
      <c r="B589" t="s">
        <v>316</v>
      </c>
      <c r="G589" s="1417">
        <v>2127761914</v>
      </c>
      <c r="H589" s="1417"/>
      <c r="I589" s="1417"/>
      <c r="J589" s="1417"/>
      <c r="K589" s="1417"/>
      <c r="L589" s="1417"/>
      <c r="O589" s="33" t="s">
        <v>206</v>
      </c>
      <c r="P589" s="1494"/>
      <c r="Q589" s="1494"/>
      <c r="R589" s="1494"/>
      <c r="T589" s="22"/>
      <c r="U589" t="s">
        <v>316</v>
      </c>
      <c r="Z589" s="1417"/>
      <c r="AA589" s="1417"/>
      <c r="AB589" s="1417"/>
      <c r="AC589" s="1417"/>
      <c r="AD589" s="1417"/>
      <c r="AE589" s="1417"/>
      <c r="AH589" s="33" t="s">
        <v>206</v>
      </c>
      <c r="AI589" s="1494"/>
      <c r="AJ589" s="1494"/>
      <c r="AK589" s="1494"/>
      <c r="AZ589" s="3"/>
      <c r="BA589" s="3"/>
      <c r="BB589" s="3"/>
      <c r="BC589" s="3"/>
    </row>
    <row r="590" spans="1:55" ht="13.05" customHeight="1">
      <c r="A590" s="22"/>
      <c r="B590" t="s">
        <v>18</v>
      </c>
      <c r="H590" s="1362" t="s">
        <v>2729</v>
      </c>
      <c r="I590" s="1362"/>
      <c r="J590" s="1362"/>
      <c r="K590" s="1362"/>
      <c r="L590" s="1362"/>
      <c r="M590" s="1362"/>
      <c r="N590" s="1362"/>
      <c r="O590" s="1362"/>
      <c r="P590" s="1362"/>
      <c r="Q590" s="1362"/>
      <c r="R590" s="1362"/>
      <c r="T590" s="22"/>
      <c r="U590" t="s">
        <v>18</v>
      </c>
      <c r="AA590" s="1362"/>
      <c r="AB590" s="1362"/>
      <c r="AC590" s="1362"/>
      <c r="AD590" s="1362"/>
      <c r="AE590" s="1362"/>
      <c r="AF590" s="1362"/>
      <c r="AG590" s="1362"/>
      <c r="AH590" s="1362"/>
      <c r="AI590" s="1362"/>
      <c r="AJ590" s="1362"/>
      <c r="AK590" s="1362"/>
      <c r="AZ590" s="3"/>
      <c r="BA590" s="3"/>
      <c r="BB590" s="3"/>
      <c r="BC590" s="3"/>
    </row>
    <row r="591" spans="1:55" ht="13.05" customHeight="1">
      <c r="A591" s="22"/>
      <c r="B591" t="s">
        <v>20</v>
      </c>
      <c r="N591" s="1356" t="s">
        <v>545</v>
      </c>
      <c r="O591" s="1356"/>
      <c r="T591" s="22"/>
      <c r="U591" t="s">
        <v>20</v>
      </c>
      <c r="AG591" s="1356" t="s">
        <v>669</v>
      </c>
      <c r="AH591" s="1356"/>
      <c r="AZ591" s="3"/>
      <c r="BA591" s="3"/>
      <c r="BB591" s="3"/>
      <c r="BC591" s="3"/>
    </row>
    <row r="592" spans="1:55" ht="13.05" customHeight="1">
      <c r="A592" s="22"/>
      <c r="T592" s="22"/>
      <c r="AZ592" s="3"/>
      <c r="BA592" s="3"/>
      <c r="BB592" s="3"/>
      <c r="BC592" s="3"/>
    </row>
    <row r="593" spans="1:55" ht="13.05" customHeight="1">
      <c r="A593" s="55" t="s">
        <v>455</v>
      </c>
      <c r="B593" t="s">
        <v>463</v>
      </c>
      <c r="G593" s="1416">
        <f>C560</f>
        <v>0</v>
      </c>
      <c r="H593" s="1416"/>
      <c r="I593" s="1416"/>
      <c r="J593" s="1416"/>
      <c r="K593" s="1416"/>
      <c r="L593" s="1416"/>
      <c r="M593" s="1416"/>
      <c r="N593" s="1416"/>
      <c r="O593" s="1416"/>
      <c r="P593" s="1416"/>
      <c r="Q593" s="1416"/>
      <c r="R593" s="1416"/>
      <c r="T593" s="55" t="s">
        <v>456</v>
      </c>
      <c r="U593" t="s">
        <v>463</v>
      </c>
      <c r="Z593" s="1416">
        <f>C561</f>
        <v>0</v>
      </c>
      <c r="AA593" s="1416"/>
      <c r="AB593" s="1416"/>
      <c r="AC593" s="1416"/>
      <c r="AD593" s="1416"/>
      <c r="AE593" s="1416"/>
      <c r="AF593" s="1416"/>
      <c r="AG593" s="1416"/>
      <c r="AH593" s="1416"/>
      <c r="AI593" s="1416"/>
      <c r="AJ593" s="1416"/>
      <c r="AK593" s="1416"/>
      <c r="AZ593" s="3"/>
      <c r="BA593" s="3"/>
      <c r="BB593" s="3"/>
      <c r="BC593" s="3"/>
    </row>
    <row r="594" spans="1:55" s="4" customFormat="1" ht="13.05" customHeight="1">
      <c r="A594" s="22"/>
      <c r="B594" t="s">
        <v>85</v>
      </c>
      <c r="C594"/>
      <c r="D594"/>
      <c r="E594"/>
      <c r="F594"/>
      <c r="G594" s="1362"/>
      <c r="H594" s="1362"/>
      <c r="I594" s="1362"/>
      <c r="J594" s="1362"/>
      <c r="K594" s="1362"/>
      <c r="L594" s="1362"/>
      <c r="M594" s="1362"/>
      <c r="N594" s="1362"/>
      <c r="O594" s="1362"/>
      <c r="P594" s="1362"/>
      <c r="Q594" s="1362"/>
      <c r="R594" s="1362"/>
      <c r="S594"/>
      <c r="T594" s="22"/>
      <c r="U594" t="s">
        <v>85</v>
      </c>
      <c r="V594"/>
      <c r="W594"/>
      <c r="X594"/>
      <c r="Y594"/>
      <c r="Z594" s="1362"/>
      <c r="AA594" s="1362"/>
      <c r="AB594" s="1362"/>
      <c r="AC594" s="1362"/>
      <c r="AD594" s="1362"/>
      <c r="AE594" s="1362"/>
      <c r="AF594" s="1362"/>
      <c r="AG594" s="1362"/>
      <c r="AH594" s="1362"/>
      <c r="AI594" s="1362"/>
      <c r="AJ594" s="1362"/>
      <c r="AK594" s="1362"/>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62"/>
      <c r="H595" s="1362"/>
      <c r="I595" s="1362"/>
      <c r="J595" s="1362"/>
      <c r="K595" s="1362"/>
      <c r="L595" s="1362"/>
      <c r="M595" s="1362"/>
      <c r="N595" s="1362"/>
      <c r="O595" s="1362"/>
      <c r="P595" s="1362"/>
      <c r="Q595" s="1362"/>
      <c r="R595" s="1362"/>
      <c r="S595"/>
      <c r="T595" s="22"/>
      <c r="U595" t="s">
        <v>580</v>
      </c>
      <c r="V595"/>
      <c r="W595"/>
      <c r="X595"/>
      <c r="Y595"/>
      <c r="Z595" s="1511"/>
      <c r="AA595" s="1511"/>
      <c r="AB595" s="1511"/>
      <c r="AC595" s="1511"/>
      <c r="AD595" s="1511"/>
      <c r="AE595" s="1511"/>
      <c r="AF595" s="1511"/>
      <c r="AG595" s="1511"/>
      <c r="AH595" s="1511"/>
      <c r="AI595" s="1511"/>
      <c r="AJ595" s="1511"/>
      <c r="AK595" s="1511"/>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62"/>
      <c r="H596" s="1362"/>
      <c r="I596" s="1362"/>
      <c r="J596" s="1362"/>
      <c r="K596" s="1362"/>
      <c r="L596" s="1362"/>
      <c r="M596" s="1362"/>
      <c r="N596" s="1362"/>
      <c r="O596" s="1362"/>
      <c r="P596" s="1362"/>
      <c r="Q596" s="1362"/>
      <c r="R596" s="1362"/>
      <c r="S596"/>
      <c r="T596" s="22"/>
      <c r="U596" t="s">
        <v>17</v>
      </c>
      <c r="V596"/>
      <c r="W596"/>
      <c r="X596"/>
      <c r="Y596"/>
      <c r="Z596" s="1511"/>
      <c r="AA596" s="1511"/>
      <c r="AB596" s="1511"/>
      <c r="AC596" s="1511"/>
      <c r="AD596" s="1511"/>
      <c r="AE596" s="1511"/>
      <c r="AF596" s="1511"/>
      <c r="AG596" s="1511"/>
      <c r="AH596" s="1511"/>
      <c r="AI596" s="1511"/>
      <c r="AJ596" s="1511"/>
      <c r="AK596" s="1511"/>
      <c r="AL596"/>
      <c r="AM596"/>
      <c r="AN596"/>
      <c r="AO596"/>
      <c r="AP596"/>
      <c r="AQ596"/>
      <c r="AR596"/>
      <c r="AS596"/>
      <c r="AT596"/>
      <c r="AU596"/>
      <c r="AV596"/>
      <c r="AW596"/>
      <c r="AX596"/>
      <c r="AY596"/>
      <c r="BB596" s="3"/>
      <c r="BC596" s="3"/>
    </row>
    <row r="597" spans="1:55" s="4" customFormat="1" ht="13.05" customHeight="1">
      <c r="A597" s="22"/>
      <c r="B597" t="s">
        <v>316</v>
      </c>
      <c r="C597"/>
      <c r="D597"/>
      <c r="E597"/>
      <c r="F597"/>
      <c r="G597" s="1417"/>
      <c r="H597" s="1417"/>
      <c r="I597" s="1417"/>
      <c r="J597" s="1417"/>
      <c r="K597" s="1417"/>
      <c r="L597" s="1417"/>
      <c r="M597"/>
      <c r="N597"/>
      <c r="O597" s="33" t="s">
        <v>206</v>
      </c>
      <c r="P597" s="1494"/>
      <c r="Q597" s="1494"/>
      <c r="R597" s="1494"/>
      <c r="S597"/>
      <c r="T597" s="22"/>
      <c r="U597" t="s">
        <v>316</v>
      </c>
      <c r="V597"/>
      <c r="W597"/>
      <c r="X597"/>
      <c r="Y597"/>
      <c r="Z597" s="1417"/>
      <c r="AA597" s="1417"/>
      <c r="AB597" s="1417"/>
      <c r="AC597" s="1417"/>
      <c r="AD597" s="1417"/>
      <c r="AE597" s="1417"/>
      <c r="AF597"/>
      <c r="AG597"/>
      <c r="AH597" s="33" t="s">
        <v>206</v>
      </c>
      <c r="AI597" s="1494"/>
      <c r="AJ597" s="1494"/>
      <c r="AK597" s="1494"/>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62"/>
      <c r="I598" s="1362"/>
      <c r="J598" s="1362"/>
      <c r="K598" s="1362"/>
      <c r="L598" s="1362"/>
      <c r="M598" s="1362"/>
      <c r="N598" s="1362"/>
      <c r="O598" s="1362"/>
      <c r="P598" s="1362"/>
      <c r="Q598" s="1362"/>
      <c r="R598" s="1362"/>
      <c r="S598"/>
      <c r="T598" s="22"/>
      <c r="U598" t="s">
        <v>18</v>
      </c>
      <c r="V598"/>
      <c r="W598"/>
      <c r="X598"/>
      <c r="Y598"/>
      <c r="Z598"/>
      <c r="AA598" s="1362"/>
      <c r="AB598" s="1362"/>
      <c r="AC598" s="1362"/>
      <c r="AD598" s="1362"/>
      <c r="AE598" s="1362"/>
      <c r="AF598" s="1362"/>
      <c r="AG598" s="1362"/>
      <c r="AH598" s="1362"/>
      <c r="AI598" s="1362"/>
      <c r="AJ598" s="1362"/>
      <c r="AK598" s="1362"/>
      <c r="AL598"/>
      <c r="AM598"/>
      <c r="AN598"/>
      <c r="AO598"/>
      <c r="AP598"/>
      <c r="AQ598"/>
      <c r="AR598"/>
      <c r="AS598"/>
      <c r="AT598"/>
      <c r="AU598"/>
      <c r="AV598"/>
      <c r="AW598"/>
      <c r="AX598"/>
      <c r="AY598"/>
      <c r="BB598" s="3"/>
      <c r="BC598" s="3"/>
    </row>
    <row r="599" spans="1:55" ht="13.05" customHeight="1">
      <c r="A599" s="22"/>
      <c r="B599" t="s">
        <v>20</v>
      </c>
      <c r="N599" s="1356" t="s">
        <v>669</v>
      </c>
      <c r="O599" s="1356"/>
      <c r="T599" s="22"/>
      <c r="U599" t="s">
        <v>20</v>
      </c>
      <c r="AG599" s="1356" t="s">
        <v>669</v>
      </c>
      <c r="AH599" s="1356"/>
      <c r="BB599" s="3"/>
      <c r="BC599" s="3"/>
    </row>
    <row r="600" spans="1:55" ht="13.05" customHeight="1">
      <c r="A600" s="22"/>
      <c r="T600" s="22"/>
      <c r="BB600" s="3"/>
      <c r="BC600" s="3"/>
    </row>
    <row r="601" spans="1:55" ht="13.05" customHeight="1">
      <c r="A601" s="55" t="s">
        <v>461</v>
      </c>
      <c r="B601" t="s">
        <v>463</v>
      </c>
      <c r="G601" s="1416">
        <f>C562</f>
        <v>0</v>
      </c>
      <c r="H601" s="1416"/>
      <c r="I601" s="1416"/>
      <c r="J601" s="1416"/>
      <c r="K601" s="1416"/>
      <c r="L601" s="1416"/>
      <c r="M601" s="1416"/>
      <c r="N601" s="1416"/>
      <c r="O601" s="1416"/>
      <c r="P601" s="1416"/>
      <c r="Q601" s="1416"/>
      <c r="R601" s="1416"/>
      <c r="T601" s="55" t="s">
        <v>646</v>
      </c>
      <c r="U601" t="s">
        <v>463</v>
      </c>
      <c r="Z601" s="1416">
        <f>C563</f>
        <v>0</v>
      </c>
      <c r="AA601" s="1416"/>
      <c r="AB601" s="1416"/>
      <c r="AC601" s="1416"/>
      <c r="AD601" s="1416"/>
      <c r="AE601" s="1416"/>
      <c r="AF601" s="1416"/>
      <c r="AG601" s="1416"/>
      <c r="AH601" s="1416"/>
      <c r="AI601" s="1416"/>
      <c r="AJ601" s="1416"/>
      <c r="AK601" s="1416"/>
      <c r="BB601" s="3"/>
      <c r="BC601" s="3"/>
    </row>
    <row r="602" spans="1:55" ht="13.05" customHeight="1">
      <c r="A602" s="22"/>
      <c r="B602" t="s">
        <v>85</v>
      </c>
      <c r="G602" s="1362"/>
      <c r="H602" s="1362"/>
      <c r="I602" s="1362"/>
      <c r="J602" s="1362"/>
      <c r="K602" s="1362"/>
      <c r="L602" s="1362"/>
      <c r="M602" s="1362"/>
      <c r="N602" s="1362"/>
      <c r="O602" s="1362"/>
      <c r="P602" s="1362"/>
      <c r="Q602" s="1362"/>
      <c r="R602" s="1362"/>
      <c r="T602" s="22"/>
      <c r="U602" t="s">
        <v>85</v>
      </c>
      <c r="Z602" s="1362"/>
      <c r="AA602" s="1362"/>
      <c r="AB602" s="1362"/>
      <c r="AC602" s="1362"/>
      <c r="AD602" s="1362"/>
      <c r="AE602" s="1362"/>
      <c r="AF602" s="1362"/>
      <c r="AG602" s="1362"/>
      <c r="AH602" s="1362"/>
      <c r="AI602" s="1362"/>
      <c r="AJ602" s="1362"/>
      <c r="AK602" s="1362"/>
      <c r="AZ602" s="3"/>
      <c r="BA602" s="3"/>
      <c r="BB602" s="3"/>
      <c r="BC602" s="3"/>
    </row>
    <row r="603" spans="1:55" ht="13.05" customHeight="1">
      <c r="A603" s="22"/>
      <c r="B603" t="s">
        <v>580</v>
      </c>
      <c r="G603" s="1362"/>
      <c r="H603" s="1362"/>
      <c r="I603" s="1362"/>
      <c r="J603" s="1362"/>
      <c r="K603" s="1362"/>
      <c r="L603" s="1362"/>
      <c r="M603" s="1362"/>
      <c r="N603" s="1362"/>
      <c r="O603" s="1362"/>
      <c r="P603" s="1362"/>
      <c r="Q603" s="1362"/>
      <c r="R603" s="1362"/>
      <c r="T603" s="22"/>
      <c r="U603" t="s">
        <v>580</v>
      </c>
      <c r="Z603" s="1511"/>
      <c r="AA603" s="1511"/>
      <c r="AB603" s="1511"/>
      <c r="AC603" s="1511"/>
      <c r="AD603" s="1511"/>
      <c r="AE603" s="1511"/>
      <c r="AF603" s="1511"/>
      <c r="AG603" s="1511"/>
      <c r="AH603" s="1511"/>
      <c r="AI603" s="1511"/>
      <c r="AJ603" s="1511"/>
      <c r="AK603" s="1511"/>
      <c r="AZ603" s="3"/>
      <c r="BA603" s="3"/>
      <c r="BB603" s="3"/>
      <c r="BC603" s="3"/>
    </row>
    <row r="604" spans="1:55" ht="13.05" customHeight="1">
      <c r="A604" s="22"/>
      <c r="B604" t="s">
        <v>17</v>
      </c>
      <c r="G604" s="1362"/>
      <c r="H604" s="1362"/>
      <c r="I604" s="1362"/>
      <c r="J604" s="1362"/>
      <c r="K604" s="1362"/>
      <c r="L604" s="1362"/>
      <c r="M604" s="1362"/>
      <c r="N604" s="1362"/>
      <c r="O604" s="1362"/>
      <c r="P604" s="1362"/>
      <c r="Q604" s="1362"/>
      <c r="R604" s="1362"/>
      <c r="T604" s="22"/>
      <c r="U604" t="s">
        <v>17</v>
      </c>
      <c r="Z604" s="1511"/>
      <c r="AA604" s="1511"/>
      <c r="AB604" s="1511"/>
      <c r="AC604" s="1511"/>
      <c r="AD604" s="1511"/>
      <c r="AE604" s="1511"/>
      <c r="AF604" s="1511"/>
      <c r="AG604" s="1511"/>
      <c r="AH604" s="1511"/>
      <c r="AI604" s="1511"/>
      <c r="AJ604" s="1511"/>
      <c r="AK604" s="1511"/>
      <c r="AZ604" s="3"/>
      <c r="BA604" s="3"/>
      <c r="BB604" s="3"/>
      <c r="BC604" s="3"/>
    </row>
    <row r="605" spans="1:55" s="4" customFormat="1" ht="13.05" customHeight="1">
      <c r="A605" s="22"/>
      <c r="B605" t="s">
        <v>316</v>
      </c>
      <c r="C605"/>
      <c r="D605"/>
      <c r="E605"/>
      <c r="F605"/>
      <c r="G605" s="1417"/>
      <c r="H605" s="1417"/>
      <c r="I605" s="1417"/>
      <c r="J605" s="1417"/>
      <c r="K605" s="1417"/>
      <c r="L605" s="1417"/>
      <c r="M605"/>
      <c r="N605"/>
      <c r="O605" s="33" t="s">
        <v>206</v>
      </c>
      <c r="P605" s="1494"/>
      <c r="Q605" s="1494"/>
      <c r="R605" s="1494"/>
      <c r="S605"/>
      <c r="T605" s="22"/>
      <c r="U605" t="s">
        <v>316</v>
      </c>
      <c r="V605"/>
      <c r="W605"/>
      <c r="X605"/>
      <c r="Y605"/>
      <c r="Z605" s="1417"/>
      <c r="AA605" s="1417"/>
      <c r="AB605" s="1417"/>
      <c r="AC605" s="1417"/>
      <c r="AD605" s="1417"/>
      <c r="AE605" s="1417"/>
      <c r="AF605"/>
      <c r="AG605"/>
      <c r="AH605" s="33" t="s">
        <v>206</v>
      </c>
      <c r="AI605" s="1494"/>
      <c r="AJ605" s="1494"/>
      <c r="AK605" s="1494"/>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62"/>
      <c r="I606" s="1362"/>
      <c r="J606" s="1362"/>
      <c r="K606" s="1362"/>
      <c r="L606" s="1362"/>
      <c r="M606" s="1362"/>
      <c r="N606" s="1362"/>
      <c r="O606" s="1362"/>
      <c r="P606" s="1362"/>
      <c r="Q606" s="1362"/>
      <c r="R606" s="1362"/>
      <c r="S606"/>
      <c r="T606" s="22"/>
      <c r="U606" t="s">
        <v>18</v>
      </c>
      <c r="V606"/>
      <c r="W606"/>
      <c r="X606"/>
      <c r="Y606"/>
      <c r="Z606"/>
      <c r="AA606" s="1362"/>
      <c r="AB606" s="1362"/>
      <c r="AC606" s="1362"/>
      <c r="AD606" s="1362"/>
      <c r="AE606" s="1362"/>
      <c r="AF606" s="1362"/>
      <c r="AG606" s="1362"/>
      <c r="AH606" s="1362"/>
      <c r="AI606" s="1362"/>
      <c r="AJ606" s="1362"/>
      <c r="AK606" s="136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56" t="s">
        <v>669</v>
      </c>
      <c r="O607" s="1356"/>
      <c r="P607"/>
      <c r="Q607"/>
      <c r="R607"/>
      <c r="S607"/>
      <c r="T607" s="22"/>
      <c r="U607" t="s">
        <v>20</v>
      </c>
      <c r="V607"/>
      <c r="W607"/>
      <c r="X607"/>
      <c r="Y607"/>
      <c r="Z607"/>
      <c r="AA607"/>
      <c r="AB607"/>
      <c r="AC607"/>
      <c r="AD607"/>
      <c r="AE607"/>
      <c r="AF607"/>
      <c r="AG607" s="1356" t="s">
        <v>669</v>
      </c>
      <c r="AH607" s="1356"/>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362</v>
      </c>
      <c r="B609" t="s">
        <v>463</v>
      </c>
      <c r="G609" s="1416">
        <f>C564</f>
        <v>0</v>
      </c>
      <c r="H609" s="1416"/>
      <c r="I609" s="1416"/>
      <c r="J609" s="1416"/>
      <c r="K609" s="1416"/>
      <c r="L609" s="1416"/>
      <c r="M609" s="1416"/>
      <c r="N609" s="1416"/>
      <c r="O609" s="1416"/>
      <c r="P609" s="1416"/>
      <c r="Q609" s="1416"/>
      <c r="R609" s="1416"/>
      <c r="T609" s="55" t="s">
        <v>363</v>
      </c>
      <c r="U609" t="s">
        <v>463</v>
      </c>
      <c r="Z609" s="1416">
        <f>C565</f>
        <v>0</v>
      </c>
      <c r="AA609" s="1416"/>
      <c r="AB609" s="1416"/>
      <c r="AC609" s="1416"/>
      <c r="AD609" s="1416"/>
      <c r="AE609" s="1416"/>
      <c r="AF609" s="1416"/>
      <c r="AG609" s="1416"/>
      <c r="AH609" s="1416"/>
      <c r="AI609" s="1416"/>
      <c r="AJ609" s="1416"/>
      <c r="AK609" s="1416"/>
      <c r="AZ609" s="3"/>
      <c r="BA609" s="3"/>
      <c r="BB609" s="3"/>
      <c r="BC609" s="3"/>
    </row>
    <row r="610" spans="1:55" ht="13.05" customHeight="1">
      <c r="B610" t="s">
        <v>85</v>
      </c>
      <c r="G610" s="1362"/>
      <c r="H610" s="1362"/>
      <c r="I610" s="1362"/>
      <c r="J610" s="1362"/>
      <c r="K610" s="1362"/>
      <c r="L610" s="1362"/>
      <c r="M610" s="1362"/>
      <c r="N610" s="1362"/>
      <c r="O610" s="1362"/>
      <c r="P610" s="1362"/>
      <c r="Q610" s="1362"/>
      <c r="R610" s="1362"/>
      <c r="U610" t="s">
        <v>85</v>
      </c>
      <c r="Z610" s="1362"/>
      <c r="AA610" s="1362"/>
      <c r="AB610" s="1362"/>
      <c r="AC610" s="1362"/>
      <c r="AD610" s="1362"/>
      <c r="AE610" s="1362"/>
      <c r="AF610" s="1362"/>
      <c r="AG610" s="1362"/>
      <c r="AH610" s="1362"/>
      <c r="AI610" s="1362"/>
      <c r="AJ610" s="1362"/>
      <c r="AK610" s="1362"/>
      <c r="AZ610" s="3"/>
      <c r="BA610" s="3"/>
      <c r="BB610" s="3"/>
      <c r="BC610" s="3"/>
    </row>
    <row r="611" spans="1:55" ht="13.05" customHeight="1">
      <c r="B611" t="s">
        <v>580</v>
      </c>
      <c r="G611" s="1362"/>
      <c r="H611" s="1362"/>
      <c r="I611" s="1362"/>
      <c r="J611" s="1362"/>
      <c r="K611" s="1362"/>
      <c r="L611" s="1362"/>
      <c r="M611" s="1362"/>
      <c r="N611" s="1362"/>
      <c r="O611" s="1362"/>
      <c r="P611" s="1362"/>
      <c r="Q611" s="1362"/>
      <c r="R611" s="1362"/>
      <c r="U611" t="s">
        <v>580</v>
      </c>
      <c r="Z611" s="1511"/>
      <c r="AA611" s="1511"/>
      <c r="AB611" s="1511"/>
      <c r="AC611" s="1511"/>
      <c r="AD611" s="1511"/>
      <c r="AE611" s="1511"/>
      <c r="AF611" s="1511"/>
      <c r="AG611" s="1511"/>
      <c r="AH611" s="1511"/>
      <c r="AI611" s="1511"/>
      <c r="AJ611" s="1511"/>
      <c r="AK611" s="1511"/>
      <c r="AZ611" s="3"/>
      <c r="BA611" s="3"/>
      <c r="BB611" s="3"/>
      <c r="BC611" s="3"/>
    </row>
    <row r="612" spans="1:55" ht="13.05" customHeight="1">
      <c r="B612" t="s">
        <v>17</v>
      </c>
      <c r="G612" s="1362"/>
      <c r="H612" s="1362"/>
      <c r="I612" s="1362"/>
      <c r="J612" s="1362"/>
      <c r="K612" s="1362"/>
      <c r="L612" s="1362"/>
      <c r="M612" s="1362"/>
      <c r="N612" s="1362"/>
      <c r="O612" s="1362"/>
      <c r="P612" s="1362"/>
      <c r="Q612" s="1362"/>
      <c r="R612" s="1362"/>
      <c r="U612" t="s">
        <v>17</v>
      </c>
      <c r="Z612" s="1511"/>
      <c r="AA612" s="1511"/>
      <c r="AB612" s="1511"/>
      <c r="AC612" s="1511"/>
      <c r="AD612" s="1511"/>
      <c r="AE612" s="1511"/>
      <c r="AF612" s="1511"/>
      <c r="AG612" s="1511"/>
      <c r="AH612" s="1511"/>
      <c r="AI612" s="1511"/>
      <c r="AJ612" s="1511"/>
      <c r="AK612" s="1511"/>
      <c r="AZ612" s="3"/>
      <c r="BA612" s="3"/>
      <c r="BB612" s="3"/>
      <c r="BC612" s="3"/>
    </row>
    <row r="613" spans="1:55" ht="13.05" customHeight="1">
      <c r="B613" t="s">
        <v>316</v>
      </c>
      <c r="G613" s="1417"/>
      <c r="H613" s="1417"/>
      <c r="I613" s="1417"/>
      <c r="J613" s="1417"/>
      <c r="K613" s="1417"/>
      <c r="L613" s="1417"/>
      <c r="O613" s="33" t="s">
        <v>206</v>
      </c>
      <c r="P613" s="1494"/>
      <c r="Q613" s="1494"/>
      <c r="R613" s="1494"/>
      <c r="U613" t="s">
        <v>316</v>
      </c>
      <c r="Z613" s="1417"/>
      <c r="AA613" s="1417"/>
      <c r="AB613" s="1417"/>
      <c r="AC613" s="1417"/>
      <c r="AD613" s="1417"/>
      <c r="AE613" s="1417"/>
      <c r="AH613" s="33" t="s">
        <v>206</v>
      </c>
      <c r="AI613" s="1494"/>
      <c r="AJ613" s="1494"/>
      <c r="AK613" s="1494"/>
      <c r="AZ613" s="3"/>
      <c r="BA613" s="3"/>
      <c r="BB613" s="3"/>
      <c r="BC613" s="3"/>
    </row>
    <row r="614" spans="1:55" ht="13.05" customHeight="1">
      <c r="B614" t="s">
        <v>18</v>
      </c>
      <c r="H614" s="1362"/>
      <c r="I614" s="1362"/>
      <c r="J614" s="1362"/>
      <c r="K614" s="1362"/>
      <c r="L614" s="1362"/>
      <c r="M614" s="1362"/>
      <c r="N614" s="1362"/>
      <c r="O614" s="1362"/>
      <c r="P614" s="1362"/>
      <c r="Q614" s="1362"/>
      <c r="R614" s="1362"/>
      <c r="U614" t="s">
        <v>18</v>
      </c>
      <c r="AA614" s="1362"/>
      <c r="AB614" s="1362"/>
      <c r="AC614" s="1362"/>
      <c r="AD614" s="1362"/>
      <c r="AE614" s="1362"/>
      <c r="AF614" s="1362"/>
      <c r="AG614" s="1362"/>
      <c r="AH614" s="1362"/>
      <c r="AI614" s="1362"/>
      <c r="AJ614" s="1362"/>
      <c r="AK614" s="1362"/>
      <c r="AU614" s="899"/>
      <c r="AV614" s="899"/>
      <c r="AW614" s="899"/>
      <c r="AX614" s="899"/>
      <c r="AY614" s="899"/>
      <c r="AZ614" s="3"/>
      <c r="BA614" s="3"/>
      <c r="BB614" s="3"/>
      <c r="BC614" s="3"/>
    </row>
    <row r="615" spans="1:55" ht="13.05" customHeight="1">
      <c r="B615" t="s">
        <v>20</v>
      </c>
      <c r="N615" s="1356" t="s">
        <v>669</v>
      </c>
      <c r="O615" s="1356"/>
      <c r="U615" t="s">
        <v>20</v>
      </c>
      <c r="AG615" s="1356" t="s">
        <v>669</v>
      </c>
      <c r="AH615" s="1356"/>
      <c r="AU615" s="899"/>
      <c r="AV615" s="899"/>
      <c r="AW615" s="899"/>
      <c r="AX615" s="899"/>
      <c r="AY615" s="899"/>
      <c r="AZ615" s="3"/>
      <c r="BA615" s="3"/>
      <c r="BB615" s="3"/>
      <c r="BC615" s="3"/>
    </row>
    <row r="616" spans="1:55" ht="13.05" customHeight="1">
      <c r="AZ616" s="3"/>
      <c r="BA616" s="3"/>
      <c r="BB616" s="3"/>
      <c r="BC616" s="3"/>
    </row>
    <row r="617" spans="1:55" ht="13.0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0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05" customHeight="1">
      <c r="AZ619" s="3"/>
      <c r="BA619" s="3"/>
      <c r="BB619" s="3"/>
      <c r="BC619" s="3"/>
    </row>
    <row r="620" spans="1:55" ht="13.05" customHeight="1">
      <c r="A620" s="2" t="s">
        <v>319</v>
      </c>
      <c r="B620" s="2"/>
      <c r="C620" s="2" t="s">
        <v>21</v>
      </c>
      <c r="AZ620" s="3"/>
      <c r="BA620" s="3"/>
      <c r="BB620" s="3"/>
      <c r="BC620" s="3"/>
    </row>
    <row r="621" spans="1:55" ht="13.05" customHeight="1">
      <c r="A621" s="2"/>
      <c r="B621" s="2"/>
      <c r="C621" s="2"/>
      <c r="AZ621" s="3"/>
      <c r="BA621" s="3"/>
      <c r="BB621" s="3"/>
      <c r="BC621" s="3"/>
    </row>
    <row r="622" spans="1:55" ht="13.05" customHeight="1">
      <c r="C622" s="2" t="s">
        <v>2100</v>
      </c>
      <c r="AZ622" s="3"/>
      <c r="BA622" s="3"/>
      <c r="BB622" s="3"/>
      <c r="BC622" s="3"/>
    </row>
    <row r="623" spans="1:55" ht="13.05" customHeight="1">
      <c r="B623" s="512"/>
      <c r="C623" s="2"/>
      <c r="AU623" s="3"/>
      <c r="AZ623" s="3"/>
      <c r="BA623" s="3"/>
      <c r="BB623" s="3"/>
      <c r="BC623" s="3"/>
    </row>
    <row r="624" spans="1:55" ht="13.05" customHeight="1">
      <c r="B624" s="1701" t="s">
        <v>2102</v>
      </c>
      <c r="C624" s="1701"/>
      <c r="D624" s="1701"/>
      <c r="E624" s="1701"/>
      <c r="F624" s="1701"/>
      <c r="G624" s="1701"/>
      <c r="H624" s="1701"/>
      <c r="I624" s="1701"/>
      <c r="J624" s="1701"/>
      <c r="K624" s="1701"/>
      <c r="L624" s="1701"/>
      <c r="M624" s="1676" t="s">
        <v>2103</v>
      </c>
      <c r="N624" s="1676"/>
      <c r="O624" s="1676"/>
      <c r="P624" s="1676"/>
      <c r="Q624" s="1676" t="s">
        <v>1852</v>
      </c>
      <c r="R624" s="1676"/>
      <c r="S624" s="1676"/>
      <c r="T624" s="1676" t="s">
        <v>1850</v>
      </c>
      <c r="U624" s="1676"/>
      <c r="V624" s="1676"/>
      <c r="W624" s="1702" t="s">
        <v>453</v>
      </c>
      <c r="X624" s="1702"/>
      <c r="Y624" s="1702"/>
      <c r="Z624" s="1488" t="s">
        <v>2132</v>
      </c>
      <c r="AA624" s="1488"/>
      <c r="AB624" s="1489"/>
      <c r="AC624" s="1703" t="s">
        <v>1676</v>
      </c>
      <c r="AD624" s="1704"/>
      <c r="AE624" s="1705"/>
      <c r="AF624" s="1673" t="s">
        <v>1930</v>
      </c>
      <c r="AG624" s="1488"/>
      <c r="AH624" s="1488"/>
      <c r="AI624" s="1488"/>
      <c r="AJ624" s="1489"/>
      <c r="AK624" s="1680" t="s">
        <v>1931</v>
      </c>
      <c r="AL624" s="1681"/>
      <c r="AM624" s="1681"/>
      <c r="AN624" s="1682"/>
      <c r="AO624" s="1676" t="s">
        <v>454</v>
      </c>
      <c r="AP624" s="1676"/>
      <c r="AQ624" s="1676"/>
      <c r="AR624" s="1676"/>
      <c r="AS624" s="1676"/>
      <c r="AU624" s="3"/>
      <c r="AZ624" s="3"/>
      <c r="BA624" s="3"/>
      <c r="BB624" s="3"/>
      <c r="BC624" s="3"/>
    </row>
    <row r="625" spans="2:157" ht="13.05" customHeight="1">
      <c r="B625" s="1701"/>
      <c r="C625" s="1701"/>
      <c r="D625" s="1701"/>
      <c r="E625" s="1701"/>
      <c r="F625" s="1701"/>
      <c r="G625" s="1701"/>
      <c r="H625" s="1701"/>
      <c r="I625" s="1701"/>
      <c r="J625" s="1701"/>
      <c r="K625" s="1701"/>
      <c r="L625" s="1701"/>
      <c r="M625" s="1676"/>
      <c r="N625" s="1676"/>
      <c r="O625" s="1676"/>
      <c r="P625" s="1676"/>
      <c r="Q625" s="1676"/>
      <c r="R625" s="1676"/>
      <c r="S625" s="1676"/>
      <c r="T625" s="1676"/>
      <c r="U625" s="1676"/>
      <c r="V625" s="1676"/>
      <c r="W625" s="1702"/>
      <c r="X625" s="1702"/>
      <c r="Y625" s="1702"/>
      <c r="Z625" s="1490"/>
      <c r="AA625" s="1490"/>
      <c r="AB625" s="1491"/>
      <c r="AC625" s="1706"/>
      <c r="AD625" s="1707"/>
      <c r="AE625" s="1708"/>
      <c r="AF625" s="1674"/>
      <c r="AG625" s="1490"/>
      <c r="AH625" s="1490"/>
      <c r="AI625" s="1490"/>
      <c r="AJ625" s="1491"/>
      <c r="AK625" s="1683"/>
      <c r="AL625" s="1684"/>
      <c r="AM625" s="1684"/>
      <c r="AN625" s="1685"/>
      <c r="AO625" s="1676"/>
      <c r="AP625" s="1676"/>
      <c r="AQ625" s="1676"/>
      <c r="AR625" s="1676"/>
      <c r="AS625" s="1676"/>
      <c r="AU625" s="3"/>
      <c r="AZ625" s="3"/>
      <c r="BA625" s="3"/>
      <c r="BB625" s="3"/>
      <c r="BC625" s="3"/>
      <c r="BD625" s="3"/>
    </row>
    <row r="626" spans="2:157" ht="13.05" customHeight="1">
      <c r="B626" s="1701"/>
      <c r="C626" s="1701"/>
      <c r="D626" s="1701"/>
      <c r="E626" s="1701"/>
      <c r="F626" s="1701"/>
      <c r="G626" s="1701"/>
      <c r="H626" s="1701"/>
      <c r="I626" s="1701"/>
      <c r="J626" s="1701"/>
      <c r="K626" s="1701"/>
      <c r="L626" s="1701"/>
      <c r="M626" s="1676"/>
      <c r="N626" s="1676"/>
      <c r="O626" s="1676"/>
      <c r="P626" s="1676"/>
      <c r="Q626" s="1676"/>
      <c r="R626" s="1676"/>
      <c r="S626" s="1676"/>
      <c r="T626" s="1676"/>
      <c r="U626" s="1676"/>
      <c r="V626" s="1676"/>
      <c r="W626" s="1702"/>
      <c r="X626" s="1702"/>
      <c r="Y626" s="1702"/>
      <c r="Z626" s="1492"/>
      <c r="AA626" s="1492"/>
      <c r="AB626" s="1493"/>
      <c r="AC626" s="1709"/>
      <c r="AD626" s="1710"/>
      <c r="AE626" s="1711"/>
      <c r="AF626" s="1675"/>
      <c r="AG626" s="1492"/>
      <c r="AH626" s="1492"/>
      <c r="AI626" s="1492"/>
      <c r="AJ626" s="1493"/>
      <c r="AK626" s="1686"/>
      <c r="AL626" s="1687"/>
      <c r="AM626" s="1687"/>
      <c r="AN626" s="1688"/>
      <c r="AO626" s="1676"/>
      <c r="AP626" s="1676"/>
      <c r="AQ626" s="1676"/>
      <c r="AR626" s="1676"/>
      <c r="AS626" s="1676"/>
      <c r="AT626" s="3"/>
      <c r="AU626" s="3"/>
      <c r="AZ626" s="3"/>
      <c r="BA626" s="3"/>
      <c r="BB626" s="3"/>
      <c r="BC626" s="3"/>
      <c r="BD626" s="3"/>
    </row>
    <row r="627" spans="2:157" ht="13.05" customHeight="1">
      <c r="B627" s="51" t="s">
        <v>112</v>
      </c>
      <c r="C627" s="1480" t="s">
        <v>2723</v>
      </c>
      <c r="D627" s="1480"/>
      <c r="E627" s="1480"/>
      <c r="F627" s="1480"/>
      <c r="G627" s="1480"/>
      <c r="H627" s="1480"/>
      <c r="I627" s="1480"/>
      <c r="J627" s="1480"/>
      <c r="K627" s="1480"/>
      <c r="L627" s="1480"/>
      <c r="M627" s="1597" t="s">
        <v>2113</v>
      </c>
      <c r="N627" s="1597"/>
      <c r="O627" s="1597"/>
      <c r="P627" s="1597"/>
      <c r="Q627" s="1420">
        <v>240</v>
      </c>
      <c r="R627" s="1420"/>
      <c r="S627" s="1421"/>
      <c r="T627" s="1419">
        <v>240</v>
      </c>
      <c r="U627" s="1420"/>
      <c r="V627" s="1421"/>
      <c r="W627" s="1495">
        <v>5.7500000000000002E-2</v>
      </c>
      <c r="X627" s="1496"/>
      <c r="Y627" s="1497"/>
      <c r="Z627" s="1531" t="s">
        <v>2131</v>
      </c>
      <c r="AA627" s="1532"/>
      <c r="AB627" s="1533"/>
      <c r="AC627" s="1499">
        <v>1</v>
      </c>
      <c r="AD627" s="1500"/>
      <c r="AE627" s="1501"/>
      <c r="AF627" s="1525">
        <v>309362</v>
      </c>
      <c r="AG627" s="1526"/>
      <c r="AH627" s="1526"/>
      <c r="AI627" s="1526"/>
      <c r="AJ627" s="1527"/>
      <c r="AK627" s="1446"/>
      <c r="AL627" s="1447"/>
      <c r="AM627" s="1447"/>
      <c r="AN627" s="1448"/>
      <c r="AO627" s="1534">
        <v>3671957</v>
      </c>
      <c r="AP627" s="1534"/>
      <c r="AQ627" s="1534"/>
      <c r="AR627" s="1534"/>
      <c r="AS627" s="1534"/>
      <c r="AT627" s="3"/>
      <c r="AU627" s="3"/>
      <c r="AZ627" s="3"/>
      <c r="BA627" s="3"/>
      <c r="BB627" s="3"/>
      <c r="BC627" s="3"/>
      <c r="BD627" s="3"/>
    </row>
    <row r="628" spans="2:157" ht="13.05" customHeight="1">
      <c r="B628" s="52" t="s">
        <v>113</v>
      </c>
      <c r="C628" s="1480" t="s">
        <v>2724</v>
      </c>
      <c r="D628" s="1480"/>
      <c r="E628" s="1480"/>
      <c r="F628" s="1480"/>
      <c r="G628" s="1480"/>
      <c r="H628" s="1480"/>
      <c r="I628" s="1480"/>
      <c r="J628" s="1480"/>
      <c r="K628" s="1480"/>
      <c r="L628" s="1480"/>
      <c r="M628" s="1597" t="s">
        <v>2115</v>
      </c>
      <c r="N628" s="1597"/>
      <c r="O628" s="1597"/>
      <c r="P628" s="1597"/>
      <c r="Q628" s="1419">
        <v>396</v>
      </c>
      <c r="R628" s="1420"/>
      <c r="S628" s="1421"/>
      <c r="T628" s="1419">
        <v>396</v>
      </c>
      <c r="U628" s="1420"/>
      <c r="V628" s="1421"/>
      <c r="W628" s="1495">
        <v>0.01</v>
      </c>
      <c r="X628" s="1496"/>
      <c r="Y628" s="1497"/>
      <c r="Z628" s="1531" t="s">
        <v>2131</v>
      </c>
      <c r="AA628" s="1532"/>
      <c r="AB628" s="1533"/>
      <c r="AC628" s="1499"/>
      <c r="AD628" s="1500"/>
      <c r="AE628" s="1501"/>
      <c r="AF628" s="1525">
        <v>153037</v>
      </c>
      <c r="AG628" s="1526"/>
      <c r="AH628" s="1526"/>
      <c r="AI628" s="1526"/>
      <c r="AJ628" s="1527"/>
      <c r="AK628" s="1446"/>
      <c r="AL628" s="1447"/>
      <c r="AM628" s="1447"/>
      <c r="AN628" s="1448"/>
      <c r="AO628" s="1528">
        <v>4300000</v>
      </c>
      <c r="AP628" s="1529"/>
      <c r="AQ628" s="1529"/>
      <c r="AR628" s="1529"/>
      <c r="AS628" s="1530"/>
      <c r="AT628" s="1148" t="str">
        <f>IF(AND(NOT(C627=""),C628="",NOT(C629="")),"!","")</f>
        <v/>
      </c>
      <c r="AU628" s="3"/>
      <c r="AZ628" s="3"/>
      <c r="BA628" s="3"/>
      <c r="BB628" s="3"/>
      <c r="BC628" s="3"/>
      <c r="BD628" s="3"/>
    </row>
    <row r="629" spans="2:157" ht="13.05" customHeight="1">
      <c r="B629" s="52" t="s">
        <v>119</v>
      </c>
      <c r="C629" s="1480" t="s">
        <v>2320</v>
      </c>
      <c r="D629" s="1480"/>
      <c r="E629" s="1480"/>
      <c r="F629" s="1480"/>
      <c r="G629" s="1480"/>
      <c r="H629" s="1480"/>
      <c r="I629" s="1480"/>
      <c r="J629" s="1480"/>
      <c r="K629" s="1480"/>
      <c r="L629" s="1480"/>
      <c r="M629" s="1597" t="s">
        <v>2106</v>
      </c>
      <c r="N629" s="1597"/>
      <c r="O629" s="1597"/>
      <c r="P629" s="1597"/>
      <c r="Q629" s="1419"/>
      <c r="R629" s="1420"/>
      <c r="S629" s="1421"/>
      <c r="T629" s="1419"/>
      <c r="U629" s="1420"/>
      <c r="V629" s="1421"/>
      <c r="W629" s="1495"/>
      <c r="X629" s="1496"/>
      <c r="Y629" s="1497"/>
      <c r="Z629" s="1531" t="s">
        <v>458</v>
      </c>
      <c r="AA629" s="1532"/>
      <c r="AB629" s="1533"/>
      <c r="AC629" s="1499"/>
      <c r="AD629" s="1500"/>
      <c r="AE629" s="1501"/>
      <c r="AF629" s="1525"/>
      <c r="AG629" s="1526"/>
      <c r="AH629" s="1526"/>
      <c r="AI629" s="1526"/>
      <c r="AJ629" s="1527"/>
      <c r="AK629" s="1446"/>
      <c r="AL629" s="1447"/>
      <c r="AM629" s="1447"/>
      <c r="AN629" s="1448"/>
      <c r="AO629" s="1528">
        <v>2180621</v>
      </c>
      <c r="AP629" s="1529"/>
      <c r="AQ629" s="1529"/>
      <c r="AR629" s="1529"/>
      <c r="AS629" s="1530"/>
      <c r="AT629" s="1148" t="str">
        <f t="shared" ref="AT629:AT638" si="2">IF(AND(NOT(C628=""),C629="",NOT(C630="")),"!","")</f>
        <v/>
      </c>
      <c r="AU629" s="3"/>
      <c r="AZ629" s="3"/>
      <c r="BA629" s="3"/>
      <c r="BB629" s="3"/>
      <c r="BC629" s="3"/>
      <c r="BD629" s="3"/>
    </row>
    <row r="630" spans="2:157" ht="13.05" customHeight="1">
      <c r="B630" s="52" t="s">
        <v>581</v>
      </c>
      <c r="C630" s="1418"/>
      <c r="D630" s="1418"/>
      <c r="E630" s="1418"/>
      <c r="F630" s="1418"/>
      <c r="G630" s="1418"/>
      <c r="H630" s="1418"/>
      <c r="I630" s="1418"/>
      <c r="J630" s="1418"/>
      <c r="K630" s="1418"/>
      <c r="L630" s="1418"/>
      <c r="M630" s="1597" t="s">
        <v>1184</v>
      </c>
      <c r="N630" s="1597"/>
      <c r="O630" s="1597"/>
      <c r="P630" s="1597"/>
      <c r="Q630" s="1419"/>
      <c r="R630" s="1420"/>
      <c r="S630" s="1421"/>
      <c r="T630" s="1419"/>
      <c r="U630" s="1420"/>
      <c r="V630" s="1421"/>
      <c r="W630" s="1495"/>
      <c r="X630" s="1496"/>
      <c r="Y630" s="1497"/>
      <c r="Z630" s="1531" t="s">
        <v>1184</v>
      </c>
      <c r="AA630" s="1532"/>
      <c r="AB630" s="1533"/>
      <c r="AC630" s="1499"/>
      <c r="AD630" s="1500"/>
      <c r="AE630" s="1501"/>
      <c r="AF630" s="1525"/>
      <c r="AG630" s="1526"/>
      <c r="AH630" s="1526"/>
      <c r="AI630" s="1526"/>
      <c r="AJ630" s="1527"/>
      <c r="AK630" s="1446"/>
      <c r="AL630" s="1447"/>
      <c r="AM630" s="1447"/>
      <c r="AN630" s="1448"/>
      <c r="AO630" s="1528"/>
      <c r="AP630" s="1529"/>
      <c r="AQ630" s="1529"/>
      <c r="AR630" s="1529"/>
      <c r="AS630" s="1530"/>
      <c r="AT630" s="1148" t="str">
        <f t="shared" si="2"/>
        <v/>
      </c>
      <c r="AU630" s="3"/>
      <c r="AZ630" s="3"/>
      <c r="BA630" s="3"/>
      <c r="BB630" s="3"/>
      <c r="BC630" s="3"/>
      <c r="BD630" s="3"/>
    </row>
    <row r="631" spans="2:157" ht="13.05" customHeight="1">
      <c r="B631" s="52" t="s">
        <v>763</v>
      </c>
      <c r="C631" s="1418"/>
      <c r="D631" s="1418"/>
      <c r="E631" s="1418"/>
      <c r="F631" s="1418"/>
      <c r="G631" s="1418"/>
      <c r="H631" s="1418"/>
      <c r="I631" s="1418"/>
      <c r="J631" s="1418"/>
      <c r="K631" s="1418"/>
      <c r="L631" s="1418"/>
      <c r="M631" s="1597" t="s">
        <v>1184</v>
      </c>
      <c r="N631" s="1597"/>
      <c r="O631" s="1597"/>
      <c r="P631" s="1597"/>
      <c r="Q631" s="1419"/>
      <c r="R631" s="1420"/>
      <c r="S631" s="1421"/>
      <c r="T631" s="1419"/>
      <c r="U631" s="1420"/>
      <c r="V631" s="1421"/>
      <c r="W631" s="1495"/>
      <c r="X631" s="1496"/>
      <c r="Y631" s="1497"/>
      <c r="Z631" s="1531" t="s">
        <v>1184</v>
      </c>
      <c r="AA631" s="1532"/>
      <c r="AB631" s="1533"/>
      <c r="AC631" s="1499"/>
      <c r="AD631" s="1500"/>
      <c r="AE631" s="1501"/>
      <c r="AF631" s="1525"/>
      <c r="AG631" s="1526"/>
      <c r="AH631" s="1526"/>
      <c r="AI631" s="1526"/>
      <c r="AJ631" s="1527"/>
      <c r="AK631" s="1446"/>
      <c r="AL631" s="1447"/>
      <c r="AM631" s="1447"/>
      <c r="AN631" s="1448"/>
      <c r="AO631" s="1528"/>
      <c r="AP631" s="1529"/>
      <c r="AQ631" s="1529"/>
      <c r="AR631" s="1529"/>
      <c r="AS631" s="1530"/>
      <c r="AT631" s="1148" t="str">
        <f t="shared" si="2"/>
        <v/>
      </c>
      <c r="AU631" s="3"/>
      <c r="AZ631" s="3"/>
      <c r="BA631" s="3"/>
      <c r="BB631" s="3"/>
      <c r="BC631" s="3"/>
      <c r="BD631" s="3"/>
    </row>
    <row r="632" spans="2:157" ht="13.05" customHeight="1">
      <c r="B632" s="52" t="s">
        <v>584</v>
      </c>
      <c r="C632" s="1418"/>
      <c r="D632" s="1418"/>
      <c r="E632" s="1418"/>
      <c r="F632" s="1418"/>
      <c r="G632" s="1418"/>
      <c r="H632" s="1418"/>
      <c r="I632" s="1418"/>
      <c r="J632" s="1418"/>
      <c r="K632" s="1418"/>
      <c r="L632" s="1418"/>
      <c r="M632" s="1597" t="s">
        <v>1184</v>
      </c>
      <c r="N632" s="1597"/>
      <c r="O632" s="1597"/>
      <c r="P632" s="1597"/>
      <c r="Q632" s="1419"/>
      <c r="R632" s="1420"/>
      <c r="S632" s="1421"/>
      <c r="T632" s="1419"/>
      <c r="U632" s="1420"/>
      <c r="V632" s="1421"/>
      <c r="W632" s="1495"/>
      <c r="X632" s="1496"/>
      <c r="Y632" s="1497"/>
      <c r="Z632" s="1531" t="s">
        <v>1184</v>
      </c>
      <c r="AA632" s="1532"/>
      <c r="AB632" s="1533"/>
      <c r="AC632" s="1499"/>
      <c r="AD632" s="1500"/>
      <c r="AE632" s="1501"/>
      <c r="AF632" s="1525"/>
      <c r="AG632" s="1526"/>
      <c r="AH632" s="1526"/>
      <c r="AI632" s="1526"/>
      <c r="AJ632" s="1527"/>
      <c r="AK632" s="1446"/>
      <c r="AL632" s="1447"/>
      <c r="AM632" s="1447"/>
      <c r="AN632" s="1448"/>
      <c r="AO632" s="1528"/>
      <c r="AP632" s="1529"/>
      <c r="AQ632" s="1529"/>
      <c r="AR632" s="1529"/>
      <c r="AS632" s="1530"/>
      <c r="AT632" s="1148" t="str">
        <f t="shared" si="2"/>
        <v/>
      </c>
      <c r="AU632" s="3"/>
      <c r="AZ632" s="3"/>
      <c r="BA632" s="3"/>
      <c r="BB632" s="3"/>
      <c r="BC632" s="3"/>
      <c r="BD632" s="3"/>
    </row>
    <row r="633" spans="2:157" ht="13.05" customHeight="1">
      <c r="B633" s="52" t="s">
        <v>455</v>
      </c>
      <c r="C633" s="1418"/>
      <c r="D633" s="1418"/>
      <c r="E633" s="1418"/>
      <c r="F633" s="1418"/>
      <c r="G633" s="1418"/>
      <c r="H633" s="1418"/>
      <c r="I633" s="1418"/>
      <c r="J633" s="1418"/>
      <c r="K633" s="1418"/>
      <c r="L633" s="1418"/>
      <c r="M633" s="1597" t="s">
        <v>1184</v>
      </c>
      <c r="N633" s="1597"/>
      <c r="O633" s="1597"/>
      <c r="P633" s="1597"/>
      <c r="Q633" s="1419"/>
      <c r="R633" s="1420"/>
      <c r="S633" s="1421"/>
      <c r="T633" s="1419"/>
      <c r="U633" s="1420"/>
      <c r="V633" s="1421"/>
      <c r="W633" s="1495"/>
      <c r="X633" s="1496"/>
      <c r="Y633" s="1497"/>
      <c r="Z633" s="1531" t="s">
        <v>1184</v>
      </c>
      <c r="AA633" s="1532"/>
      <c r="AB633" s="1533"/>
      <c r="AC633" s="1499"/>
      <c r="AD633" s="1500"/>
      <c r="AE633" s="1501"/>
      <c r="AF633" s="1525"/>
      <c r="AG633" s="1526"/>
      <c r="AH633" s="1526"/>
      <c r="AI633" s="1526"/>
      <c r="AJ633" s="1527"/>
      <c r="AK633" s="1446"/>
      <c r="AL633" s="1447"/>
      <c r="AM633" s="1447"/>
      <c r="AN633" s="1448"/>
      <c r="AO633" s="1528"/>
      <c r="AP633" s="1529"/>
      <c r="AQ633" s="1529"/>
      <c r="AR633" s="1529"/>
      <c r="AS633" s="1530"/>
      <c r="AT633" s="1148" t="str">
        <f t="shared" si="2"/>
        <v/>
      </c>
      <c r="AU633" s="3"/>
      <c r="AV633" s="3"/>
      <c r="AW633" s="3"/>
      <c r="AX633" s="3"/>
      <c r="AY633" s="3"/>
      <c r="AZ633" s="3"/>
      <c r="BA633" s="3"/>
      <c r="BB633" s="3"/>
      <c r="BC633" s="3"/>
      <c r="BD633" s="3"/>
    </row>
    <row r="634" spans="2:157" ht="13.05" customHeight="1">
      <c r="B634" s="52" t="s">
        <v>456</v>
      </c>
      <c r="C634" s="1418"/>
      <c r="D634" s="1418"/>
      <c r="E634" s="1418"/>
      <c r="F634" s="1418"/>
      <c r="G634" s="1418"/>
      <c r="H634" s="1418"/>
      <c r="I634" s="1418"/>
      <c r="J634" s="1418"/>
      <c r="K634" s="1418"/>
      <c r="L634" s="1418"/>
      <c r="M634" s="1597" t="s">
        <v>1184</v>
      </c>
      <c r="N634" s="1597"/>
      <c r="O634" s="1597"/>
      <c r="P634" s="1597"/>
      <c r="Q634" s="1419"/>
      <c r="R634" s="1420"/>
      <c r="S634" s="1421"/>
      <c r="T634" s="1419"/>
      <c r="U634" s="1420"/>
      <c r="V634" s="1421"/>
      <c r="W634" s="1495"/>
      <c r="X634" s="1496"/>
      <c r="Y634" s="1497"/>
      <c r="Z634" s="1531" t="s">
        <v>1184</v>
      </c>
      <c r="AA634" s="1532"/>
      <c r="AB634" s="1533"/>
      <c r="AC634" s="1499"/>
      <c r="AD634" s="1500"/>
      <c r="AE634" s="1501"/>
      <c r="AF634" s="1525"/>
      <c r="AG634" s="1526"/>
      <c r="AH634" s="1526"/>
      <c r="AI634" s="1526"/>
      <c r="AJ634" s="1527"/>
      <c r="AK634" s="1446"/>
      <c r="AL634" s="1447"/>
      <c r="AM634" s="1447"/>
      <c r="AN634" s="1448"/>
      <c r="AO634" s="1528"/>
      <c r="AP634" s="1529"/>
      <c r="AQ634" s="1529"/>
      <c r="AR634" s="1529"/>
      <c r="AS634" s="1530"/>
      <c r="AT634" s="1148" t="str">
        <f t="shared" si="2"/>
        <v/>
      </c>
      <c r="AU634" s="3"/>
      <c r="AV634" s="3"/>
      <c r="AW634" s="3"/>
      <c r="AX634" s="3"/>
      <c r="AY634" s="3"/>
      <c r="AZ634" s="3"/>
      <c r="BA634" s="3" t="s">
        <v>1184</v>
      </c>
      <c r="BB634" s="3"/>
      <c r="BC634" s="3"/>
      <c r="BD634" s="3"/>
    </row>
    <row r="635" spans="2:157" ht="13.05" customHeight="1">
      <c r="B635" s="52" t="s">
        <v>461</v>
      </c>
      <c r="C635" s="1418"/>
      <c r="D635" s="1418"/>
      <c r="E635" s="1418"/>
      <c r="F635" s="1418"/>
      <c r="G635" s="1418"/>
      <c r="H635" s="1418"/>
      <c r="I635" s="1418"/>
      <c r="J635" s="1418"/>
      <c r="K635" s="1418"/>
      <c r="L635" s="1418"/>
      <c r="M635" s="1597" t="s">
        <v>1184</v>
      </c>
      <c r="N635" s="1597"/>
      <c r="O635" s="1597"/>
      <c r="P635" s="1597"/>
      <c r="Q635" s="1419"/>
      <c r="R635" s="1420"/>
      <c r="S635" s="1421"/>
      <c r="T635" s="1419"/>
      <c r="U635" s="1420"/>
      <c r="V635" s="1421"/>
      <c r="W635" s="1495"/>
      <c r="X635" s="1496"/>
      <c r="Y635" s="1497"/>
      <c r="Z635" s="1531" t="s">
        <v>1184</v>
      </c>
      <c r="AA635" s="1532"/>
      <c r="AB635" s="1533"/>
      <c r="AC635" s="1499"/>
      <c r="AD635" s="1500"/>
      <c r="AE635" s="1501"/>
      <c r="AF635" s="1525"/>
      <c r="AG635" s="1526"/>
      <c r="AH635" s="1526"/>
      <c r="AI635" s="1526"/>
      <c r="AJ635" s="1527"/>
      <c r="AK635" s="1446"/>
      <c r="AL635" s="1447"/>
      <c r="AM635" s="1447"/>
      <c r="AN635" s="1448"/>
      <c r="AO635" s="1528"/>
      <c r="AP635" s="1529"/>
      <c r="AQ635" s="1529"/>
      <c r="AR635" s="1529"/>
      <c r="AS635" s="1530"/>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8" t="e">
        <f t="shared" ref="DX635:DX669" si="3">EZ718*(CP718/$CP$753)</f>
        <v>#VALUE!</v>
      </c>
      <c r="DY635" s="1498"/>
      <c r="DZ635" s="1498"/>
      <c r="EA635" s="1498"/>
      <c r="EB635" s="1498"/>
      <c r="EC635" s="1498">
        <f t="shared" ref="EC635:EC669" si="4">FE718*(CU718/$CU$753)</f>
        <v>261.25</v>
      </c>
      <c r="ED635" s="1498"/>
      <c r="EE635" s="1498"/>
      <c r="EF635" s="1498"/>
      <c r="EG635" s="1498"/>
      <c r="EH635" s="1498" t="e">
        <f t="shared" ref="EH635:EH669" si="5">FJ718*(CZ718/$CZ$753)</f>
        <v>#VALUE!</v>
      </c>
      <c r="EI635" s="1498"/>
      <c r="EJ635" s="1498"/>
      <c r="EK635" s="1498"/>
      <c r="EL635" s="1498"/>
      <c r="EM635" s="1498" t="e">
        <f t="shared" ref="EM635:EM669" si="6">FO718*(DE718/$DE$753)</f>
        <v>#VALUE!</v>
      </c>
      <c r="EN635" s="1498"/>
      <c r="EO635" s="1498"/>
      <c r="EP635" s="1498"/>
      <c r="EQ635" s="1498"/>
      <c r="ER635" s="1498" t="e">
        <f t="shared" ref="ER635:ER669" si="7">FT718*(DJ718/$DJ$753)</f>
        <v>#VALUE!</v>
      </c>
      <c r="ES635" s="1498"/>
      <c r="ET635" s="1498"/>
      <c r="EU635" s="1498"/>
      <c r="EV635" s="1498"/>
      <c r="EW635" s="1498" t="e">
        <f t="shared" ref="EW635:EW669" si="8">FY718*(DO718/$DO$753)</f>
        <v>#VALUE!</v>
      </c>
      <c r="EX635" s="1498"/>
      <c r="EY635" s="1498"/>
      <c r="EZ635" s="1498"/>
      <c r="FA635" s="1498"/>
    </row>
    <row r="636" spans="2:157" ht="13.05" customHeight="1">
      <c r="B636" s="52" t="s">
        <v>646</v>
      </c>
      <c r="C636" s="1418"/>
      <c r="D636" s="1418"/>
      <c r="E636" s="1418"/>
      <c r="F636" s="1418"/>
      <c r="G636" s="1418"/>
      <c r="H636" s="1418"/>
      <c r="I636" s="1418"/>
      <c r="J636" s="1418"/>
      <c r="K636" s="1418"/>
      <c r="L636" s="1418"/>
      <c r="M636" s="1597" t="s">
        <v>1184</v>
      </c>
      <c r="N636" s="1597"/>
      <c r="O636" s="1597"/>
      <c r="P636" s="1597"/>
      <c r="Q636" s="1419"/>
      <c r="R636" s="1420"/>
      <c r="S636" s="1421"/>
      <c r="T636" s="1419"/>
      <c r="U636" s="1420"/>
      <c r="V636" s="1421"/>
      <c r="W636" s="1495"/>
      <c r="X636" s="1496"/>
      <c r="Y636" s="1497"/>
      <c r="Z636" s="1531" t="s">
        <v>1184</v>
      </c>
      <c r="AA636" s="1532"/>
      <c r="AB636" s="1533"/>
      <c r="AC636" s="1499"/>
      <c r="AD636" s="1500"/>
      <c r="AE636" s="1501"/>
      <c r="AF636" s="1525"/>
      <c r="AG636" s="1526"/>
      <c r="AH636" s="1526"/>
      <c r="AI636" s="1526"/>
      <c r="AJ636" s="1527"/>
      <c r="AK636" s="1446"/>
      <c r="AL636" s="1447"/>
      <c r="AM636" s="1447"/>
      <c r="AN636" s="1448"/>
      <c r="AO636" s="1528"/>
      <c r="AP636" s="1529"/>
      <c r="AQ636" s="1529"/>
      <c r="AR636" s="1529"/>
      <c r="AS636" s="1530"/>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98" t="e">
        <f t="shared" si="3"/>
        <v>#VALUE!</v>
      </c>
      <c r="DY636" s="1498"/>
      <c r="DZ636" s="1498"/>
      <c r="EA636" s="1498"/>
      <c r="EB636" s="1498"/>
      <c r="EC636" s="1498">
        <f t="shared" si="4"/>
        <v>495.25000000000006</v>
      </c>
      <c r="ED636" s="1498"/>
      <c r="EE636" s="1498"/>
      <c r="EF636" s="1498"/>
      <c r="EG636" s="1498"/>
      <c r="EH636" s="1498" t="e">
        <f t="shared" si="5"/>
        <v>#VALUE!</v>
      </c>
      <c r="EI636" s="1498"/>
      <c r="EJ636" s="1498"/>
      <c r="EK636" s="1498"/>
      <c r="EL636" s="1498"/>
      <c r="EM636" s="1498" t="e">
        <f t="shared" si="6"/>
        <v>#VALUE!</v>
      </c>
      <c r="EN636" s="1498"/>
      <c r="EO636" s="1498"/>
      <c r="EP636" s="1498"/>
      <c r="EQ636" s="1498"/>
      <c r="ER636" s="1498" t="e">
        <f t="shared" si="7"/>
        <v>#VALUE!</v>
      </c>
      <c r="ES636" s="1498"/>
      <c r="ET636" s="1498"/>
      <c r="EU636" s="1498"/>
      <c r="EV636" s="1498"/>
      <c r="EW636" s="1498" t="e">
        <f t="shared" si="8"/>
        <v>#VALUE!</v>
      </c>
      <c r="EX636" s="1498"/>
      <c r="EY636" s="1498"/>
      <c r="EZ636" s="1498"/>
      <c r="FA636" s="1498"/>
    </row>
    <row r="637" spans="2:157" ht="13.05" customHeight="1">
      <c r="B637" s="52" t="s">
        <v>362</v>
      </c>
      <c r="C637" s="1418"/>
      <c r="D637" s="1418"/>
      <c r="E637" s="1418"/>
      <c r="F637" s="1418"/>
      <c r="G637" s="1418"/>
      <c r="H637" s="1418"/>
      <c r="I637" s="1418"/>
      <c r="J637" s="1418"/>
      <c r="K637" s="1418"/>
      <c r="L637" s="1418"/>
      <c r="M637" s="1597" t="s">
        <v>1184</v>
      </c>
      <c r="N637" s="1597"/>
      <c r="O637" s="1597"/>
      <c r="P637" s="1597"/>
      <c r="Q637" s="1419"/>
      <c r="R637" s="1420"/>
      <c r="S637" s="1421"/>
      <c r="T637" s="1419"/>
      <c r="U637" s="1420"/>
      <c r="V637" s="1421"/>
      <c r="W637" s="1495"/>
      <c r="X637" s="1496"/>
      <c r="Y637" s="1497"/>
      <c r="Z637" s="1531" t="s">
        <v>1184</v>
      </c>
      <c r="AA637" s="1532"/>
      <c r="AB637" s="1533"/>
      <c r="AC637" s="1499"/>
      <c r="AD637" s="1500"/>
      <c r="AE637" s="1501"/>
      <c r="AF637" s="1525"/>
      <c r="AG637" s="1526"/>
      <c r="AH637" s="1526"/>
      <c r="AI637" s="1526"/>
      <c r="AJ637" s="1527"/>
      <c r="AK637" s="1446"/>
      <c r="AL637" s="1447"/>
      <c r="AM637" s="1447"/>
      <c r="AN637" s="1448"/>
      <c r="AO637" s="1528"/>
      <c r="AP637" s="1529"/>
      <c r="AQ637" s="1529"/>
      <c r="AR637" s="1529"/>
      <c r="AS637" s="1530"/>
      <c r="AT637" s="1148" t="str">
        <f t="shared" si="2"/>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98" t="e">
        <f t="shared" si="3"/>
        <v>#VALUE!</v>
      </c>
      <c r="DY637" s="1498"/>
      <c r="DZ637" s="1498"/>
      <c r="EA637" s="1498"/>
      <c r="EB637" s="1498"/>
      <c r="EC637" s="1498">
        <f t="shared" si="4"/>
        <v>76</v>
      </c>
      <c r="ED637" s="1498"/>
      <c r="EE637" s="1498"/>
      <c r="EF637" s="1498"/>
      <c r="EG637" s="1498"/>
      <c r="EH637" s="1498" t="e">
        <f t="shared" si="5"/>
        <v>#VALUE!</v>
      </c>
      <c r="EI637" s="1498"/>
      <c r="EJ637" s="1498"/>
      <c r="EK637" s="1498"/>
      <c r="EL637" s="1498"/>
      <c r="EM637" s="1498" t="e">
        <f t="shared" si="6"/>
        <v>#VALUE!</v>
      </c>
      <c r="EN637" s="1498"/>
      <c r="EO637" s="1498"/>
      <c r="EP637" s="1498"/>
      <c r="EQ637" s="1498"/>
      <c r="ER637" s="1498" t="e">
        <f t="shared" si="7"/>
        <v>#VALUE!</v>
      </c>
      <c r="ES637" s="1498"/>
      <c r="ET637" s="1498"/>
      <c r="EU637" s="1498"/>
      <c r="EV637" s="1498"/>
      <c r="EW637" s="1498" t="e">
        <f t="shared" si="8"/>
        <v>#VALUE!</v>
      </c>
      <c r="EX637" s="1498"/>
      <c r="EY637" s="1498"/>
      <c r="EZ637" s="1498"/>
      <c r="FA637" s="1498"/>
    </row>
    <row r="638" spans="2:157" ht="13.05" customHeight="1">
      <c r="B638" s="52" t="s">
        <v>363</v>
      </c>
      <c r="C638" s="1418"/>
      <c r="D638" s="1418"/>
      <c r="E638" s="1418"/>
      <c r="F638" s="1418"/>
      <c r="G638" s="1418"/>
      <c r="H638" s="1418"/>
      <c r="I638" s="1418"/>
      <c r="J638" s="1418"/>
      <c r="K638" s="1418"/>
      <c r="L638" s="1418"/>
      <c r="M638" s="1597" t="s">
        <v>1184</v>
      </c>
      <c r="N638" s="1597"/>
      <c r="O638" s="1597"/>
      <c r="P638" s="1597"/>
      <c r="Q638" s="1419"/>
      <c r="R638" s="1420"/>
      <c r="S638" s="1421"/>
      <c r="T638" s="1419"/>
      <c r="U638" s="1420"/>
      <c r="V638" s="1421"/>
      <c r="W638" s="1495"/>
      <c r="X638" s="1496"/>
      <c r="Y638" s="1497"/>
      <c r="Z638" s="1531" t="s">
        <v>1184</v>
      </c>
      <c r="AA638" s="1532"/>
      <c r="AB638" s="1533"/>
      <c r="AC638" s="1499"/>
      <c r="AD638" s="1500"/>
      <c r="AE638" s="1501"/>
      <c r="AF638" s="1525"/>
      <c r="AG638" s="1526"/>
      <c r="AH638" s="1526"/>
      <c r="AI638" s="1526"/>
      <c r="AJ638" s="1527"/>
      <c r="AK638" s="1446"/>
      <c r="AL638" s="1447"/>
      <c r="AM638" s="1447"/>
      <c r="AN638" s="1448"/>
      <c r="AO638" s="1528"/>
      <c r="AP638" s="1529"/>
      <c r="AQ638" s="1529"/>
      <c r="AR638" s="1529"/>
      <c r="AS638" s="153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98" t="e">
        <f t="shared" si="3"/>
        <v>#VALUE!</v>
      </c>
      <c r="DY638" s="1498"/>
      <c r="DZ638" s="1498"/>
      <c r="EA638" s="1498"/>
      <c r="EB638" s="1498"/>
      <c r="EC638" s="1498" t="e">
        <f t="shared" si="4"/>
        <v>#VALUE!</v>
      </c>
      <c r="ED638" s="1498"/>
      <c r="EE638" s="1498"/>
      <c r="EF638" s="1498"/>
      <c r="EG638" s="1498"/>
      <c r="EH638" s="1498">
        <f t="shared" si="5"/>
        <v>342.77777777777777</v>
      </c>
      <c r="EI638" s="1498"/>
      <c r="EJ638" s="1498"/>
      <c r="EK638" s="1498"/>
      <c r="EL638" s="1498"/>
      <c r="EM638" s="1498" t="e">
        <f t="shared" si="6"/>
        <v>#VALUE!</v>
      </c>
      <c r="EN638" s="1498"/>
      <c r="EO638" s="1498"/>
      <c r="EP638" s="1498"/>
      <c r="EQ638" s="1498"/>
      <c r="ER638" s="1498" t="e">
        <f t="shared" si="7"/>
        <v>#VALUE!</v>
      </c>
      <c r="ES638" s="1498"/>
      <c r="ET638" s="1498"/>
      <c r="EU638" s="1498"/>
      <c r="EV638" s="1498"/>
      <c r="EW638" s="1498" t="e">
        <f t="shared" si="8"/>
        <v>#VALUE!</v>
      </c>
      <c r="EX638" s="1498"/>
      <c r="EY638" s="1498"/>
      <c r="EZ638" s="1498"/>
      <c r="FA638" s="1498"/>
    </row>
    <row r="639" spans="2:157" ht="13.05" customHeight="1">
      <c r="B639" s="1502" t="s">
        <v>128</v>
      </c>
      <c r="C639" s="1503"/>
      <c r="D639" s="1503"/>
      <c r="E639" s="1503"/>
      <c r="F639" s="1503"/>
      <c r="G639" s="1503"/>
      <c r="H639" s="1503"/>
      <c r="I639" s="1503"/>
      <c r="J639" s="1503"/>
      <c r="K639" s="1503"/>
      <c r="L639" s="1503"/>
      <c r="M639" s="1503"/>
      <c r="N639" s="1503"/>
      <c r="O639" s="1503"/>
      <c r="P639" s="1503"/>
      <c r="Q639" s="1503"/>
      <c r="R639" s="1503"/>
      <c r="S639" s="1503"/>
      <c r="T639" s="1503"/>
      <c r="U639" s="1503"/>
      <c r="V639" s="1503"/>
      <c r="W639" s="1503"/>
      <c r="X639" s="1503"/>
      <c r="Y639" s="1503"/>
      <c r="Z639" s="1503"/>
      <c r="AA639" s="1503"/>
      <c r="AB639" s="1503"/>
      <c r="AC639" s="1503"/>
      <c r="AD639" s="1503"/>
      <c r="AE639" s="1503"/>
      <c r="AF639" s="1503"/>
      <c r="AG639" s="1503"/>
      <c r="AH639" s="1503"/>
      <c r="AI639" s="1503"/>
      <c r="AJ639" s="1503"/>
      <c r="AK639" s="1503"/>
      <c r="AL639" s="1503"/>
      <c r="AM639" s="1503"/>
      <c r="AN639" s="1504"/>
      <c r="AO639" s="1614">
        <f>SUM(AO627:AR638)</f>
        <v>10152578</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98" t="e">
        <f t="shared" si="3"/>
        <v>#VALUE!</v>
      </c>
      <c r="DY639" s="1498"/>
      <c r="DZ639" s="1498"/>
      <c r="EA639" s="1498"/>
      <c r="EB639" s="1498"/>
      <c r="EC639" s="1498" t="e">
        <f t="shared" si="4"/>
        <v>#VALUE!</v>
      </c>
      <c r="ED639" s="1498"/>
      <c r="EE639" s="1498"/>
      <c r="EF639" s="1498"/>
      <c r="EG639" s="1498"/>
      <c r="EH639" s="1498">
        <f t="shared" si="5"/>
        <v>609.88888888888891</v>
      </c>
      <c r="EI639" s="1498"/>
      <c r="EJ639" s="1498"/>
      <c r="EK639" s="1498"/>
      <c r="EL639" s="1498"/>
      <c r="EM639" s="1498" t="e">
        <f t="shared" si="6"/>
        <v>#VALUE!</v>
      </c>
      <c r="EN639" s="1498"/>
      <c r="EO639" s="1498"/>
      <c r="EP639" s="1498"/>
      <c r="EQ639" s="1498"/>
      <c r="ER639" s="1498" t="e">
        <f t="shared" si="7"/>
        <v>#VALUE!</v>
      </c>
      <c r="ES639" s="1498"/>
      <c r="ET639" s="1498"/>
      <c r="EU639" s="1498"/>
      <c r="EV639" s="1498"/>
      <c r="EW639" s="1498" t="e">
        <f t="shared" si="8"/>
        <v>#VALUE!</v>
      </c>
      <c r="EX639" s="1498"/>
      <c r="EY639" s="1498"/>
      <c r="EZ639" s="1498"/>
      <c r="FA639" s="1498"/>
    </row>
    <row r="640" spans="2:157" ht="13.05" customHeight="1">
      <c r="B640" s="1502" t="s">
        <v>267</v>
      </c>
      <c r="C640" s="1503"/>
      <c r="D640" s="1503"/>
      <c r="E640" s="1503"/>
      <c r="F640" s="1503"/>
      <c r="G640" s="1503"/>
      <c r="H640" s="1503"/>
      <c r="I640" s="1503"/>
      <c r="J640" s="1503"/>
      <c r="K640" s="1503"/>
      <c r="L640" s="1503"/>
      <c r="M640" s="1503"/>
      <c r="N640" s="1503"/>
      <c r="O640" s="1503"/>
      <c r="P640" s="1503"/>
      <c r="Q640" s="1503"/>
      <c r="R640" s="1503"/>
      <c r="S640" s="1503"/>
      <c r="T640" s="1503"/>
      <c r="U640" s="1503"/>
      <c r="V640" s="1503"/>
      <c r="W640" s="1503"/>
      <c r="X640" s="1503"/>
      <c r="Y640" s="1503"/>
      <c r="Z640" s="1503"/>
      <c r="AA640" s="1503"/>
      <c r="AB640" s="1503"/>
      <c r="AC640" s="1503"/>
      <c r="AD640" s="1503"/>
      <c r="AE640" s="1503"/>
      <c r="AF640" s="1503"/>
      <c r="AG640" s="1503"/>
      <c r="AH640" s="1503"/>
      <c r="AI640" s="1503"/>
      <c r="AJ640" s="1503"/>
      <c r="AK640" s="1503"/>
      <c r="AL640" s="1503"/>
      <c r="AM640" s="1503"/>
      <c r="AN640" s="1504"/>
      <c r="AO640" s="1528">
        <v>26423389</v>
      </c>
      <c r="AP640" s="1529"/>
      <c r="AQ640" s="1529"/>
      <c r="AR640" s="1529"/>
      <c r="AS640" s="153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98" t="e">
        <f t="shared" si="3"/>
        <v>#VALUE!</v>
      </c>
      <c r="DY640" s="1498"/>
      <c r="DZ640" s="1498"/>
      <c r="EA640" s="1498"/>
      <c r="EB640" s="1498"/>
      <c r="EC640" s="1498" t="e">
        <f t="shared" si="4"/>
        <v>#VALUE!</v>
      </c>
      <c r="ED640" s="1498"/>
      <c r="EE640" s="1498"/>
      <c r="EF640" s="1498"/>
      <c r="EG640" s="1498"/>
      <c r="EH640" s="1498">
        <f t="shared" si="5"/>
        <v>58.55555555555555</v>
      </c>
      <c r="EI640" s="1498"/>
      <c r="EJ640" s="1498"/>
      <c r="EK640" s="1498"/>
      <c r="EL640" s="1498"/>
      <c r="EM640" s="1498" t="e">
        <f t="shared" si="6"/>
        <v>#VALUE!</v>
      </c>
      <c r="EN640" s="1498"/>
      <c r="EO640" s="1498"/>
      <c r="EP640" s="1498"/>
      <c r="EQ640" s="1498"/>
      <c r="ER640" s="1498" t="e">
        <f t="shared" si="7"/>
        <v>#VALUE!</v>
      </c>
      <c r="ES640" s="1498"/>
      <c r="ET640" s="1498"/>
      <c r="EU640" s="1498"/>
      <c r="EV640" s="1498"/>
      <c r="EW640" s="1498" t="e">
        <f t="shared" si="8"/>
        <v>#VALUE!</v>
      </c>
      <c r="EX640" s="1498"/>
      <c r="EY640" s="1498"/>
      <c r="EZ640" s="1498"/>
      <c r="FA640" s="1498"/>
    </row>
    <row r="641" spans="1:157" ht="13.05" customHeight="1">
      <c r="B641" s="1677" t="s">
        <v>268</v>
      </c>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78"/>
      <c r="AJ641" s="1678"/>
      <c r="AK641" s="1678"/>
      <c r="AL641" s="1678"/>
      <c r="AM641" s="1678"/>
      <c r="AN641" s="1679"/>
      <c r="AO641" s="1614">
        <f>AO639+AO640</f>
        <v>36575967</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98" t="e">
        <f t="shared" si="3"/>
        <v>#VALUE!</v>
      </c>
      <c r="DY641" s="1498"/>
      <c r="DZ641" s="1498"/>
      <c r="EA641" s="1498"/>
      <c r="EB641" s="1498"/>
      <c r="EC641" s="1498" t="e">
        <f t="shared" si="4"/>
        <v>#VALUE!</v>
      </c>
      <c r="ED641" s="1498"/>
      <c r="EE641" s="1498"/>
      <c r="EF641" s="1498"/>
      <c r="EG641" s="1498"/>
      <c r="EH641" s="1498" t="e">
        <f t="shared" si="5"/>
        <v>#VALUE!</v>
      </c>
      <c r="EI641" s="1498"/>
      <c r="EJ641" s="1498"/>
      <c r="EK641" s="1498"/>
      <c r="EL641" s="1498"/>
      <c r="EM641" s="1498">
        <f t="shared" si="6"/>
        <v>281.2</v>
      </c>
      <c r="EN641" s="1498"/>
      <c r="EO641" s="1498"/>
      <c r="EP641" s="1498"/>
      <c r="EQ641" s="1498"/>
      <c r="ER641" s="1498" t="e">
        <f t="shared" si="7"/>
        <v>#VALUE!</v>
      </c>
      <c r="ES641" s="1498"/>
      <c r="ET641" s="1498"/>
      <c r="EU641" s="1498"/>
      <c r="EV641" s="1498"/>
      <c r="EW641" s="1498" t="e">
        <f t="shared" si="8"/>
        <v>#VALUE!</v>
      </c>
      <c r="EX641" s="1498"/>
      <c r="EY641" s="1498"/>
      <c r="EZ641" s="1498"/>
      <c r="FA641" s="1498"/>
    </row>
    <row r="642" spans="1:157" ht="13.0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98" t="e">
        <f t="shared" si="3"/>
        <v>#VALUE!</v>
      </c>
      <c r="DY642" s="1498"/>
      <c r="DZ642" s="1498"/>
      <c r="EA642" s="1498"/>
      <c r="EB642" s="1498"/>
      <c r="EC642" s="1498" t="e">
        <f t="shared" si="4"/>
        <v>#VALUE!</v>
      </c>
      <c r="ED642" s="1498"/>
      <c r="EE642" s="1498"/>
      <c r="EF642" s="1498"/>
      <c r="EG642" s="1498"/>
      <c r="EH642" s="1498" t="e">
        <f t="shared" si="5"/>
        <v>#VALUE!</v>
      </c>
      <c r="EI642" s="1498"/>
      <c r="EJ642" s="1498"/>
      <c r="EK642" s="1498"/>
      <c r="EL642" s="1498"/>
      <c r="EM642" s="1498">
        <f t="shared" si="6"/>
        <v>756</v>
      </c>
      <c r="EN642" s="1498"/>
      <c r="EO642" s="1498"/>
      <c r="EP642" s="1498"/>
      <c r="EQ642" s="1498"/>
      <c r="ER642" s="1498" t="e">
        <f t="shared" si="7"/>
        <v>#VALUE!</v>
      </c>
      <c r="ES642" s="1498"/>
      <c r="ET642" s="1498"/>
      <c r="EU642" s="1498"/>
      <c r="EV642" s="1498"/>
      <c r="EW642" s="1498" t="e">
        <f t="shared" si="8"/>
        <v>#VALUE!</v>
      </c>
      <c r="EX642" s="1498"/>
      <c r="EY642" s="1498"/>
      <c r="EZ642" s="1498"/>
      <c r="FA642" s="1498"/>
    </row>
    <row r="643" spans="1:157" ht="13.05" customHeight="1">
      <c r="A643" s="55" t="s">
        <v>112</v>
      </c>
      <c r="B643" t="s">
        <v>463</v>
      </c>
      <c r="G643" s="1416" t="str">
        <f>C627</f>
        <v>CitiBank Permenant Loan</v>
      </c>
      <c r="H643" s="1416"/>
      <c r="I643" s="1416"/>
      <c r="J643" s="1416"/>
      <c r="K643" s="1416"/>
      <c r="L643" s="1416"/>
      <c r="M643" s="1416"/>
      <c r="N643" s="1416"/>
      <c r="O643" s="1416"/>
      <c r="P643" s="1416"/>
      <c r="Q643" s="1416"/>
      <c r="R643" s="1416"/>
      <c r="S643" s="8"/>
      <c r="T643" s="55" t="s">
        <v>113</v>
      </c>
      <c r="U643" t="s">
        <v>463</v>
      </c>
      <c r="Z643" s="1416" t="str">
        <f>C628</f>
        <v>USDA 514 FLH Permenant Loan</v>
      </c>
      <c r="AA643" s="1416"/>
      <c r="AB643" s="1416"/>
      <c r="AC643" s="1416"/>
      <c r="AD643" s="1416"/>
      <c r="AE643" s="1416"/>
      <c r="AF643" s="1416"/>
      <c r="AG643" s="1416"/>
      <c r="AH643" s="1416"/>
      <c r="AI643" s="1416"/>
      <c r="AJ643" s="1416"/>
      <c r="AK643" s="141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8" t="e">
        <f t="shared" si="3"/>
        <v>#VALUE!</v>
      </c>
      <c r="DY643" s="1498"/>
      <c r="DZ643" s="1498"/>
      <c r="EA643" s="1498"/>
      <c r="EB643" s="1498"/>
      <c r="EC643" s="1498" t="e">
        <f t="shared" si="4"/>
        <v>#VALUE!</v>
      </c>
      <c r="ED643" s="1498"/>
      <c r="EE643" s="1498"/>
      <c r="EF643" s="1498"/>
      <c r="EG643" s="1498"/>
      <c r="EH643" s="1498" t="e">
        <f t="shared" si="5"/>
        <v>#VALUE!</v>
      </c>
      <c r="EI643" s="1498"/>
      <c r="EJ643" s="1498"/>
      <c r="EK643" s="1498"/>
      <c r="EL643" s="1498"/>
      <c r="EM643" s="1498">
        <f t="shared" si="6"/>
        <v>78.666666666666671</v>
      </c>
      <c r="EN643" s="1498"/>
      <c r="EO643" s="1498"/>
      <c r="EP643" s="1498"/>
      <c r="EQ643" s="1498"/>
      <c r="ER643" s="1498" t="e">
        <f t="shared" si="7"/>
        <v>#VALUE!</v>
      </c>
      <c r="ES643" s="1498"/>
      <c r="ET643" s="1498"/>
      <c r="EU643" s="1498"/>
      <c r="EV643" s="1498"/>
      <c r="EW643" s="1498" t="e">
        <f t="shared" si="8"/>
        <v>#VALUE!</v>
      </c>
      <c r="EX643" s="1498"/>
      <c r="EY643" s="1498"/>
      <c r="EZ643" s="1498"/>
      <c r="FA643" s="1498"/>
    </row>
    <row r="644" spans="1:157" ht="13.05" customHeight="1">
      <c r="A644" s="22"/>
      <c r="B644" t="s">
        <v>85</v>
      </c>
      <c r="G644" s="1362" t="s">
        <v>2717</v>
      </c>
      <c r="H644" s="1362"/>
      <c r="I644" s="1362"/>
      <c r="J644" s="1362"/>
      <c r="K644" s="1362"/>
      <c r="L644" s="1362"/>
      <c r="M644" s="1362"/>
      <c r="N644" s="1362"/>
      <c r="O644" s="1362"/>
      <c r="P644" s="1362"/>
      <c r="Q644" s="1362"/>
      <c r="R644" s="1362"/>
      <c r="S644" s="8"/>
      <c r="T644" s="22"/>
      <c r="U644" t="s">
        <v>85</v>
      </c>
      <c r="Z644" s="1672" t="s">
        <v>2725</v>
      </c>
      <c r="AA644" s="1362"/>
      <c r="AB644" s="1362"/>
      <c r="AC644" s="1362"/>
      <c r="AD644" s="1362"/>
      <c r="AE644" s="1362"/>
      <c r="AF644" s="1362"/>
      <c r="AG644" s="1362"/>
      <c r="AH644" s="1362"/>
      <c r="AI644" s="1362"/>
      <c r="AJ644" s="1362"/>
      <c r="AK644" s="1362"/>
      <c r="AV644" s="3"/>
      <c r="AW644" s="3"/>
      <c r="AX644" s="3"/>
      <c r="AY644" s="3"/>
      <c r="AZ644" s="3"/>
      <c r="BA644" s="3"/>
      <c r="BB644" s="3"/>
      <c r="BC644" s="3"/>
      <c r="BD644" s="3"/>
      <c r="BE644" s="3"/>
      <c r="BF644" s="3"/>
      <c r="BG644" s="3"/>
      <c r="BH644" s="3"/>
      <c r="BI644" s="3"/>
      <c r="BJ644" s="3"/>
      <c r="BK644" s="3"/>
      <c r="BL644" s="3"/>
      <c r="BM644" s="3"/>
      <c r="DX644" s="1498" t="e">
        <f t="shared" si="3"/>
        <v>#VALUE!</v>
      </c>
      <c r="DY644" s="1498"/>
      <c r="DZ644" s="1498"/>
      <c r="EA644" s="1498"/>
      <c r="EB644" s="1498"/>
      <c r="EC644" s="1498" t="e">
        <f t="shared" si="4"/>
        <v>#VALUE!</v>
      </c>
      <c r="ED644" s="1498"/>
      <c r="EE644" s="1498"/>
      <c r="EF644" s="1498"/>
      <c r="EG644" s="1498"/>
      <c r="EH644" s="1498" t="e">
        <f t="shared" si="5"/>
        <v>#VALUE!</v>
      </c>
      <c r="EI644" s="1498"/>
      <c r="EJ644" s="1498"/>
      <c r="EK644" s="1498"/>
      <c r="EL644" s="1498"/>
      <c r="EM644" s="1498" t="e">
        <f t="shared" si="6"/>
        <v>#VALUE!</v>
      </c>
      <c r="EN644" s="1498"/>
      <c r="EO644" s="1498"/>
      <c r="EP644" s="1498"/>
      <c r="EQ644" s="1498"/>
      <c r="ER644" s="1498" t="e">
        <f t="shared" si="7"/>
        <v>#VALUE!</v>
      </c>
      <c r="ES644" s="1498"/>
      <c r="ET644" s="1498"/>
      <c r="EU644" s="1498"/>
      <c r="EV644" s="1498"/>
      <c r="EW644" s="1498" t="e">
        <f t="shared" si="8"/>
        <v>#VALUE!</v>
      </c>
      <c r="EX644" s="1498"/>
      <c r="EY644" s="1498"/>
      <c r="EZ644" s="1498"/>
      <c r="FA644" s="1498"/>
    </row>
    <row r="645" spans="1:157" ht="13.05" customHeight="1">
      <c r="A645" s="22"/>
      <c r="B645" t="s">
        <v>580</v>
      </c>
      <c r="G645" s="1362" t="s">
        <v>2718</v>
      </c>
      <c r="H645" s="1362"/>
      <c r="I645" s="1362"/>
      <c r="J645" s="1362"/>
      <c r="K645" s="1362"/>
      <c r="L645" s="1362"/>
      <c r="M645" s="1362"/>
      <c r="N645" s="1362"/>
      <c r="O645" s="1362"/>
      <c r="P645" s="1362"/>
      <c r="Q645" s="1362"/>
      <c r="R645" s="1362"/>
      <c r="T645" s="22"/>
      <c r="U645" t="s">
        <v>580</v>
      </c>
      <c r="Z645" s="1511" t="s">
        <v>2726</v>
      </c>
      <c r="AA645" s="1511"/>
      <c r="AB645" s="1511"/>
      <c r="AC645" s="1511"/>
      <c r="AD645" s="1511"/>
      <c r="AE645" s="1511"/>
      <c r="AF645" s="1511"/>
      <c r="AG645" s="1511"/>
      <c r="AH645" s="1511"/>
      <c r="AI645" s="1511"/>
      <c r="AJ645" s="1511"/>
      <c r="AK645" s="1511"/>
      <c r="AV645" s="3"/>
      <c r="AW645" s="3"/>
      <c r="AX645" s="3"/>
      <c r="AY645" s="3"/>
      <c r="AZ645" s="3"/>
      <c r="BA645" s="3"/>
      <c r="BB645" s="3"/>
      <c r="BC645" s="3"/>
      <c r="BD645" s="3"/>
      <c r="BE645" s="3"/>
      <c r="BF645" s="3"/>
      <c r="BG645" s="3"/>
      <c r="BH645" s="3"/>
      <c r="BI645" s="3"/>
      <c r="BJ645" s="3"/>
      <c r="BK645" s="3"/>
      <c r="BL645" s="3"/>
      <c r="BM645" s="3"/>
      <c r="DX645" s="1498" t="e">
        <f t="shared" si="3"/>
        <v>#VALUE!</v>
      </c>
      <c r="DY645" s="1498"/>
      <c r="DZ645" s="1498"/>
      <c r="EA645" s="1498"/>
      <c r="EB645" s="1498"/>
      <c r="EC645" s="1498" t="e">
        <f t="shared" si="4"/>
        <v>#VALUE!</v>
      </c>
      <c r="ED645" s="1498"/>
      <c r="EE645" s="1498"/>
      <c r="EF645" s="1498"/>
      <c r="EG645" s="1498"/>
      <c r="EH645" s="1498" t="e">
        <f t="shared" si="5"/>
        <v>#VALUE!</v>
      </c>
      <c r="EI645" s="1498"/>
      <c r="EJ645" s="1498"/>
      <c r="EK645" s="1498"/>
      <c r="EL645" s="1498"/>
      <c r="EM645" s="1498" t="e">
        <f t="shared" si="6"/>
        <v>#VALUE!</v>
      </c>
      <c r="EN645" s="1498"/>
      <c r="EO645" s="1498"/>
      <c r="EP645" s="1498"/>
      <c r="EQ645" s="1498"/>
      <c r="ER645" s="1498" t="e">
        <f t="shared" si="7"/>
        <v>#VALUE!</v>
      </c>
      <c r="ES645" s="1498"/>
      <c r="ET645" s="1498"/>
      <c r="EU645" s="1498"/>
      <c r="EV645" s="1498"/>
      <c r="EW645" s="1498" t="e">
        <f t="shared" si="8"/>
        <v>#VALUE!</v>
      </c>
      <c r="EX645" s="1498"/>
      <c r="EY645" s="1498"/>
      <c r="EZ645" s="1498"/>
      <c r="FA645" s="1498"/>
    </row>
    <row r="646" spans="1:157" ht="13.05" customHeight="1">
      <c r="A646" s="22"/>
      <c r="B646" t="s">
        <v>17</v>
      </c>
      <c r="G646" s="1362" t="s">
        <v>2719</v>
      </c>
      <c r="H646" s="1362"/>
      <c r="I646" s="1362"/>
      <c r="J646" s="1362"/>
      <c r="K646" s="1362"/>
      <c r="L646" s="1362"/>
      <c r="M646" s="1362"/>
      <c r="N646" s="1362"/>
      <c r="O646" s="1362"/>
      <c r="P646" s="1362"/>
      <c r="Q646" s="1362"/>
      <c r="R646" s="1362"/>
      <c r="S646" s="8"/>
      <c r="T646" s="22"/>
      <c r="U646" t="s">
        <v>17</v>
      </c>
      <c r="Z646" s="1511" t="s">
        <v>2727</v>
      </c>
      <c r="AA646" s="1511"/>
      <c r="AB646" s="1511"/>
      <c r="AC646" s="1511"/>
      <c r="AD646" s="1511"/>
      <c r="AE646" s="1511"/>
      <c r="AF646" s="1511"/>
      <c r="AG646" s="1511"/>
      <c r="AH646" s="1511"/>
      <c r="AI646" s="1511"/>
      <c r="AJ646" s="1511"/>
      <c r="AK646" s="1511"/>
      <c r="AZ646" s="3"/>
      <c r="BA646" s="3"/>
      <c r="BB646" s="3"/>
      <c r="BC646" s="3"/>
      <c r="BD646" s="3"/>
      <c r="BE646" s="3"/>
      <c r="BF646" s="3"/>
      <c r="BG646" s="3"/>
      <c r="BH646" s="3"/>
      <c r="BI646" s="3"/>
      <c r="BJ646" s="3"/>
      <c r="BK646" s="3"/>
      <c r="BL646" s="3"/>
      <c r="BM646" s="3"/>
      <c r="DX646" s="1498" t="e">
        <f t="shared" si="3"/>
        <v>#VALUE!</v>
      </c>
      <c r="DY646" s="1498"/>
      <c r="DZ646" s="1498"/>
      <c r="EA646" s="1498"/>
      <c r="EB646" s="1498"/>
      <c r="EC646" s="1498" t="e">
        <f t="shared" si="4"/>
        <v>#VALUE!</v>
      </c>
      <c r="ED646" s="1498"/>
      <c r="EE646" s="1498"/>
      <c r="EF646" s="1498"/>
      <c r="EG646" s="1498"/>
      <c r="EH646" s="1498" t="e">
        <f t="shared" si="5"/>
        <v>#VALUE!</v>
      </c>
      <c r="EI646" s="1498"/>
      <c r="EJ646" s="1498"/>
      <c r="EK646" s="1498"/>
      <c r="EL646" s="1498"/>
      <c r="EM646" s="1498" t="e">
        <f t="shared" si="6"/>
        <v>#VALUE!</v>
      </c>
      <c r="EN646" s="1498"/>
      <c r="EO646" s="1498"/>
      <c r="EP646" s="1498"/>
      <c r="EQ646" s="1498"/>
      <c r="ER646" s="1498" t="e">
        <f t="shared" si="7"/>
        <v>#VALUE!</v>
      </c>
      <c r="ES646" s="1498"/>
      <c r="ET646" s="1498"/>
      <c r="EU646" s="1498"/>
      <c r="EV646" s="1498"/>
      <c r="EW646" s="1498" t="e">
        <f t="shared" si="8"/>
        <v>#VALUE!</v>
      </c>
      <c r="EX646" s="1498"/>
      <c r="EY646" s="1498"/>
      <c r="EZ646" s="1498"/>
      <c r="FA646" s="1498"/>
    </row>
    <row r="647" spans="1:157" ht="13.05" customHeight="1">
      <c r="A647" s="22"/>
      <c r="B647" t="s">
        <v>316</v>
      </c>
      <c r="G647" s="1417">
        <v>2122391914</v>
      </c>
      <c r="H647" s="1417"/>
      <c r="I647" s="1417"/>
      <c r="J647" s="1417"/>
      <c r="K647" s="1417"/>
      <c r="L647" s="1417"/>
      <c r="O647" s="33" t="s">
        <v>206</v>
      </c>
      <c r="P647" s="1494"/>
      <c r="Q647" s="1494"/>
      <c r="R647" s="1494"/>
      <c r="S647" s="10"/>
      <c r="T647" s="22"/>
      <c r="U647" t="s">
        <v>316</v>
      </c>
      <c r="Z647" s="1712" t="s">
        <v>2728</v>
      </c>
      <c r="AA647" s="1417"/>
      <c r="AB647" s="1417"/>
      <c r="AC647" s="1417"/>
      <c r="AD647" s="1417"/>
      <c r="AE647" s="1417"/>
      <c r="AH647" s="33" t="s">
        <v>206</v>
      </c>
      <c r="AI647" s="1494"/>
      <c r="AJ647" s="1494"/>
      <c r="AK647" s="1494"/>
      <c r="AZ647" s="34"/>
      <c r="BA647" s="34"/>
      <c r="BB647" s="34"/>
      <c r="BC647" s="34"/>
      <c r="BD647" s="34"/>
      <c r="BE647" s="34"/>
      <c r="BF647" s="34"/>
      <c r="BG647" s="34"/>
      <c r="BH647" s="34"/>
      <c r="BI647" s="34"/>
      <c r="BJ647" s="34"/>
      <c r="BK647" s="34"/>
      <c r="BL647" s="34"/>
      <c r="BM647" s="34"/>
      <c r="DX647" s="1498" t="e">
        <f t="shared" si="3"/>
        <v>#VALUE!</v>
      </c>
      <c r="DY647" s="1498"/>
      <c r="DZ647" s="1498"/>
      <c r="EA647" s="1498"/>
      <c r="EB647" s="1498"/>
      <c r="EC647" s="1498" t="e">
        <f t="shared" si="4"/>
        <v>#VALUE!</v>
      </c>
      <c r="ED647" s="1498"/>
      <c r="EE647" s="1498"/>
      <c r="EF647" s="1498"/>
      <c r="EG647" s="1498"/>
      <c r="EH647" s="1498" t="e">
        <f t="shared" si="5"/>
        <v>#VALUE!</v>
      </c>
      <c r="EI647" s="1498"/>
      <c r="EJ647" s="1498"/>
      <c r="EK647" s="1498"/>
      <c r="EL647" s="1498"/>
      <c r="EM647" s="1498" t="e">
        <f t="shared" si="6"/>
        <v>#VALUE!</v>
      </c>
      <c r="EN647" s="1498"/>
      <c r="EO647" s="1498"/>
      <c r="EP647" s="1498"/>
      <c r="EQ647" s="1498"/>
      <c r="ER647" s="1498" t="e">
        <f t="shared" si="7"/>
        <v>#VALUE!</v>
      </c>
      <c r="ES647" s="1498"/>
      <c r="ET647" s="1498"/>
      <c r="EU647" s="1498"/>
      <c r="EV647" s="1498"/>
      <c r="EW647" s="1498" t="e">
        <f t="shared" si="8"/>
        <v>#VALUE!</v>
      </c>
      <c r="EX647" s="1498"/>
      <c r="EY647" s="1498"/>
      <c r="EZ647" s="1498"/>
      <c r="FA647" s="1498"/>
    </row>
    <row r="648" spans="1:157" ht="13.05" customHeight="1">
      <c r="A648" s="22"/>
      <c r="B648" t="s">
        <v>18</v>
      </c>
      <c r="H648" s="1362" t="s">
        <v>2113</v>
      </c>
      <c r="I648" s="1362"/>
      <c r="J648" s="1362"/>
      <c r="K648" s="1362"/>
      <c r="L648" s="1362"/>
      <c r="M648" s="1362"/>
      <c r="N648" s="1362"/>
      <c r="O648" s="1362"/>
      <c r="P648" s="1362"/>
      <c r="Q648" s="1362"/>
      <c r="R648" s="1362"/>
      <c r="S648" s="8"/>
      <c r="T648" s="22"/>
      <c r="U648" t="s">
        <v>18</v>
      </c>
      <c r="AA648" s="1362" t="s">
        <v>2115</v>
      </c>
      <c r="AB648" s="1362"/>
      <c r="AC648" s="1362"/>
      <c r="AD648" s="1362"/>
      <c r="AE648" s="1362"/>
      <c r="AF648" s="1362"/>
      <c r="AG648" s="1362"/>
      <c r="AH648" s="1362"/>
      <c r="AI648" s="1362"/>
      <c r="AJ648" s="1362"/>
      <c r="AK648" s="1362"/>
      <c r="AZ648" s="34"/>
      <c r="BA648" s="34"/>
      <c r="BB648" s="34"/>
      <c r="BC648" s="34"/>
      <c r="BD648" s="34"/>
      <c r="BE648" s="34"/>
      <c r="BF648" s="34"/>
      <c r="BG648" s="34"/>
      <c r="BH648" s="34"/>
      <c r="BI648" s="34"/>
      <c r="BJ648" s="34"/>
      <c r="BK648" s="34"/>
      <c r="BL648" s="34"/>
      <c r="BM648" s="34"/>
      <c r="DX648" s="1498" t="e">
        <f t="shared" si="3"/>
        <v>#VALUE!</v>
      </c>
      <c r="DY648" s="1498"/>
      <c r="DZ648" s="1498"/>
      <c r="EA648" s="1498"/>
      <c r="EB648" s="1498"/>
      <c r="EC648" s="1498" t="e">
        <f t="shared" si="4"/>
        <v>#VALUE!</v>
      </c>
      <c r="ED648" s="1498"/>
      <c r="EE648" s="1498"/>
      <c r="EF648" s="1498"/>
      <c r="EG648" s="1498"/>
      <c r="EH648" s="1498" t="e">
        <f t="shared" si="5"/>
        <v>#VALUE!</v>
      </c>
      <c r="EI648" s="1498"/>
      <c r="EJ648" s="1498"/>
      <c r="EK648" s="1498"/>
      <c r="EL648" s="1498"/>
      <c r="EM648" s="1498" t="e">
        <f t="shared" si="6"/>
        <v>#VALUE!</v>
      </c>
      <c r="EN648" s="1498"/>
      <c r="EO648" s="1498"/>
      <c r="EP648" s="1498"/>
      <c r="EQ648" s="1498"/>
      <c r="ER648" s="1498" t="e">
        <f t="shared" si="7"/>
        <v>#VALUE!</v>
      </c>
      <c r="ES648" s="1498"/>
      <c r="ET648" s="1498"/>
      <c r="EU648" s="1498"/>
      <c r="EV648" s="1498"/>
      <c r="EW648" s="1498" t="e">
        <f t="shared" si="8"/>
        <v>#VALUE!</v>
      </c>
      <c r="EX648" s="1498"/>
      <c r="EY648" s="1498"/>
      <c r="EZ648" s="1498"/>
      <c r="FA648" s="1498"/>
    </row>
    <row r="649" spans="1:157" ht="13.05" customHeight="1">
      <c r="A649" s="22"/>
      <c r="B649" t="s">
        <v>20</v>
      </c>
      <c r="N649" s="1356" t="s">
        <v>545</v>
      </c>
      <c r="O649" s="1356"/>
      <c r="T649" s="22"/>
      <c r="U649" t="s">
        <v>20</v>
      </c>
      <c r="AG649" s="1356" t="s">
        <v>545</v>
      </c>
      <c r="AH649" s="1356"/>
      <c r="AZ649" s="34"/>
      <c r="BA649" s="34"/>
      <c r="BB649" s="34"/>
      <c r="BC649" s="34"/>
      <c r="BD649" s="34"/>
      <c r="BE649" s="34"/>
      <c r="BF649" s="34"/>
      <c r="BG649" s="34"/>
      <c r="BH649" s="34"/>
      <c r="BI649" s="34"/>
      <c r="BJ649" s="34"/>
      <c r="BK649" s="34"/>
      <c r="BL649" s="34"/>
      <c r="BM649" s="34"/>
      <c r="DX649" s="1498" t="e">
        <f t="shared" si="3"/>
        <v>#VALUE!</v>
      </c>
      <c r="DY649" s="1498"/>
      <c r="DZ649" s="1498"/>
      <c r="EA649" s="1498"/>
      <c r="EB649" s="1498"/>
      <c r="EC649" s="1498" t="e">
        <f t="shared" si="4"/>
        <v>#VALUE!</v>
      </c>
      <c r="ED649" s="1498"/>
      <c r="EE649" s="1498"/>
      <c r="EF649" s="1498"/>
      <c r="EG649" s="1498"/>
      <c r="EH649" s="1498" t="e">
        <f t="shared" si="5"/>
        <v>#VALUE!</v>
      </c>
      <c r="EI649" s="1498"/>
      <c r="EJ649" s="1498"/>
      <c r="EK649" s="1498"/>
      <c r="EL649" s="1498"/>
      <c r="EM649" s="1498" t="e">
        <f t="shared" si="6"/>
        <v>#VALUE!</v>
      </c>
      <c r="EN649" s="1498"/>
      <c r="EO649" s="1498"/>
      <c r="EP649" s="1498"/>
      <c r="EQ649" s="1498"/>
      <c r="ER649" s="1498" t="e">
        <f t="shared" si="7"/>
        <v>#VALUE!</v>
      </c>
      <c r="ES649" s="1498"/>
      <c r="ET649" s="1498"/>
      <c r="EU649" s="1498"/>
      <c r="EV649" s="1498"/>
      <c r="EW649" s="1498" t="e">
        <f t="shared" si="8"/>
        <v>#VALUE!</v>
      </c>
      <c r="EX649" s="1498"/>
      <c r="EY649" s="1498"/>
      <c r="EZ649" s="1498"/>
      <c r="FA649" s="1498"/>
    </row>
    <row r="650" spans="1:157" ht="13.05" customHeight="1">
      <c r="A650" s="22"/>
      <c r="T650" s="22"/>
      <c r="AZ650" s="34"/>
      <c r="BA650" s="34"/>
      <c r="BB650" s="34"/>
      <c r="BC650" s="34"/>
      <c r="BD650" s="34"/>
      <c r="BE650" s="34"/>
      <c r="BF650" s="34"/>
      <c r="BG650" s="34"/>
      <c r="BH650" s="34"/>
      <c r="BI650" s="34"/>
      <c r="BJ650" s="34"/>
      <c r="BK650" s="34"/>
      <c r="BL650" s="34"/>
      <c r="BM650" s="34"/>
      <c r="DX650" s="1498" t="e">
        <f t="shared" si="3"/>
        <v>#VALUE!</v>
      </c>
      <c r="DY650" s="1498"/>
      <c r="DZ650" s="1498"/>
      <c r="EA650" s="1498"/>
      <c r="EB650" s="1498"/>
      <c r="EC650" s="1498" t="e">
        <f t="shared" si="4"/>
        <v>#VALUE!</v>
      </c>
      <c r="ED650" s="1498"/>
      <c r="EE650" s="1498"/>
      <c r="EF650" s="1498"/>
      <c r="EG650" s="1498"/>
      <c r="EH650" s="1498" t="e">
        <f t="shared" si="5"/>
        <v>#VALUE!</v>
      </c>
      <c r="EI650" s="1498"/>
      <c r="EJ650" s="1498"/>
      <c r="EK650" s="1498"/>
      <c r="EL650" s="1498"/>
      <c r="EM650" s="1498" t="e">
        <f t="shared" si="6"/>
        <v>#VALUE!</v>
      </c>
      <c r="EN650" s="1498"/>
      <c r="EO650" s="1498"/>
      <c r="EP650" s="1498"/>
      <c r="EQ650" s="1498"/>
      <c r="ER650" s="1498" t="e">
        <f t="shared" si="7"/>
        <v>#VALUE!</v>
      </c>
      <c r="ES650" s="1498"/>
      <c r="ET650" s="1498"/>
      <c r="EU650" s="1498"/>
      <c r="EV650" s="1498"/>
      <c r="EW650" s="1498" t="e">
        <f t="shared" si="8"/>
        <v>#VALUE!</v>
      </c>
      <c r="EX650" s="1498"/>
      <c r="EY650" s="1498"/>
      <c r="EZ650" s="1498"/>
      <c r="FA650" s="1498"/>
    </row>
    <row r="651" spans="1:157" ht="13.05" customHeight="1">
      <c r="A651" s="55" t="s">
        <v>119</v>
      </c>
      <c r="B651" t="s">
        <v>463</v>
      </c>
      <c r="G651" s="1416" t="str">
        <f>C629</f>
        <v>Deferred Developer Fee</v>
      </c>
      <c r="H651" s="1416"/>
      <c r="I651" s="1416"/>
      <c r="J651" s="1416"/>
      <c r="K651" s="1416"/>
      <c r="L651" s="1416"/>
      <c r="M651" s="1416"/>
      <c r="N651" s="1416"/>
      <c r="O651" s="1416"/>
      <c r="P651" s="1416"/>
      <c r="Q651" s="1416"/>
      <c r="R651" s="1416"/>
      <c r="T651" s="55" t="s">
        <v>581</v>
      </c>
      <c r="U651" t="s">
        <v>463</v>
      </c>
      <c r="Z651" s="1416">
        <f>C630</f>
        <v>0</v>
      </c>
      <c r="AA651" s="1416"/>
      <c r="AB651" s="1416"/>
      <c r="AC651" s="1416"/>
      <c r="AD651" s="1416"/>
      <c r="AE651" s="1416"/>
      <c r="AF651" s="1416"/>
      <c r="AG651" s="1416"/>
      <c r="AH651" s="1416"/>
      <c r="AI651" s="1416"/>
      <c r="AJ651" s="1416"/>
      <c r="AK651" s="1416"/>
      <c r="AZ651" s="34"/>
      <c r="BA651" s="34"/>
      <c r="BB651" s="34"/>
      <c r="BC651" s="34"/>
      <c r="BD651" s="34"/>
      <c r="BE651" s="34"/>
      <c r="BF651" s="34"/>
      <c r="BG651" s="34"/>
      <c r="BH651" s="34"/>
      <c r="BI651" s="34"/>
      <c r="BJ651" s="34"/>
      <c r="BK651" s="34"/>
      <c r="BL651" s="34"/>
      <c r="BM651" s="34"/>
      <c r="DX651" s="1498" t="e">
        <f t="shared" si="3"/>
        <v>#VALUE!</v>
      </c>
      <c r="DY651" s="1498"/>
      <c r="DZ651" s="1498"/>
      <c r="EA651" s="1498"/>
      <c r="EB651" s="1498"/>
      <c r="EC651" s="1498" t="e">
        <f t="shared" si="4"/>
        <v>#VALUE!</v>
      </c>
      <c r="ED651" s="1498"/>
      <c r="EE651" s="1498"/>
      <c r="EF651" s="1498"/>
      <c r="EG651" s="1498"/>
      <c r="EH651" s="1498" t="e">
        <f t="shared" si="5"/>
        <v>#VALUE!</v>
      </c>
      <c r="EI651" s="1498"/>
      <c r="EJ651" s="1498"/>
      <c r="EK651" s="1498"/>
      <c r="EL651" s="1498"/>
      <c r="EM651" s="1498" t="e">
        <f t="shared" si="6"/>
        <v>#VALUE!</v>
      </c>
      <c r="EN651" s="1498"/>
      <c r="EO651" s="1498"/>
      <c r="EP651" s="1498"/>
      <c r="EQ651" s="1498"/>
      <c r="ER651" s="1498" t="e">
        <f t="shared" si="7"/>
        <v>#VALUE!</v>
      </c>
      <c r="ES651" s="1498"/>
      <c r="ET651" s="1498"/>
      <c r="EU651" s="1498"/>
      <c r="EV651" s="1498"/>
      <c r="EW651" s="1498" t="e">
        <f t="shared" si="8"/>
        <v>#VALUE!</v>
      </c>
      <c r="EX651" s="1498"/>
      <c r="EY651" s="1498"/>
      <c r="EZ651" s="1498"/>
      <c r="FA651" s="1498"/>
    </row>
    <row r="652" spans="1:157" ht="13.05" customHeight="1">
      <c r="A652" s="22"/>
      <c r="B652" t="s">
        <v>85</v>
      </c>
      <c r="G652" s="1362" t="s">
        <v>2721</v>
      </c>
      <c r="H652" s="1362"/>
      <c r="I652" s="1362"/>
      <c r="J652" s="1362"/>
      <c r="K652" s="1362"/>
      <c r="L652" s="1362"/>
      <c r="M652" s="1362"/>
      <c r="N652" s="1362"/>
      <c r="O652" s="1362"/>
      <c r="P652" s="1362"/>
      <c r="Q652" s="1362"/>
      <c r="R652" s="1362"/>
      <c r="T652" s="22"/>
      <c r="U652" t="s">
        <v>85</v>
      </c>
      <c r="Z652" s="1362"/>
      <c r="AA652" s="1362"/>
      <c r="AB652" s="1362"/>
      <c r="AC652" s="1362"/>
      <c r="AD652" s="1362"/>
      <c r="AE652" s="1362"/>
      <c r="AF652" s="1362"/>
      <c r="AG652" s="1362"/>
      <c r="AH652" s="1362"/>
      <c r="AI652" s="1362"/>
      <c r="AJ652" s="1362"/>
      <c r="AK652" s="1362"/>
      <c r="AZ652" s="34"/>
      <c r="BA652" s="34"/>
      <c r="BB652" s="34"/>
      <c r="BC652" s="34"/>
      <c r="BD652" s="34"/>
      <c r="BE652" s="34"/>
      <c r="BF652" s="34"/>
      <c r="BG652" s="34"/>
      <c r="BH652" s="34"/>
      <c r="BI652" s="34"/>
      <c r="BJ652" s="34"/>
      <c r="BK652" s="34"/>
      <c r="BL652" s="34"/>
      <c r="BM652" s="34"/>
      <c r="DX652" s="1498" t="e">
        <f t="shared" si="3"/>
        <v>#VALUE!</v>
      </c>
      <c r="DY652" s="1498"/>
      <c r="DZ652" s="1498"/>
      <c r="EA652" s="1498"/>
      <c r="EB652" s="1498"/>
      <c r="EC652" s="1498" t="e">
        <f t="shared" si="4"/>
        <v>#VALUE!</v>
      </c>
      <c r="ED652" s="1498"/>
      <c r="EE652" s="1498"/>
      <c r="EF652" s="1498"/>
      <c r="EG652" s="1498"/>
      <c r="EH652" s="1498" t="e">
        <f t="shared" si="5"/>
        <v>#VALUE!</v>
      </c>
      <c r="EI652" s="1498"/>
      <c r="EJ652" s="1498"/>
      <c r="EK652" s="1498"/>
      <c r="EL652" s="1498"/>
      <c r="EM652" s="1498" t="e">
        <f t="shared" si="6"/>
        <v>#VALUE!</v>
      </c>
      <c r="EN652" s="1498"/>
      <c r="EO652" s="1498"/>
      <c r="EP652" s="1498"/>
      <c r="EQ652" s="1498"/>
      <c r="ER652" s="1498" t="e">
        <f t="shared" si="7"/>
        <v>#VALUE!</v>
      </c>
      <c r="ES652" s="1498"/>
      <c r="ET652" s="1498"/>
      <c r="EU652" s="1498"/>
      <c r="EV652" s="1498"/>
      <c r="EW652" s="1498" t="e">
        <f t="shared" si="8"/>
        <v>#VALUE!</v>
      </c>
      <c r="EX652" s="1498"/>
      <c r="EY652" s="1498"/>
      <c r="EZ652" s="1498"/>
      <c r="FA652" s="1498"/>
    </row>
    <row r="653" spans="1:157" ht="13.05" customHeight="1">
      <c r="A653" s="22"/>
      <c r="B653" t="s">
        <v>580</v>
      </c>
      <c r="G653" s="1511" t="s">
        <v>2644</v>
      </c>
      <c r="H653" s="1511"/>
      <c r="I653" s="1511"/>
      <c r="J653" s="1511"/>
      <c r="K653" s="1511"/>
      <c r="L653" s="1511"/>
      <c r="M653" s="1511"/>
      <c r="N653" s="1511"/>
      <c r="O653" s="1511"/>
      <c r="P653" s="1511"/>
      <c r="Q653" s="1511"/>
      <c r="R653" s="1511"/>
      <c r="T653" s="22"/>
      <c r="U653" t="s">
        <v>580</v>
      </c>
      <c r="Z653" s="1511"/>
      <c r="AA653" s="1511"/>
      <c r="AB653" s="1511"/>
      <c r="AC653" s="1511"/>
      <c r="AD653" s="1511"/>
      <c r="AE653" s="1511"/>
      <c r="AF653" s="1511"/>
      <c r="AG653" s="1511"/>
      <c r="AH653" s="1511"/>
      <c r="AI653" s="1511"/>
      <c r="AJ653" s="1511"/>
      <c r="AK653" s="1511"/>
      <c r="AZ653" s="34"/>
      <c r="BA653" s="34"/>
      <c r="BB653" s="34"/>
      <c r="BC653" s="34"/>
      <c r="BD653" s="34"/>
      <c r="BE653" s="34"/>
      <c r="BF653" s="34"/>
      <c r="BG653" s="34"/>
      <c r="BH653" s="34"/>
      <c r="BI653" s="34"/>
      <c r="BJ653" s="34"/>
      <c r="BK653" s="34"/>
      <c r="BL653" s="34"/>
      <c r="BM653" s="34"/>
      <c r="DX653" s="1498" t="e">
        <f t="shared" si="3"/>
        <v>#VALUE!</v>
      </c>
      <c r="DY653" s="1498"/>
      <c r="DZ653" s="1498"/>
      <c r="EA653" s="1498"/>
      <c r="EB653" s="1498"/>
      <c r="EC653" s="1498" t="e">
        <f t="shared" si="4"/>
        <v>#VALUE!</v>
      </c>
      <c r="ED653" s="1498"/>
      <c r="EE653" s="1498"/>
      <c r="EF653" s="1498"/>
      <c r="EG653" s="1498"/>
      <c r="EH653" s="1498" t="e">
        <f t="shared" si="5"/>
        <v>#VALUE!</v>
      </c>
      <c r="EI653" s="1498"/>
      <c r="EJ653" s="1498"/>
      <c r="EK653" s="1498"/>
      <c r="EL653" s="1498"/>
      <c r="EM653" s="1498" t="e">
        <f t="shared" si="6"/>
        <v>#VALUE!</v>
      </c>
      <c r="EN653" s="1498"/>
      <c r="EO653" s="1498"/>
      <c r="EP653" s="1498"/>
      <c r="EQ653" s="1498"/>
      <c r="ER653" s="1498" t="e">
        <f t="shared" si="7"/>
        <v>#VALUE!</v>
      </c>
      <c r="ES653" s="1498"/>
      <c r="ET653" s="1498"/>
      <c r="EU653" s="1498"/>
      <c r="EV653" s="1498"/>
      <c r="EW653" s="1498" t="e">
        <f t="shared" si="8"/>
        <v>#VALUE!</v>
      </c>
      <c r="EX653" s="1498"/>
      <c r="EY653" s="1498"/>
      <c r="EZ653" s="1498"/>
      <c r="FA653" s="1498"/>
    </row>
    <row r="654" spans="1:157" ht="13.05" customHeight="1">
      <c r="A654" s="22"/>
      <c r="B654" t="s">
        <v>17</v>
      </c>
      <c r="G654" s="1511" t="s">
        <v>2626</v>
      </c>
      <c r="H654" s="1511"/>
      <c r="I654" s="1511"/>
      <c r="J654" s="1511"/>
      <c r="K654" s="1511"/>
      <c r="L654" s="1511"/>
      <c r="M654" s="1511"/>
      <c r="N654" s="1511"/>
      <c r="O654" s="1511"/>
      <c r="P654" s="1511"/>
      <c r="Q654" s="1511"/>
      <c r="R654" s="1511"/>
      <c r="T654" s="22"/>
      <c r="U654" t="s">
        <v>17</v>
      </c>
      <c r="Z654" s="1511"/>
      <c r="AA654" s="1511"/>
      <c r="AB654" s="1511"/>
      <c r="AC654" s="1511"/>
      <c r="AD654" s="1511"/>
      <c r="AE654" s="1511"/>
      <c r="AF654" s="1511"/>
      <c r="AG654" s="1511"/>
      <c r="AH654" s="1511"/>
      <c r="AI654" s="1511"/>
      <c r="AJ654" s="1511"/>
      <c r="AK654" s="1511"/>
      <c r="AZ654" s="34"/>
      <c r="BA654" s="34"/>
      <c r="BB654" s="34"/>
      <c r="BC654" s="34"/>
      <c r="BD654" s="34"/>
      <c r="BE654" s="34"/>
      <c r="BF654" s="34"/>
      <c r="BG654" s="34"/>
      <c r="BH654" s="34"/>
      <c r="BI654" s="34"/>
      <c r="BJ654" s="34"/>
      <c r="BK654" s="34"/>
      <c r="BL654" s="34"/>
      <c r="BM654" s="34"/>
      <c r="DX654" s="1498" t="e">
        <f t="shared" si="3"/>
        <v>#VALUE!</v>
      </c>
      <c r="DY654" s="1498"/>
      <c r="DZ654" s="1498"/>
      <c r="EA654" s="1498"/>
      <c r="EB654" s="1498"/>
      <c r="EC654" s="1498" t="e">
        <f t="shared" si="4"/>
        <v>#VALUE!</v>
      </c>
      <c r="ED654" s="1498"/>
      <c r="EE654" s="1498"/>
      <c r="EF654" s="1498"/>
      <c r="EG654" s="1498"/>
      <c r="EH654" s="1498" t="e">
        <f t="shared" si="5"/>
        <v>#VALUE!</v>
      </c>
      <c r="EI654" s="1498"/>
      <c r="EJ654" s="1498"/>
      <c r="EK654" s="1498"/>
      <c r="EL654" s="1498"/>
      <c r="EM654" s="1498" t="e">
        <f t="shared" si="6"/>
        <v>#VALUE!</v>
      </c>
      <c r="EN654" s="1498"/>
      <c r="EO654" s="1498"/>
      <c r="EP654" s="1498"/>
      <c r="EQ654" s="1498"/>
      <c r="ER654" s="1498" t="e">
        <f t="shared" si="7"/>
        <v>#VALUE!</v>
      </c>
      <c r="ES654" s="1498"/>
      <c r="ET654" s="1498"/>
      <c r="EU654" s="1498"/>
      <c r="EV654" s="1498"/>
      <c r="EW654" s="1498" t="e">
        <f t="shared" si="8"/>
        <v>#VALUE!</v>
      </c>
      <c r="EX654" s="1498"/>
      <c r="EY654" s="1498"/>
      <c r="EZ654" s="1498"/>
      <c r="FA654" s="1498"/>
    </row>
    <row r="655" spans="1:157" ht="13.05" customHeight="1">
      <c r="A655" s="22"/>
      <c r="B655" t="s">
        <v>316</v>
      </c>
      <c r="G655" s="1417" t="s">
        <v>2627</v>
      </c>
      <c r="H655" s="1417"/>
      <c r="I655" s="1417"/>
      <c r="J655" s="1417"/>
      <c r="K655" s="1417"/>
      <c r="L655" s="1417"/>
      <c r="O655" s="33" t="s">
        <v>206</v>
      </c>
      <c r="P655" s="1494"/>
      <c r="Q655" s="1494"/>
      <c r="R655" s="1494"/>
      <c r="T655" s="22"/>
      <c r="U655" t="s">
        <v>316</v>
      </c>
      <c r="Z655" s="1417"/>
      <c r="AA655" s="1417"/>
      <c r="AB655" s="1417"/>
      <c r="AC655" s="1417"/>
      <c r="AD655" s="1417"/>
      <c r="AE655" s="1417"/>
      <c r="AH655" s="33" t="s">
        <v>206</v>
      </c>
      <c r="AI655" s="1494"/>
      <c r="AJ655" s="1494"/>
      <c r="AK655" s="1494"/>
      <c r="AZ655" s="34"/>
      <c r="BA655" s="34"/>
      <c r="BB655" s="34"/>
      <c r="BC655" s="34"/>
      <c r="BD655" s="34"/>
      <c r="BE655" s="34"/>
      <c r="BF655" s="34"/>
      <c r="BG655" s="34"/>
      <c r="BH655" s="34"/>
      <c r="BI655" s="34"/>
      <c r="BJ655" s="34"/>
      <c r="BK655" s="34"/>
      <c r="BL655" s="34"/>
      <c r="BM655" s="34"/>
      <c r="DX655" s="1498" t="e">
        <f t="shared" si="3"/>
        <v>#VALUE!</v>
      </c>
      <c r="DY655" s="1498"/>
      <c r="DZ655" s="1498"/>
      <c r="EA655" s="1498"/>
      <c r="EB655" s="1498"/>
      <c r="EC655" s="1498" t="e">
        <f t="shared" si="4"/>
        <v>#VALUE!</v>
      </c>
      <c r="ED655" s="1498"/>
      <c r="EE655" s="1498"/>
      <c r="EF655" s="1498"/>
      <c r="EG655" s="1498"/>
      <c r="EH655" s="1498" t="e">
        <f t="shared" si="5"/>
        <v>#VALUE!</v>
      </c>
      <c r="EI655" s="1498"/>
      <c r="EJ655" s="1498"/>
      <c r="EK655" s="1498"/>
      <c r="EL655" s="1498"/>
      <c r="EM655" s="1498" t="e">
        <f t="shared" si="6"/>
        <v>#VALUE!</v>
      </c>
      <c r="EN655" s="1498"/>
      <c r="EO655" s="1498"/>
      <c r="EP655" s="1498"/>
      <c r="EQ655" s="1498"/>
      <c r="ER655" s="1498" t="e">
        <f t="shared" si="7"/>
        <v>#VALUE!</v>
      </c>
      <c r="ES655" s="1498"/>
      <c r="ET655" s="1498"/>
      <c r="EU655" s="1498"/>
      <c r="EV655" s="1498"/>
      <c r="EW655" s="1498" t="e">
        <f t="shared" si="8"/>
        <v>#VALUE!</v>
      </c>
      <c r="EX655" s="1498"/>
      <c r="EY655" s="1498"/>
      <c r="EZ655" s="1498"/>
      <c r="FA655" s="1498"/>
    </row>
    <row r="656" spans="1:157" ht="13.05" customHeight="1">
      <c r="A656" s="22"/>
      <c r="B656" t="s">
        <v>18</v>
      </c>
      <c r="H656" s="1362" t="s">
        <v>2730</v>
      </c>
      <c r="I656" s="1362"/>
      <c r="J656" s="1362"/>
      <c r="K656" s="1362"/>
      <c r="L656" s="1362"/>
      <c r="M656" s="1362"/>
      <c r="N656" s="1362"/>
      <c r="O656" s="1362"/>
      <c r="P656" s="1362"/>
      <c r="Q656" s="1362"/>
      <c r="R656" s="1362"/>
      <c r="T656" s="22"/>
      <c r="U656" t="s">
        <v>18</v>
      </c>
      <c r="AA656" s="1362"/>
      <c r="AB656" s="1362"/>
      <c r="AC656" s="1362"/>
      <c r="AD656" s="1362"/>
      <c r="AE656" s="1362"/>
      <c r="AF656" s="1362"/>
      <c r="AG656" s="1362"/>
      <c r="AH656" s="1362"/>
      <c r="AI656" s="1362"/>
      <c r="AJ656" s="1362"/>
      <c r="AK656" s="1362"/>
      <c r="AZ656" s="34"/>
      <c r="BA656" s="34"/>
      <c r="BB656" s="34"/>
      <c r="BC656" s="34"/>
      <c r="BD656" s="34"/>
      <c r="BE656" s="34"/>
      <c r="BF656" s="34"/>
      <c r="BG656" s="34"/>
      <c r="BH656" s="34"/>
      <c r="BI656" s="34"/>
      <c r="BJ656" s="34"/>
      <c r="BK656" s="34"/>
      <c r="BL656" s="34"/>
      <c r="BM656" s="34"/>
      <c r="DX656" s="1498" t="e">
        <f t="shared" si="3"/>
        <v>#VALUE!</v>
      </c>
      <c r="DY656" s="1498"/>
      <c r="DZ656" s="1498"/>
      <c r="EA656" s="1498"/>
      <c r="EB656" s="1498"/>
      <c r="EC656" s="1498" t="e">
        <f t="shared" si="4"/>
        <v>#VALUE!</v>
      </c>
      <c r="ED656" s="1498"/>
      <c r="EE656" s="1498"/>
      <c r="EF656" s="1498"/>
      <c r="EG656" s="1498"/>
      <c r="EH656" s="1498" t="e">
        <f t="shared" si="5"/>
        <v>#VALUE!</v>
      </c>
      <c r="EI656" s="1498"/>
      <c r="EJ656" s="1498"/>
      <c r="EK656" s="1498"/>
      <c r="EL656" s="1498"/>
      <c r="EM656" s="1498" t="e">
        <f t="shared" si="6"/>
        <v>#VALUE!</v>
      </c>
      <c r="EN656" s="1498"/>
      <c r="EO656" s="1498"/>
      <c r="EP656" s="1498"/>
      <c r="EQ656" s="1498"/>
      <c r="ER656" s="1498" t="e">
        <f t="shared" si="7"/>
        <v>#VALUE!</v>
      </c>
      <c r="ES656" s="1498"/>
      <c r="ET656" s="1498"/>
      <c r="EU656" s="1498"/>
      <c r="EV656" s="1498"/>
      <c r="EW656" s="1498" t="e">
        <f t="shared" si="8"/>
        <v>#VALUE!</v>
      </c>
      <c r="EX656" s="1498"/>
      <c r="EY656" s="1498"/>
      <c r="EZ656" s="1498"/>
      <c r="FA656" s="1498"/>
    </row>
    <row r="657" spans="1:157" ht="13.05" customHeight="1">
      <c r="A657" s="22"/>
      <c r="B657" t="s">
        <v>20</v>
      </c>
      <c r="N657" s="1356" t="s">
        <v>545</v>
      </c>
      <c r="O657" s="1356"/>
      <c r="T657" s="22"/>
      <c r="U657" t="s">
        <v>20</v>
      </c>
      <c r="AG657" s="1356" t="s">
        <v>669</v>
      </c>
      <c r="AH657" s="1356"/>
      <c r="AZ657" s="34"/>
      <c r="BA657" s="34"/>
      <c r="BB657" s="34"/>
      <c r="BC657" s="34"/>
      <c r="BD657" s="34"/>
      <c r="BE657" s="34"/>
      <c r="BF657" s="34"/>
      <c r="BG657" s="34"/>
      <c r="BH657" s="34"/>
      <c r="BI657" s="34"/>
      <c r="BJ657" s="34"/>
      <c r="BK657" s="34"/>
      <c r="BL657" s="34"/>
      <c r="BM657" s="34"/>
      <c r="DX657" s="1498" t="e">
        <f t="shared" si="3"/>
        <v>#VALUE!</v>
      </c>
      <c r="DY657" s="1498"/>
      <c r="DZ657" s="1498"/>
      <c r="EA657" s="1498"/>
      <c r="EB657" s="1498"/>
      <c r="EC657" s="1498" t="e">
        <f t="shared" si="4"/>
        <v>#VALUE!</v>
      </c>
      <c r="ED657" s="1498"/>
      <c r="EE657" s="1498"/>
      <c r="EF657" s="1498"/>
      <c r="EG657" s="1498"/>
      <c r="EH657" s="1498" t="e">
        <f t="shared" si="5"/>
        <v>#VALUE!</v>
      </c>
      <c r="EI657" s="1498"/>
      <c r="EJ657" s="1498"/>
      <c r="EK657" s="1498"/>
      <c r="EL657" s="1498"/>
      <c r="EM657" s="1498" t="e">
        <f t="shared" si="6"/>
        <v>#VALUE!</v>
      </c>
      <c r="EN657" s="1498"/>
      <c r="EO657" s="1498"/>
      <c r="EP657" s="1498"/>
      <c r="EQ657" s="1498"/>
      <c r="ER657" s="1498" t="e">
        <f t="shared" si="7"/>
        <v>#VALUE!</v>
      </c>
      <c r="ES657" s="1498"/>
      <c r="ET657" s="1498"/>
      <c r="EU657" s="1498"/>
      <c r="EV657" s="1498"/>
      <c r="EW657" s="1498" t="e">
        <f t="shared" si="8"/>
        <v>#VALUE!</v>
      </c>
      <c r="EX657" s="1498"/>
      <c r="EY657" s="1498"/>
      <c r="EZ657" s="1498"/>
      <c r="FA657" s="1498"/>
    </row>
    <row r="658" spans="1:157" ht="13.05" customHeight="1">
      <c r="A658" s="22"/>
      <c r="T658" s="22"/>
      <c r="AZ658" s="34"/>
      <c r="BA658" s="34"/>
      <c r="BB658" s="34"/>
      <c r="BC658" s="34"/>
      <c r="BD658" s="34"/>
      <c r="BE658" s="34"/>
      <c r="BF658" s="34"/>
      <c r="BG658" s="34"/>
      <c r="BH658" s="34"/>
      <c r="BI658" s="34"/>
      <c r="BJ658" s="34"/>
      <c r="BK658" s="34"/>
      <c r="BL658" s="34"/>
      <c r="BM658" s="34"/>
      <c r="DX658" s="1498" t="e">
        <f t="shared" si="3"/>
        <v>#VALUE!</v>
      </c>
      <c r="DY658" s="1498"/>
      <c r="DZ658" s="1498"/>
      <c r="EA658" s="1498"/>
      <c r="EB658" s="1498"/>
      <c r="EC658" s="1498" t="e">
        <f t="shared" si="4"/>
        <v>#VALUE!</v>
      </c>
      <c r="ED658" s="1498"/>
      <c r="EE658" s="1498"/>
      <c r="EF658" s="1498"/>
      <c r="EG658" s="1498"/>
      <c r="EH658" s="1498" t="e">
        <f t="shared" si="5"/>
        <v>#VALUE!</v>
      </c>
      <c r="EI658" s="1498"/>
      <c r="EJ658" s="1498"/>
      <c r="EK658" s="1498"/>
      <c r="EL658" s="1498"/>
      <c r="EM658" s="1498" t="e">
        <f t="shared" si="6"/>
        <v>#VALUE!</v>
      </c>
      <c r="EN658" s="1498"/>
      <c r="EO658" s="1498"/>
      <c r="EP658" s="1498"/>
      <c r="EQ658" s="1498"/>
      <c r="ER658" s="1498" t="e">
        <f t="shared" si="7"/>
        <v>#VALUE!</v>
      </c>
      <c r="ES658" s="1498"/>
      <c r="ET658" s="1498"/>
      <c r="EU658" s="1498"/>
      <c r="EV658" s="1498"/>
      <c r="EW658" s="1498" t="e">
        <f t="shared" si="8"/>
        <v>#VALUE!</v>
      </c>
      <c r="EX658" s="1498"/>
      <c r="EY658" s="1498"/>
      <c r="EZ658" s="1498"/>
      <c r="FA658" s="1498"/>
    </row>
    <row r="659" spans="1:157" ht="13.05" customHeight="1">
      <c r="A659" s="55" t="s">
        <v>763</v>
      </c>
      <c r="B659" t="s">
        <v>463</v>
      </c>
      <c r="G659" s="1416">
        <f>C631</f>
        <v>0</v>
      </c>
      <c r="H659" s="1416"/>
      <c r="I659" s="1416"/>
      <c r="J659" s="1416"/>
      <c r="K659" s="1416"/>
      <c r="L659" s="1416"/>
      <c r="M659" s="1416"/>
      <c r="N659" s="1416"/>
      <c r="O659" s="1416"/>
      <c r="P659" s="1416"/>
      <c r="Q659" s="1416"/>
      <c r="R659" s="1416"/>
      <c r="T659" s="55" t="s">
        <v>584</v>
      </c>
      <c r="U659" t="s">
        <v>463</v>
      </c>
      <c r="Z659" s="1416">
        <f>C632</f>
        <v>0</v>
      </c>
      <c r="AA659" s="1416"/>
      <c r="AB659" s="1416"/>
      <c r="AC659" s="1416"/>
      <c r="AD659" s="1416"/>
      <c r="AE659" s="1416"/>
      <c r="AF659" s="1416"/>
      <c r="AG659" s="1416"/>
      <c r="AH659" s="1416"/>
      <c r="AI659" s="1416"/>
      <c r="AJ659" s="1416"/>
      <c r="AK659" s="1416"/>
      <c r="AZ659" s="34"/>
      <c r="BA659" s="34"/>
      <c r="BB659" s="34"/>
      <c r="BC659" s="34"/>
      <c r="BD659" s="34"/>
      <c r="BE659" s="34"/>
      <c r="BF659" s="34"/>
      <c r="BG659" s="34"/>
      <c r="BH659" s="34"/>
      <c r="BI659" s="34"/>
      <c r="BJ659" s="34"/>
      <c r="BK659" s="34"/>
      <c r="BL659" s="34"/>
      <c r="BM659" s="34"/>
      <c r="DX659" s="1498" t="e">
        <f t="shared" si="3"/>
        <v>#VALUE!</v>
      </c>
      <c r="DY659" s="1498"/>
      <c r="DZ659" s="1498"/>
      <c r="EA659" s="1498"/>
      <c r="EB659" s="1498"/>
      <c r="EC659" s="1498" t="e">
        <f t="shared" si="4"/>
        <v>#VALUE!</v>
      </c>
      <c r="ED659" s="1498"/>
      <c r="EE659" s="1498"/>
      <c r="EF659" s="1498"/>
      <c r="EG659" s="1498"/>
      <c r="EH659" s="1498" t="e">
        <f t="shared" si="5"/>
        <v>#VALUE!</v>
      </c>
      <c r="EI659" s="1498"/>
      <c r="EJ659" s="1498"/>
      <c r="EK659" s="1498"/>
      <c r="EL659" s="1498"/>
      <c r="EM659" s="1498" t="e">
        <f t="shared" si="6"/>
        <v>#VALUE!</v>
      </c>
      <c r="EN659" s="1498"/>
      <c r="EO659" s="1498"/>
      <c r="EP659" s="1498"/>
      <c r="EQ659" s="1498"/>
      <c r="ER659" s="1498" t="e">
        <f t="shared" si="7"/>
        <v>#VALUE!</v>
      </c>
      <c r="ES659" s="1498"/>
      <c r="ET659" s="1498"/>
      <c r="EU659" s="1498"/>
      <c r="EV659" s="1498"/>
      <c r="EW659" s="1498" t="e">
        <f t="shared" si="8"/>
        <v>#VALUE!</v>
      </c>
      <c r="EX659" s="1498"/>
      <c r="EY659" s="1498"/>
      <c r="EZ659" s="1498"/>
      <c r="FA659" s="1498"/>
    </row>
    <row r="660" spans="1:157" ht="13.05" customHeight="1">
      <c r="A660" s="22"/>
      <c r="B660" t="s">
        <v>85</v>
      </c>
      <c r="G660" s="1362"/>
      <c r="H660" s="1362"/>
      <c r="I660" s="1362"/>
      <c r="J660" s="1362"/>
      <c r="K660" s="1362"/>
      <c r="L660" s="1362"/>
      <c r="M660" s="1362"/>
      <c r="N660" s="1362"/>
      <c r="O660" s="1362"/>
      <c r="P660" s="1362"/>
      <c r="Q660" s="1362"/>
      <c r="R660" s="1362"/>
      <c r="T660" s="22"/>
      <c r="U660" t="s">
        <v>85</v>
      </c>
      <c r="Z660" s="1362"/>
      <c r="AA660" s="1362"/>
      <c r="AB660" s="1362"/>
      <c r="AC660" s="1362"/>
      <c r="AD660" s="1362"/>
      <c r="AE660" s="1362"/>
      <c r="AF660" s="1362"/>
      <c r="AG660" s="1362"/>
      <c r="AH660" s="1362"/>
      <c r="AI660" s="1362"/>
      <c r="AJ660" s="1362"/>
      <c r="AK660" s="1362"/>
      <c r="AZ660" s="34"/>
      <c r="BA660" s="34"/>
      <c r="BB660" s="34"/>
      <c r="BC660" s="34"/>
      <c r="BD660" s="34"/>
      <c r="BE660" s="34"/>
      <c r="BF660" s="34"/>
      <c r="BG660" s="34"/>
      <c r="BH660" s="34"/>
      <c r="BI660" s="34"/>
      <c r="BJ660" s="34"/>
      <c r="BK660" s="34"/>
      <c r="BL660" s="34"/>
      <c r="BM660" s="34"/>
      <c r="DX660" s="1498" t="e">
        <f t="shared" si="3"/>
        <v>#VALUE!</v>
      </c>
      <c r="DY660" s="1498"/>
      <c r="DZ660" s="1498"/>
      <c r="EA660" s="1498"/>
      <c r="EB660" s="1498"/>
      <c r="EC660" s="1498" t="e">
        <f t="shared" si="4"/>
        <v>#VALUE!</v>
      </c>
      <c r="ED660" s="1498"/>
      <c r="EE660" s="1498"/>
      <c r="EF660" s="1498"/>
      <c r="EG660" s="1498"/>
      <c r="EH660" s="1498" t="e">
        <f t="shared" si="5"/>
        <v>#VALUE!</v>
      </c>
      <c r="EI660" s="1498"/>
      <c r="EJ660" s="1498"/>
      <c r="EK660" s="1498"/>
      <c r="EL660" s="1498"/>
      <c r="EM660" s="1498" t="e">
        <f t="shared" si="6"/>
        <v>#VALUE!</v>
      </c>
      <c r="EN660" s="1498"/>
      <c r="EO660" s="1498"/>
      <c r="EP660" s="1498"/>
      <c r="EQ660" s="1498"/>
      <c r="ER660" s="1498" t="e">
        <f t="shared" si="7"/>
        <v>#VALUE!</v>
      </c>
      <c r="ES660" s="1498"/>
      <c r="ET660" s="1498"/>
      <c r="EU660" s="1498"/>
      <c r="EV660" s="1498"/>
      <c r="EW660" s="1498" t="e">
        <f t="shared" si="8"/>
        <v>#VALUE!</v>
      </c>
      <c r="EX660" s="1498"/>
      <c r="EY660" s="1498"/>
      <c r="EZ660" s="1498"/>
      <c r="FA660" s="1498"/>
    </row>
    <row r="661" spans="1:157" ht="13.05" customHeight="1">
      <c r="A661" s="22"/>
      <c r="B661" t="s">
        <v>580</v>
      </c>
      <c r="G661" s="1362"/>
      <c r="H661" s="1362"/>
      <c r="I661" s="1362"/>
      <c r="J661" s="1362"/>
      <c r="K661" s="1362"/>
      <c r="L661" s="1362"/>
      <c r="M661" s="1362"/>
      <c r="N661" s="1362"/>
      <c r="O661" s="1362"/>
      <c r="P661" s="1362"/>
      <c r="Q661" s="1362"/>
      <c r="R661" s="1362"/>
      <c r="T661" s="22"/>
      <c r="U661" t="s">
        <v>580</v>
      </c>
      <c r="Z661" s="1511"/>
      <c r="AA661" s="1511"/>
      <c r="AB661" s="1511"/>
      <c r="AC661" s="1511"/>
      <c r="AD661" s="1511"/>
      <c r="AE661" s="1511"/>
      <c r="AF661" s="1511"/>
      <c r="AG661" s="1511"/>
      <c r="AH661" s="1511"/>
      <c r="AI661" s="1511"/>
      <c r="AJ661" s="1511"/>
      <c r="AK661" s="1511"/>
      <c r="AZ661" s="34"/>
      <c r="BA661" s="34"/>
      <c r="BB661" s="34"/>
      <c r="BC661" s="34"/>
      <c r="BD661" s="34"/>
      <c r="BE661" s="34"/>
      <c r="BF661" s="34"/>
      <c r="BG661" s="34"/>
      <c r="BH661" s="34"/>
      <c r="BI661" s="34"/>
      <c r="BJ661" s="34"/>
      <c r="BK661" s="34"/>
      <c r="BL661" s="34"/>
      <c r="BM661" s="34"/>
      <c r="DX661" s="1498" t="e">
        <f t="shared" si="3"/>
        <v>#VALUE!</v>
      </c>
      <c r="DY661" s="1498"/>
      <c r="DZ661" s="1498"/>
      <c r="EA661" s="1498"/>
      <c r="EB661" s="1498"/>
      <c r="EC661" s="1498" t="e">
        <f t="shared" si="4"/>
        <v>#VALUE!</v>
      </c>
      <c r="ED661" s="1498"/>
      <c r="EE661" s="1498"/>
      <c r="EF661" s="1498"/>
      <c r="EG661" s="1498"/>
      <c r="EH661" s="1498" t="e">
        <f t="shared" si="5"/>
        <v>#VALUE!</v>
      </c>
      <c r="EI661" s="1498"/>
      <c r="EJ661" s="1498"/>
      <c r="EK661" s="1498"/>
      <c r="EL661" s="1498"/>
      <c r="EM661" s="1498" t="e">
        <f t="shared" si="6"/>
        <v>#VALUE!</v>
      </c>
      <c r="EN661" s="1498"/>
      <c r="EO661" s="1498"/>
      <c r="EP661" s="1498"/>
      <c r="EQ661" s="1498"/>
      <c r="ER661" s="1498" t="e">
        <f t="shared" si="7"/>
        <v>#VALUE!</v>
      </c>
      <c r="ES661" s="1498"/>
      <c r="ET661" s="1498"/>
      <c r="EU661" s="1498"/>
      <c r="EV661" s="1498"/>
      <c r="EW661" s="1498" t="e">
        <f t="shared" si="8"/>
        <v>#VALUE!</v>
      </c>
      <c r="EX661" s="1498"/>
      <c r="EY661" s="1498"/>
      <c r="EZ661" s="1498"/>
      <c r="FA661" s="1498"/>
    </row>
    <row r="662" spans="1:157" ht="13.05" customHeight="1">
      <c r="A662" s="22"/>
      <c r="B662" t="s">
        <v>17</v>
      </c>
      <c r="G662" s="1362"/>
      <c r="H662" s="1362"/>
      <c r="I662" s="1362"/>
      <c r="J662" s="1362"/>
      <c r="K662" s="1362"/>
      <c r="L662" s="1362"/>
      <c r="M662" s="1362"/>
      <c r="N662" s="1362"/>
      <c r="O662" s="1362"/>
      <c r="P662" s="1362"/>
      <c r="Q662" s="1362"/>
      <c r="R662" s="1362"/>
      <c r="T662" s="22"/>
      <c r="U662" t="s">
        <v>17</v>
      </c>
      <c r="Z662" s="1511"/>
      <c r="AA662" s="1511"/>
      <c r="AB662" s="1511"/>
      <c r="AC662" s="1511"/>
      <c r="AD662" s="1511"/>
      <c r="AE662" s="1511"/>
      <c r="AF662" s="1511"/>
      <c r="AG662" s="1511"/>
      <c r="AH662" s="1511"/>
      <c r="AI662" s="1511"/>
      <c r="AJ662" s="1511"/>
      <c r="AK662" s="151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8" t="e">
        <f t="shared" si="3"/>
        <v>#VALUE!</v>
      </c>
      <c r="DY662" s="1498"/>
      <c r="DZ662" s="1498"/>
      <c r="EA662" s="1498"/>
      <c r="EB662" s="1498"/>
      <c r="EC662" s="1498" t="e">
        <f t="shared" si="4"/>
        <v>#VALUE!</v>
      </c>
      <c r="ED662" s="1498"/>
      <c r="EE662" s="1498"/>
      <c r="EF662" s="1498"/>
      <c r="EG662" s="1498"/>
      <c r="EH662" s="1498" t="e">
        <f t="shared" si="5"/>
        <v>#VALUE!</v>
      </c>
      <c r="EI662" s="1498"/>
      <c r="EJ662" s="1498"/>
      <c r="EK662" s="1498"/>
      <c r="EL662" s="1498"/>
      <c r="EM662" s="1498" t="e">
        <f t="shared" si="6"/>
        <v>#VALUE!</v>
      </c>
      <c r="EN662" s="1498"/>
      <c r="EO662" s="1498"/>
      <c r="EP662" s="1498"/>
      <c r="EQ662" s="1498"/>
      <c r="ER662" s="1498" t="e">
        <f t="shared" si="7"/>
        <v>#VALUE!</v>
      </c>
      <c r="ES662" s="1498"/>
      <c r="ET662" s="1498"/>
      <c r="EU662" s="1498"/>
      <c r="EV662" s="1498"/>
      <c r="EW662" s="1498" t="e">
        <f t="shared" si="8"/>
        <v>#VALUE!</v>
      </c>
      <c r="EX662" s="1498"/>
      <c r="EY662" s="1498"/>
      <c r="EZ662" s="1498"/>
      <c r="FA662" s="1498"/>
    </row>
    <row r="663" spans="1:157" ht="13.05" customHeight="1">
      <c r="A663" s="22"/>
      <c r="B663" t="s">
        <v>316</v>
      </c>
      <c r="G663" s="1417"/>
      <c r="H663" s="1417"/>
      <c r="I663" s="1417"/>
      <c r="J663" s="1417"/>
      <c r="K663" s="1417"/>
      <c r="L663" s="1417"/>
      <c r="O663" s="33" t="s">
        <v>206</v>
      </c>
      <c r="P663" s="1494"/>
      <c r="Q663" s="1494"/>
      <c r="R663" s="1494"/>
      <c r="T663" s="22"/>
      <c r="U663" t="s">
        <v>316</v>
      </c>
      <c r="Z663" s="1417"/>
      <c r="AA663" s="1417"/>
      <c r="AB663" s="1417"/>
      <c r="AC663" s="1417"/>
      <c r="AD663" s="1417"/>
      <c r="AE663" s="1417"/>
      <c r="AH663" s="33" t="s">
        <v>206</v>
      </c>
      <c r="AI663" s="1494"/>
      <c r="AJ663" s="1494"/>
      <c r="AK663" s="149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8" t="e">
        <f t="shared" si="3"/>
        <v>#VALUE!</v>
      </c>
      <c r="DY663" s="1498"/>
      <c r="DZ663" s="1498"/>
      <c r="EA663" s="1498"/>
      <c r="EB663" s="1498"/>
      <c r="EC663" s="1498" t="e">
        <f t="shared" si="4"/>
        <v>#VALUE!</v>
      </c>
      <c r="ED663" s="1498"/>
      <c r="EE663" s="1498"/>
      <c r="EF663" s="1498"/>
      <c r="EG663" s="1498"/>
      <c r="EH663" s="1498" t="e">
        <f t="shared" si="5"/>
        <v>#VALUE!</v>
      </c>
      <c r="EI663" s="1498"/>
      <c r="EJ663" s="1498"/>
      <c r="EK663" s="1498"/>
      <c r="EL663" s="1498"/>
      <c r="EM663" s="1498" t="e">
        <f t="shared" si="6"/>
        <v>#VALUE!</v>
      </c>
      <c r="EN663" s="1498"/>
      <c r="EO663" s="1498"/>
      <c r="EP663" s="1498"/>
      <c r="EQ663" s="1498"/>
      <c r="ER663" s="1498" t="e">
        <f t="shared" si="7"/>
        <v>#VALUE!</v>
      </c>
      <c r="ES663" s="1498"/>
      <c r="ET663" s="1498"/>
      <c r="EU663" s="1498"/>
      <c r="EV663" s="1498"/>
      <c r="EW663" s="1498" t="e">
        <f t="shared" si="8"/>
        <v>#VALUE!</v>
      </c>
      <c r="EX663" s="1498"/>
      <c r="EY663" s="1498"/>
      <c r="EZ663" s="1498"/>
      <c r="FA663" s="1498"/>
    </row>
    <row r="664" spans="1:157" ht="13.05" customHeight="1">
      <c r="A664" s="22"/>
      <c r="B664" t="s">
        <v>18</v>
      </c>
      <c r="H664" s="1362"/>
      <c r="I664" s="1362"/>
      <c r="J664" s="1362"/>
      <c r="K664" s="1362"/>
      <c r="L664" s="1362"/>
      <c r="M664" s="1362"/>
      <c r="N664" s="1362"/>
      <c r="O664" s="1362"/>
      <c r="P664" s="1362"/>
      <c r="Q664" s="1362"/>
      <c r="R664" s="1362"/>
      <c r="T664" s="22"/>
      <c r="U664" t="s">
        <v>18</v>
      </c>
      <c r="AA664" s="1362"/>
      <c r="AB664" s="1362"/>
      <c r="AC664" s="1362"/>
      <c r="AD664" s="1362"/>
      <c r="AE664" s="1362"/>
      <c r="AF664" s="1362"/>
      <c r="AG664" s="1362"/>
      <c r="AH664" s="1362"/>
      <c r="AI664" s="1362"/>
      <c r="AJ664" s="1362"/>
      <c r="AK664" s="136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8" t="e">
        <f t="shared" si="3"/>
        <v>#VALUE!</v>
      </c>
      <c r="DY664" s="1498"/>
      <c r="DZ664" s="1498"/>
      <c r="EA664" s="1498"/>
      <c r="EB664" s="1498"/>
      <c r="EC664" s="1498" t="e">
        <f t="shared" si="4"/>
        <v>#VALUE!</v>
      </c>
      <c r="ED664" s="1498"/>
      <c r="EE664" s="1498"/>
      <c r="EF664" s="1498"/>
      <c r="EG664" s="1498"/>
      <c r="EH664" s="1498" t="e">
        <f t="shared" si="5"/>
        <v>#VALUE!</v>
      </c>
      <c r="EI664" s="1498"/>
      <c r="EJ664" s="1498"/>
      <c r="EK664" s="1498"/>
      <c r="EL664" s="1498"/>
      <c r="EM664" s="1498" t="e">
        <f t="shared" si="6"/>
        <v>#VALUE!</v>
      </c>
      <c r="EN664" s="1498"/>
      <c r="EO664" s="1498"/>
      <c r="EP664" s="1498"/>
      <c r="EQ664" s="1498"/>
      <c r="ER664" s="1498" t="e">
        <f t="shared" si="7"/>
        <v>#VALUE!</v>
      </c>
      <c r="ES664" s="1498"/>
      <c r="ET664" s="1498"/>
      <c r="EU664" s="1498"/>
      <c r="EV664" s="1498"/>
      <c r="EW664" s="1498" t="e">
        <f t="shared" si="8"/>
        <v>#VALUE!</v>
      </c>
      <c r="EX664" s="1498"/>
      <c r="EY664" s="1498"/>
      <c r="EZ664" s="1498"/>
      <c r="FA664" s="1498"/>
    </row>
    <row r="665" spans="1:157" ht="13.05" customHeight="1">
      <c r="A665" s="22"/>
      <c r="B665" t="s">
        <v>20</v>
      </c>
      <c r="N665" s="1356" t="s">
        <v>669</v>
      </c>
      <c r="O665" s="1356"/>
      <c r="T665" s="22"/>
      <c r="U665" t="s">
        <v>20</v>
      </c>
      <c r="AG665" s="1356" t="s">
        <v>669</v>
      </c>
      <c r="AH665" s="135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8" t="e">
        <f t="shared" si="3"/>
        <v>#VALUE!</v>
      </c>
      <c r="DY665" s="1498"/>
      <c r="DZ665" s="1498"/>
      <c r="EA665" s="1498"/>
      <c r="EB665" s="1498"/>
      <c r="EC665" s="1498" t="e">
        <f t="shared" si="4"/>
        <v>#VALUE!</v>
      </c>
      <c r="ED665" s="1498"/>
      <c r="EE665" s="1498"/>
      <c r="EF665" s="1498"/>
      <c r="EG665" s="1498"/>
      <c r="EH665" s="1498" t="e">
        <f t="shared" si="5"/>
        <v>#VALUE!</v>
      </c>
      <c r="EI665" s="1498"/>
      <c r="EJ665" s="1498"/>
      <c r="EK665" s="1498"/>
      <c r="EL665" s="1498"/>
      <c r="EM665" s="1498" t="e">
        <f t="shared" si="6"/>
        <v>#VALUE!</v>
      </c>
      <c r="EN665" s="1498"/>
      <c r="EO665" s="1498"/>
      <c r="EP665" s="1498"/>
      <c r="EQ665" s="1498"/>
      <c r="ER665" s="1498" t="e">
        <f t="shared" si="7"/>
        <v>#VALUE!</v>
      </c>
      <c r="ES665" s="1498"/>
      <c r="ET665" s="1498"/>
      <c r="EU665" s="1498"/>
      <c r="EV665" s="1498"/>
      <c r="EW665" s="1498" t="e">
        <f t="shared" si="8"/>
        <v>#VALUE!</v>
      </c>
      <c r="EX665" s="1498"/>
      <c r="EY665" s="1498"/>
      <c r="EZ665" s="1498"/>
      <c r="FA665" s="1498"/>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8" t="e">
        <f t="shared" si="3"/>
        <v>#VALUE!</v>
      </c>
      <c r="DY666" s="1498"/>
      <c r="DZ666" s="1498"/>
      <c r="EA666" s="1498"/>
      <c r="EB666" s="1498"/>
      <c r="EC666" s="1498" t="e">
        <f t="shared" si="4"/>
        <v>#VALUE!</v>
      </c>
      <c r="ED666" s="1498"/>
      <c r="EE666" s="1498"/>
      <c r="EF666" s="1498"/>
      <c r="EG666" s="1498"/>
      <c r="EH666" s="1498" t="e">
        <f t="shared" si="5"/>
        <v>#VALUE!</v>
      </c>
      <c r="EI666" s="1498"/>
      <c r="EJ666" s="1498"/>
      <c r="EK666" s="1498"/>
      <c r="EL666" s="1498"/>
      <c r="EM666" s="1498" t="e">
        <f t="shared" si="6"/>
        <v>#VALUE!</v>
      </c>
      <c r="EN666" s="1498"/>
      <c r="EO666" s="1498"/>
      <c r="EP666" s="1498"/>
      <c r="EQ666" s="1498"/>
      <c r="ER666" s="1498" t="e">
        <f t="shared" si="7"/>
        <v>#VALUE!</v>
      </c>
      <c r="ES666" s="1498"/>
      <c r="ET666" s="1498"/>
      <c r="EU666" s="1498"/>
      <c r="EV666" s="1498"/>
      <c r="EW666" s="1498" t="e">
        <f t="shared" si="8"/>
        <v>#VALUE!</v>
      </c>
      <c r="EX666" s="1498"/>
      <c r="EY666" s="1498"/>
      <c r="EZ666" s="1498"/>
      <c r="FA666" s="1498"/>
    </row>
    <row r="667" spans="1:157" ht="13.05" customHeight="1">
      <c r="A667" s="55" t="s">
        <v>455</v>
      </c>
      <c r="B667" t="s">
        <v>463</v>
      </c>
      <c r="G667" s="1416">
        <f>C633</f>
        <v>0</v>
      </c>
      <c r="H667" s="1416"/>
      <c r="I667" s="1416"/>
      <c r="J667" s="1416"/>
      <c r="K667" s="1416"/>
      <c r="L667" s="1416"/>
      <c r="M667" s="1416"/>
      <c r="N667" s="1416"/>
      <c r="O667" s="1416"/>
      <c r="P667" s="1416"/>
      <c r="Q667" s="1416"/>
      <c r="R667" s="1416"/>
      <c r="T667" s="55" t="s">
        <v>456</v>
      </c>
      <c r="U667" t="s">
        <v>463</v>
      </c>
      <c r="Z667" s="1416">
        <f>C634</f>
        <v>0</v>
      </c>
      <c r="AA667" s="1416"/>
      <c r="AB667" s="1416"/>
      <c r="AC667" s="1416"/>
      <c r="AD667" s="1416"/>
      <c r="AE667" s="1416"/>
      <c r="AF667" s="1416"/>
      <c r="AG667" s="1416"/>
      <c r="AH667" s="1416"/>
      <c r="AI667" s="1416"/>
      <c r="AJ667" s="1416"/>
      <c r="AK667" s="141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8" t="e">
        <f t="shared" si="3"/>
        <v>#VALUE!</v>
      </c>
      <c r="DY667" s="1498"/>
      <c r="DZ667" s="1498"/>
      <c r="EA667" s="1498"/>
      <c r="EB667" s="1498"/>
      <c r="EC667" s="1498" t="e">
        <f t="shared" si="4"/>
        <v>#VALUE!</v>
      </c>
      <c r="ED667" s="1498"/>
      <c r="EE667" s="1498"/>
      <c r="EF667" s="1498"/>
      <c r="EG667" s="1498"/>
      <c r="EH667" s="1498" t="e">
        <f t="shared" si="5"/>
        <v>#VALUE!</v>
      </c>
      <c r="EI667" s="1498"/>
      <c r="EJ667" s="1498"/>
      <c r="EK667" s="1498"/>
      <c r="EL667" s="1498"/>
      <c r="EM667" s="1498" t="e">
        <f t="shared" si="6"/>
        <v>#VALUE!</v>
      </c>
      <c r="EN667" s="1498"/>
      <c r="EO667" s="1498"/>
      <c r="EP667" s="1498"/>
      <c r="EQ667" s="1498"/>
      <c r="ER667" s="1498" t="e">
        <f t="shared" si="7"/>
        <v>#VALUE!</v>
      </c>
      <c r="ES667" s="1498"/>
      <c r="ET667" s="1498"/>
      <c r="EU667" s="1498"/>
      <c r="EV667" s="1498"/>
      <c r="EW667" s="1498" t="e">
        <f t="shared" si="8"/>
        <v>#VALUE!</v>
      </c>
      <c r="EX667" s="1498"/>
      <c r="EY667" s="1498"/>
      <c r="EZ667" s="1498"/>
      <c r="FA667" s="1498"/>
    </row>
    <row r="668" spans="1:157" ht="13.05" customHeight="1">
      <c r="A668" s="22"/>
      <c r="B668" t="s">
        <v>85</v>
      </c>
      <c r="G668" s="1362"/>
      <c r="H668" s="1362"/>
      <c r="I668" s="1362"/>
      <c r="J668" s="1362"/>
      <c r="K668" s="1362"/>
      <c r="L668" s="1362"/>
      <c r="M668" s="1362"/>
      <c r="N668" s="1362"/>
      <c r="O668" s="1362"/>
      <c r="P668" s="1362"/>
      <c r="Q668" s="1362"/>
      <c r="R668" s="1362"/>
      <c r="T668" s="22"/>
      <c r="U668" t="s">
        <v>85</v>
      </c>
      <c r="Z668" s="1362"/>
      <c r="AA668" s="1362"/>
      <c r="AB668" s="1362"/>
      <c r="AC668" s="1362"/>
      <c r="AD668" s="1362"/>
      <c r="AE668" s="1362"/>
      <c r="AF668" s="1362"/>
      <c r="AG668" s="1362"/>
      <c r="AH668" s="1362"/>
      <c r="AI668" s="1362"/>
      <c r="AJ668" s="1362"/>
      <c r="AK668" s="136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8" t="e">
        <f t="shared" si="3"/>
        <v>#VALUE!</v>
      </c>
      <c r="DY668" s="1498"/>
      <c r="DZ668" s="1498"/>
      <c r="EA668" s="1498"/>
      <c r="EB668" s="1498"/>
      <c r="EC668" s="1498" t="e">
        <f t="shared" si="4"/>
        <v>#VALUE!</v>
      </c>
      <c r="ED668" s="1498"/>
      <c r="EE668" s="1498"/>
      <c r="EF668" s="1498"/>
      <c r="EG668" s="1498"/>
      <c r="EH668" s="1498" t="e">
        <f t="shared" si="5"/>
        <v>#VALUE!</v>
      </c>
      <c r="EI668" s="1498"/>
      <c r="EJ668" s="1498"/>
      <c r="EK668" s="1498"/>
      <c r="EL668" s="1498"/>
      <c r="EM668" s="1498" t="e">
        <f t="shared" si="6"/>
        <v>#VALUE!</v>
      </c>
      <c r="EN668" s="1498"/>
      <c r="EO668" s="1498"/>
      <c r="EP668" s="1498"/>
      <c r="EQ668" s="1498"/>
      <c r="ER668" s="1498" t="e">
        <f t="shared" si="7"/>
        <v>#VALUE!</v>
      </c>
      <c r="ES668" s="1498"/>
      <c r="ET668" s="1498"/>
      <c r="EU668" s="1498"/>
      <c r="EV668" s="1498"/>
      <c r="EW668" s="1498" t="e">
        <f t="shared" si="8"/>
        <v>#VALUE!</v>
      </c>
      <c r="EX668" s="1498"/>
      <c r="EY668" s="1498"/>
      <c r="EZ668" s="1498"/>
      <c r="FA668" s="1498"/>
    </row>
    <row r="669" spans="1:157" ht="13.05" customHeight="1">
      <c r="A669" s="22"/>
      <c r="B669" t="s">
        <v>580</v>
      </c>
      <c r="G669" s="1362"/>
      <c r="H669" s="1362"/>
      <c r="I669" s="1362"/>
      <c r="J669" s="1362"/>
      <c r="K669" s="1362"/>
      <c r="L669" s="1362"/>
      <c r="M669" s="1362"/>
      <c r="N669" s="1362"/>
      <c r="O669" s="1362"/>
      <c r="P669" s="1362"/>
      <c r="Q669" s="1362"/>
      <c r="R669" s="1362"/>
      <c r="T669" s="22"/>
      <c r="U669" t="s">
        <v>580</v>
      </c>
      <c r="Z669" s="1511"/>
      <c r="AA669" s="1511"/>
      <c r="AB669" s="1511"/>
      <c r="AC669" s="1511"/>
      <c r="AD669" s="1511"/>
      <c r="AE669" s="1511"/>
      <c r="AF669" s="1511"/>
      <c r="AG669" s="1511"/>
      <c r="AH669" s="1511"/>
      <c r="AI669" s="1511"/>
      <c r="AJ669" s="1511"/>
      <c r="AK669" s="151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8" t="e">
        <f t="shared" si="3"/>
        <v>#VALUE!</v>
      </c>
      <c r="DY669" s="1498"/>
      <c r="DZ669" s="1498"/>
      <c r="EA669" s="1498"/>
      <c r="EB669" s="1498"/>
      <c r="EC669" s="1498" t="e">
        <f t="shared" si="4"/>
        <v>#VALUE!</v>
      </c>
      <c r="ED669" s="1498"/>
      <c r="EE669" s="1498"/>
      <c r="EF669" s="1498"/>
      <c r="EG669" s="1498"/>
      <c r="EH669" s="1498" t="e">
        <f t="shared" si="5"/>
        <v>#VALUE!</v>
      </c>
      <c r="EI669" s="1498"/>
      <c r="EJ669" s="1498"/>
      <c r="EK669" s="1498"/>
      <c r="EL669" s="1498"/>
      <c r="EM669" s="1498" t="e">
        <f t="shared" si="6"/>
        <v>#VALUE!</v>
      </c>
      <c r="EN669" s="1498"/>
      <c r="EO669" s="1498"/>
      <c r="EP669" s="1498"/>
      <c r="EQ669" s="1498"/>
      <c r="ER669" s="1498" t="e">
        <f t="shared" si="7"/>
        <v>#VALUE!</v>
      </c>
      <c r="ES669" s="1498"/>
      <c r="ET669" s="1498"/>
      <c r="EU669" s="1498"/>
      <c r="EV669" s="1498"/>
      <c r="EW669" s="1498" t="e">
        <f t="shared" si="8"/>
        <v>#VALUE!</v>
      </c>
      <c r="EX669" s="1498"/>
      <c r="EY669" s="1498"/>
      <c r="EZ669" s="1498"/>
      <c r="FA669" s="1498"/>
    </row>
    <row r="670" spans="1:157" ht="13.05" customHeight="1">
      <c r="A670" s="22"/>
      <c r="B670" t="s">
        <v>17</v>
      </c>
      <c r="G670" s="1362"/>
      <c r="H670" s="1362"/>
      <c r="I670" s="1362"/>
      <c r="J670" s="1362"/>
      <c r="K670" s="1362"/>
      <c r="L670" s="1362"/>
      <c r="M670" s="1362"/>
      <c r="N670" s="1362"/>
      <c r="O670" s="1362"/>
      <c r="P670" s="1362"/>
      <c r="Q670" s="1362"/>
      <c r="R670" s="1362"/>
      <c r="T670" s="22"/>
      <c r="U670" t="s">
        <v>17</v>
      </c>
      <c r="Z670" s="1511"/>
      <c r="AA670" s="1511"/>
      <c r="AB670" s="1511"/>
      <c r="AC670" s="1511"/>
      <c r="AD670" s="1511"/>
      <c r="AE670" s="1511"/>
      <c r="AF670" s="1511"/>
      <c r="AG670" s="1511"/>
      <c r="AH670" s="1511"/>
      <c r="AI670" s="1511"/>
      <c r="AJ670" s="1511"/>
      <c r="AK670" s="151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8">
        <f>SUMIF(DX635:EB669,"&gt;0")</f>
        <v>0</v>
      </c>
      <c r="DY670" s="1498"/>
      <c r="DZ670" s="1498"/>
      <c r="EA670" s="1498"/>
      <c r="EB670" s="1498"/>
      <c r="EC670" s="1498">
        <f>SUMIF(EC635:EG669,"&gt;0")</f>
        <v>832.5</v>
      </c>
      <c r="ED670" s="1498"/>
      <c r="EE670" s="1498"/>
      <c r="EF670" s="1498"/>
      <c r="EG670" s="1498"/>
      <c r="EH670" s="1498">
        <f>SUMIF(EH635:EL669,"&gt;0")</f>
        <v>1011.2222222222223</v>
      </c>
      <c r="EI670" s="1498"/>
      <c r="EJ670" s="1498"/>
      <c r="EK670" s="1498"/>
      <c r="EL670" s="1498"/>
      <c r="EM670" s="1498">
        <f>SUMIF(EM635:EQ669,"&gt;0")</f>
        <v>1115.8666666666668</v>
      </c>
      <c r="EN670" s="1498"/>
      <c r="EO670" s="1498"/>
      <c r="EP670" s="1498"/>
      <c r="EQ670" s="1498"/>
      <c r="ER670" s="1498">
        <f>SUMIF(ER635:EV669,"&gt;0")</f>
        <v>0</v>
      </c>
      <c r="ES670" s="1498"/>
      <c r="ET670" s="1498"/>
      <c r="EU670" s="1498"/>
      <c r="EV670" s="1498"/>
      <c r="EW670" s="1498">
        <f>SUMIF(EW635:FA669,"&gt;0")</f>
        <v>0</v>
      </c>
      <c r="EX670" s="1498"/>
      <c r="EY670" s="1498"/>
      <c r="EZ670" s="1498"/>
      <c r="FA670" s="1498"/>
    </row>
    <row r="671" spans="1:157" ht="13.05" customHeight="1">
      <c r="A671" s="22"/>
      <c r="B671" t="s">
        <v>316</v>
      </c>
      <c r="G671" s="1417"/>
      <c r="H671" s="1417"/>
      <c r="I671" s="1417"/>
      <c r="J671" s="1417"/>
      <c r="K671" s="1417"/>
      <c r="L671" s="1417"/>
      <c r="O671" s="33" t="s">
        <v>206</v>
      </c>
      <c r="P671" s="1494"/>
      <c r="Q671" s="1494"/>
      <c r="R671" s="1494"/>
      <c r="T671" s="22"/>
      <c r="U671" t="s">
        <v>316</v>
      </c>
      <c r="Z671" s="1417"/>
      <c r="AA671" s="1417"/>
      <c r="AB671" s="1417"/>
      <c r="AC671" s="1417"/>
      <c r="AD671" s="1417"/>
      <c r="AE671" s="1417"/>
      <c r="AH671" s="33" t="s">
        <v>206</v>
      </c>
      <c r="AI671" s="1494"/>
      <c r="AJ671" s="1494"/>
      <c r="AK671" s="149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62"/>
      <c r="I672" s="1362"/>
      <c r="J672" s="1362"/>
      <c r="K672" s="1362"/>
      <c r="L672" s="1362"/>
      <c r="M672" s="1362"/>
      <c r="N672" s="1362"/>
      <c r="O672" s="1362"/>
      <c r="P672" s="1362"/>
      <c r="Q672" s="1362"/>
      <c r="R672" s="1362"/>
      <c r="T672" s="22"/>
      <c r="U672" t="s">
        <v>18</v>
      </c>
      <c r="AA672" s="1362"/>
      <c r="AB672" s="1362"/>
      <c r="AC672" s="1362"/>
      <c r="AD672" s="1362"/>
      <c r="AE672" s="1362"/>
      <c r="AF672" s="1362"/>
      <c r="AG672" s="1362"/>
      <c r="AH672" s="1362"/>
      <c r="AI672" s="1362"/>
      <c r="AJ672" s="1362"/>
      <c r="AK672" s="136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56" t="s">
        <v>669</v>
      </c>
      <c r="O673" s="1356"/>
      <c r="T673" s="22"/>
      <c r="U673" t="s">
        <v>20</v>
      </c>
      <c r="AG673" s="1356" t="s">
        <v>669</v>
      </c>
      <c r="AH673" s="1356"/>
      <c r="AZ673" s="3"/>
    </row>
    <row r="674" spans="1:52" ht="13.05" customHeight="1">
      <c r="A674" s="22"/>
      <c r="T674" s="22"/>
      <c r="AZ674" s="3"/>
    </row>
    <row r="675" spans="1:52" ht="13.05" customHeight="1">
      <c r="A675" s="55" t="s">
        <v>461</v>
      </c>
      <c r="B675" t="s">
        <v>463</v>
      </c>
      <c r="G675" s="1416">
        <f>C635</f>
        <v>0</v>
      </c>
      <c r="H675" s="1416"/>
      <c r="I675" s="1416"/>
      <c r="J675" s="1416"/>
      <c r="K675" s="1416"/>
      <c r="L675" s="1416"/>
      <c r="M675" s="1416"/>
      <c r="N675" s="1416"/>
      <c r="O675" s="1416"/>
      <c r="P675" s="1416"/>
      <c r="Q675" s="1416"/>
      <c r="R675" s="1416"/>
      <c r="T675" s="55" t="s">
        <v>646</v>
      </c>
      <c r="U675" t="s">
        <v>463</v>
      </c>
      <c r="Z675" s="1416">
        <f>C636</f>
        <v>0</v>
      </c>
      <c r="AA675" s="1416"/>
      <c r="AB675" s="1416"/>
      <c r="AC675" s="1416"/>
      <c r="AD675" s="1416"/>
      <c r="AE675" s="1416"/>
      <c r="AF675" s="1416"/>
      <c r="AG675" s="1416"/>
      <c r="AH675" s="1416"/>
      <c r="AI675" s="1416"/>
      <c r="AJ675" s="1416"/>
      <c r="AK675" s="1416"/>
      <c r="AZ675" s="3"/>
    </row>
    <row r="676" spans="1:52" ht="13.05" customHeight="1">
      <c r="A676" s="22"/>
      <c r="B676" t="s">
        <v>85</v>
      </c>
      <c r="G676" s="1362"/>
      <c r="H676" s="1362"/>
      <c r="I676" s="1362"/>
      <c r="J676" s="1362"/>
      <c r="K676" s="1362"/>
      <c r="L676" s="1362"/>
      <c r="M676" s="1362"/>
      <c r="N676" s="1362"/>
      <c r="O676" s="1362"/>
      <c r="P676" s="1362"/>
      <c r="Q676" s="1362"/>
      <c r="R676" s="1362"/>
      <c r="T676" s="22"/>
      <c r="U676" t="s">
        <v>85</v>
      </c>
      <c r="Z676" s="1362"/>
      <c r="AA676" s="1362"/>
      <c r="AB676" s="1362"/>
      <c r="AC676" s="1362"/>
      <c r="AD676" s="1362"/>
      <c r="AE676" s="1362"/>
      <c r="AF676" s="1362"/>
      <c r="AG676" s="1362"/>
      <c r="AH676" s="1362"/>
      <c r="AI676" s="1362"/>
      <c r="AJ676" s="1362"/>
      <c r="AK676" s="1362"/>
      <c r="AZ676" s="3"/>
    </row>
    <row r="677" spans="1:52" ht="13.05" customHeight="1">
      <c r="A677" s="22"/>
      <c r="B677" t="s">
        <v>580</v>
      </c>
      <c r="G677" s="1362"/>
      <c r="H677" s="1362"/>
      <c r="I677" s="1362"/>
      <c r="J677" s="1362"/>
      <c r="K677" s="1362"/>
      <c r="L677" s="1362"/>
      <c r="M677" s="1362"/>
      <c r="N677" s="1362"/>
      <c r="O677" s="1362"/>
      <c r="P677" s="1362"/>
      <c r="Q677" s="1362"/>
      <c r="R677" s="1362"/>
      <c r="T677" s="22"/>
      <c r="U677" t="s">
        <v>580</v>
      </c>
      <c r="Z677" s="1511"/>
      <c r="AA677" s="1511"/>
      <c r="AB677" s="1511"/>
      <c r="AC677" s="1511"/>
      <c r="AD677" s="1511"/>
      <c r="AE677" s="1511"/>
      <c r="AF677" s="1511"/>
      <c r="AG677" s="1511"/>
      <c r="AH677" s="1511"/>
      <c r="AI677" s="1511"/>
      <c r="AJ677" s="1511"/>
      <c r="AK677" s="1511"/>
      <c r="AZ677" s="3"/>
    </row>
    <row r="678" spans="1:52" ht="13.05" customHeight="1">
      <c r="A678" s="22"/>
      <c r="B678" t="s">
        <v>17</v>
      </c>
      <c r="G678" s="1362"/>
      <c r="H678" s="1362"/>
      <c r="I678" s="1362"/>
      <c r="J678" s="1362"/>
      <c r="K678" s="1362"/>
      <c r="L678" s="1362"/>
      <c r="M678" s="1362"/>
      <c r="N678" s="1362"/>
      <c r="O678" s="1362"/>
      <c r="P678" s="1362"/>
      <c r="Q678" s="1362"/>
      <c r="R678" s="1362"/>
      <c r="T678" s="22"/>
      <c r="U678" t="s">
        <v>17</v>
      </c>
      <c r="Z678" s="1511"/>
      <c r="AA678" s="1511"/>
      <c r="AB678" s="1511"/>
      <c r="AC678" s="1511"/>
      <c r="AD678" s="1511"/>
      <c r="AE678" s="1511"/>
      <c r="AF678" s="1511"/>
      <c r="AG678" s="1511"/>
      <c r="AH678" s="1511"/>
      <c r="AI678" s="1511"/>
      <c r="AJ678" s="1511"/>
      <c r="AK678" s="1511"/>
      <c r="AZ678" s="3"/>
    </row>
    <row r="679" spans="1:52" ht="13.05" customHeight="1">
      <c r="A679" s="22"/>
      <c r="B679" t="s">
        <v>316</v>
      </c>
      <c r="G679" s="1417"/>
      <c r="H679" s="1417"/>
      <c r="I679" s="1417"/>
      <c r="J679" s="1417"/>
      <c r="K679" s="1417"/>
      <c r="L679" s="1417"/>
      <c r="O679" s="33" t="s">
        <v>206</v>
      </c>
      <c r="P679" s="1494"/>
      <c r="Q679" s="1494"/>
      <c r="R679" s="1494"/>
      <c r="T679" s="22"/>
      <c r="U679" t="s">
        <v>316</v>
      </c>
      <c r="Z679" s="1417"/>
      <c r="AA679" s="1417"/>
      <c r="AB679" s="1417"/>
      <c r="AC679" s="1417"/>
      <c r="AD679" s="1417"/>
      <c r="AE679" s="1417"/>
      <c r="AH679" s="33" t="s">
        <v>206</v>
      </c>
      <c r="AI679" s="1494"/>
      <c r="AJ679" s="1494"/>
      <c r="AK679" s="1494"/>
      <c r="AZ679" s="3"/>
    </row>
    <row r="680" spans="1:52" ht="13.05" customHeight="1">
      <c r="A680" s="22"/>
      <c r="B680" t="s">
        <v>18</v>
      </c>
      <c r="H680" s="1362"/>
      <c r="I680" s="1362"/>
      <c r="J680" s="1362"/>
      <c r="K680" s="1362"/>
      <c r="L680" s="1362"/>
      <c r="M680" s="1362"/>
      <c r="N680" s="1362"/>
      <c r="O680" s="1362"/>
      <c r="P680" s="1362"/>
      <c r="Q680" s="1362"/>
      <c r="R680" s="1362"/>
      <c r="T680" s="22"/>
      <c r="U680" t="s">
        <v>18</v>
      </c>
      <c r="AA680" s="1362"/>
      <c r="AB680" s="1362"/>
      <c r="AC680" s="1362"/>
      <c r="AD680" s="1362"/>
      <c r="AE680" s="1362"/>
      <c r="AF680" s="1362"/>
      <c r="AG680" s="1362"/>
      <c r="AH680" s="1362"/>
      <c r="AI680" s="1362"/>
      <c r="AJ680" s="1362"/>
      <c r="AK680" s="1362"/>
      <c r="AZ680" s="3"/>
    </row>
    <row r="681" spans="1:52" ht="13.05" customHeight="1">
      <c r="A681" s="22"/>
      <c r="B681" t="s">
        <v>20</v>
      </c>
      <c r="N681" s="1356" t="s">
        <v>669</v>
      </c>
      <c r="O681" s="1356"/>
      <c r="T681" s="22"/>
      <c r="U681" t="s">
        <v>20</v>
      </c>
      <c r="AG681" s="1356" t="s">
        <v>669</v>
      </c>
      <c r="AH681" s="1356"/>
      <c r="AZ681" s="3"/>
    </row>
    <row r="682" spans="1:52" ht="13.05" customHeight="1">
      <c r="A682" s="22"/>
      <c r="T682" s="22"/>
      <c r="AZ682" s="3"/>
    </row>
    <row r="683" spans="1:52" ht="13.05" customHeight="1">
      <c r="A683" s="55" t="s">
        <v>362</v>
      </c>
      <c r="B683" t="s">
        <v>463</v>
      </c>
      <c r="G683" s="1416">
        <f>C637</f>
        <v>0</v>
      </c>
      <c r="H683" s="1416"/>
      <c r="I683" s="1416"/>
      <c r="J683" s="1416"/>
      <c r="K683" s="1416"/>
      <c r="L683" s="1416"/>
      <c r="M683" s="1416"/>
      <c r="N683" s="1416"/>
      <c r="O683" s="1416"/>
      <c r="P683" s="1416"/>
      <c r="Q683" s="1416"/>
      <c r="R683" s="1416"/>
      <c r="T683" s="55" t="s">
        <v>363</v>
      </c>
      <c r="U683" t="s">
        <v>463</v>
      </c>
      <c r="Z683" s="1416">
        <f>C638</f>
        <v>0</v>
      </c>
      <c r="AA683" s="1416"/>
      <c r="AB683" s="1416"/>
      <c r="AC683" s="1416"/>
      <c r="AD683" s="1416"/>
      <c r="AE683" s="1416"/>
      <c r="AF683" s="1416"/>
      <c r="AG683" s="1416"/>
      <c r="AH683" s="1416"/>
      <c r="AI683" s="1416"/>
      <c r="AJ683" s="1416"/>
      <c r="AK683" s="1416"/>
      <c r="AZ683" s="3"/>
    </row>
    <row r="684" spans="1:52" ht="13.05" customHeight="1">
      <c r="B684" t="s">
        <v>85</v>
      </c>
      <c r="G684" s="1362"/>
      <c r="H684" s="1362"/>
      <c r="I684" s="1362"/>
      <c r="J684" s="1362"/>
      <c r="K684" s="1362"/>
      <c r="L684" s="1362"/>
      <c r="M684" s="1362"/>
      <c r="N684" s="1362"/>
      <c r="O684" s="1362"/>
      <c r="P684" s="1362"/>
      <c r="Q684" s="1362"/>
      <c r="R684" s="1362"/>
      <c r="T684" s="22"/>
      <c r="U684" t="s">
        <v>85</v>
      </c>
      <c r="Z684" s="1362"/>
      <c r="AA684" s="1362"/>
      <c r="AB684" s="1362"/>
      <c r="AC684" s="1362"/>
      <c r="AD684" s="1362"/>
      <c r="AE684" s="1362"/>
      <c r="AF684" s="1362"/>
      <c r="AG684" s="1362"/>
      <c r="AH684" s="1362"/>
      <c r="AI684" s="1362"/>
      <c r="AJ684" s="1362"/>
      <c r="AK684" s="1362"/>
      <c r="AZ684" s="3"/>
    </row>
    <row r="685" spans="1:52" ht="13.05" customHeight="1">
      <c r="B685" t="s">
        <v>580</v>
      </c>
      <c r="G685" s="1362"/>
      <c r="H685" s="1362"/>
      <c r="I685" s="1362"/>
      <c r="J685" s="1362"/>
      <c r="K685" s="1362"/>
      <c r="L685" s="1362"/>
      <c r="M685" s="1362"/>
      <c r="N685" s="1362"/>
      <c r="O685" s="1362"/>
      <c r="P685" s="1362"/>
      <c r="Q685" s="1362"/>
      <c r="R685" s="1362"/>
      <c r="U685" t="s">
        <v>580</v>
      </c>
      <c r="Z685" s="1511"/>
      <c r="AA685" s="1511"/>
      <c r="AB685" s="1511"/>
      <c r="AC685" s="1511"/>
      <c r="AD685" s="1511"/>
      <c r="AE685" s="1511"/>
      <c r="AF685" s="1511"/>
      <c r="AG685" s="1511"/>
      <c r="AH685" s="1511"/>
      <c r="AI685" s="1511"/>
      <c r="AJ685" s="1511"/>
      <c r="AK685" s="1511"/>
      <c r="AZ685" s="3"/>
    </row>
    <row r="686" spans="1:52" ht="13.05" customHeight="1">
      <c r="B686" t="s">
        <v>17</v>
      </c>
      <c r="G686" s="1362"/>
      <c r="H686" s="1362"/>
      <c r="I686" s="1362"/>
      <c r="J686" s="1362"/>
      <c r="K686" s="1362"/>
      <c r="L686" s="1362"/>
      <c r="M686" s="1362"/>
      <c r="N686" s="1362"/>
      <c r="O686" s="1362"/>
      <c r="P686" s="1362"/>
      <c r="Q686" s="1362"/>
      <c r="R686" s="1362"/>
      <c r="U686" t="s">
        <v>17</v>
      </c>
      <c r="Z686" s="1511"/>
      <c r="AA686" s="1511"/>
      <c r="AB686" s="1511"/>
      <c r="AC686" s="1511"/>
      <c r="AD686" s="1511"/>
      <c r="AE686" s="1511"/>
      <c r="AF686" s="1511"/>
      <c r="AG686" s="1511"/>
      <c r="AH686" s="1511"/>
      <c r="AI686" s="1511"/>
      <c r="AJ686" s="1511"/>
      <c r="AK686" s="1511"/>
      <c r="AZ686" s="3"/>
    </row>
    <row r="687" spans="1:52" ht="13.05" customHeight="1">
      <c r="B687" t="s">
        <v>316</v>
      </c>
      <c r="G687" s="1417"/>
      <c r="H687" s="1417"/>
      <c r="I687" s="1417"/>
      <c r="J687" s="1417"/>
      <c r="K687" s="1417"/>
      <c r="L687" s="1417"/>
      <c r="O687" s="33" t="s">
        <v>206</v>
      </c>
      <c r="P687" s="1494"/>
      <c r="Q687" s="1494"/>
      <c r="R687" s="1494"/>
      <c r="U687" t="s">
        <v>316</v>
      </c>
      <c r="Z687" s="1417"/>
      <c r="AA687" s="1417"/>
      <c r="AB687" s="1417"/>
      <c r="AC687" s="1417"/>
      <c r="AD687" s="1417"/>
      <c r="AE687" s="1417"/>
      <c r="AH687" s="33" t="s">
        <v>206</v>
      </c>
      <c r="AI687" s="1494"/>
      <c r="AJ687" s="1494"/>
      <c r="AK687" s="1494"/>
      <c r="AZ687" s="3"/>
    </row>
    <row r="688" spans="1:52" ht="13.05" customHeight="1">
      <c r="B688" t="s">
        <v>18</v>
      </c>
      <c r="H688" s="1362"/>
      <c r="I688" s="1362"/>
      <c r="J688" s="1362"/>
      <c r="K688" s="1362"/>
      <c r="L688" s="1362"/>
      <c r="M688" s="1362"/>
      <c r="N688" s="1362"/>
      <c r="O688" s="1362"/>
      <c r="P688" s="1362"/>
      <c r="Q688" s="1362"/>
      <c r="R688" s="1362"/>
      <c r="U688" t="s">
        <v>18</v>
      </c>
      <c r="AA688" s="1362"/>
      <c r="AB688" s="1362"/>
      <c r="AC688" s="1362"/>
      <c r="AD688" s="1362"/>
      <c r="AE688" s="1362"/>
      <c r="AF688" s="1362"/>
      <c r="AG688" s="1362"/>
      <c r="AH688" s="1362"/>
      <c r="AI688" s="1362"/>
      <c r="AJ688" s="1362"/>
      <c r="AK688" s="1362"/>
      <c r="AZ688" s="3"/>
    </row>
    <row r="689" spans="1:67" ht="13.05" customHeight="1">
      <c r="B689" t="s">
        <v>20</v>
      </c>
      <c r="N689" s="1356" t="s">
        <v>669</v>
      </c>
      <c r="O689" s="1356"/>
      <c r="U689" t="s">
        <v>20</v>
      </c>
      <c r="AG689" s="1356" t="s">
        <v>669</v>
      </c>
      <c r="AH689" s="1356"/>
      <c r="AZ689" s="3"/>
    </row>
    <row r="690" spans="1:67" ht="13.05" customHeight="1">
      <c r="AZ690" s="3"/>
    </row>
    <row r="691" spans="1:67" ht="13.05" customHeight="1">
      <c r="A691" s="2" t="s">
        <v>576</v>
      </c>
      <c r="C691" s="2" t="s">
        <v>327</v>
      </c>
      <c r="E691" s="130"/>
      <c r="F691" s="130"/>
      <c r="G691" s="130"/>
      <c r="H691" s="130"/>
      <c r="AZ691" s="3"/>
    </row>
    <row r="692" spans="1:67" ht="13.05" customHeight="1">
      <c r="B692" s="135"/>
      <c r="C692" s="135"/>
      <c r="D692" s="136" t="s">
        <v>434</v>
      </c>
      <c r="E692" s="135"/>
      <c r="F692" s="135"/>
      <c r="G692" s="135"/>
      <c r="H692" s="135"/>
      <c r="AZ692" s="3"/>
    </row>
    <row r="693" spans="1:67" ht="13.05" customHeight="1">
      <c r="B693" s="135"/>
      <c r="C693" s="135"/>
      <c r="E693" s="136" t="s">
        <v>435</v>
      </c>
      <c r="F693" s="135"/>
      <c r="G693" s="135"/>
      <c r="H693" s="135"/>
      <c r="AE693" s="1356" t="s">
        <v>669</v>
      </c>
      <c r="AF693" s="1356"/>
      <c r="AZ693" s="3"/>
    </row>
    <row r="694" spans="1:67" ht="13.05" customHeight="1">
      <c r="B694" s="135"/>
      <c r="C694" s="135"/>
      <c r="D694" s="136" t="s">
        <v>438</v>
      </c>
      <c r="E694" s="135"/>
      <c r="F694" s="135"/>
      <c r="G694" s="135"/>
      <c r="H694" s="135"/>
      <c r="AE694" s="1356" t="s">
        <v>669</v>
      </c>
      <c r="AF694" s="1356"/>
      <c r="AZ694" s="3"/>
    </row>
    <row r="695" spans="1:67" ht="13.05" customHeight="1">
      <c r="B695" s="135"/>
      <c r="C695" s="135"/>
      <c r="D695" s="136" t="s">
        <v>920</v>
      </c>
      <c r="E695" s="135"/>
      <c r="F695" s="135"/>
      <c r="G695" s="135"/>
      <c r="H695" s="135"/>
      <c r="AE695" s="1671">
        <v>45909</v>
      </c>
      <c r="AF695" s="1671"/>
      <c r="AG695" s="1671"/>
      <c r="AH695" s="1671"/>
      <c r="AI695" s="1671"/>
    </row>
    <row r="696" spans="1:67" ht="13.05" customHeight="1">
      <c r="B696" s="135"/>
      <c r="C696" s="135"/>
      <c r="D696" s="317" t="s">
        <v>983</v>
      </c>
      <c r="E696" s="135"/>
      <c r="F696" s="135"/>
      <c r="G696" s="135"/>
      <c r="H696" s="135"/>
      <c r="AE696" s="1713">
        <v>45980</v>
      </c>
      <c r="AF696" s="1714"/>
      <c r="AG696" s="1714"/>
      <c r="AH696" s="1714"/>
      <c r="AI696" s="1714"/>
    </row>
    <row r="697" spans="1:67" ht="13.05" customHeight="1">
      <c r="B697" s="135"/>
      <c r="C697" s="135"/>
    </row>
    <row r="698" spans="1:67" ht="13.05" customHeight="1">
      <c r="B698" s="135"/>
      <c r="C698" s="135"/>
      <c r="D698" s="136" t="s">
        <v>816</v>
      </c>
      <c r="E698" s="135"/>
      <c r="F698" s="135"/>
      <c r="G698" s="135"/>
      <c r="H698" s="135"/>
      <c r="AE698" s="1671">
        <v>46160</v>
      </c>
      <c r="AF698" s="1671"/>
      <c r="AG698" s="1671"/>
      <c r="AH698" s="1671"/>
      <c r="AI698" s="1671"/>
    </row>
    <row r="699" spans="1:67" ht="13.05" customHeight="1">
      <c r="B699" s="135"/>
      <c r="C699" s="135"/>
      <c r="D699" s="136" t="s">
        <v>436</v>
      </c>
      <c r="E699" s="135"/>
      <c r="F699" s="135"/>
      <c r="G699" s="135"/>
      <c r="H699" s="135"/>
      <c r="AE699" s="1670">
        <v>0.29949999999999999</v>
      </c>
      <c r="AF699" s="1670"/>
      <c r="AG699" s="1670"/>
      <c r="AH699" s="1670"/>
      <c r="AI699" s="1670"/>
    </row>
    <row r="700" spans="1:67" ht="13.05" customHeight="1">
      <c r="B700" s="135"/>
      <c r="C700" s="135"/>
      <c r="D700" s="136" t="s">
        <v>437</v>
      </c>
      <c r="E700" s="135"/>
      <c r="F700" s="135"/>
      <c r="G700" s="135"/>
      <c r="H700" s="135"/>
      <c r="W700" s="1416" t="str">
        <f>H335</f>
        <v>California Housing Finance Authority</v>
      </c>
      <c r="X700" s="1416"/>
      <c r="Y700" s="1416"/>
      <c r="Z700" s="1416"/>
      <c r="AA700" s="1416"/>
      <c r="AB700" s="1416"/>
      <c r="AC700" s="1416"/>
      <c r="AD700" s="1416"/>
      <c r="AE700" s="1416"/>
      <c r="AF700" s="1416"/>
      <c r="AG700" s="1416"/>
      <c r="AH700" s="1416"/>
      <c r="AI700" s="1416"/>
      <c r="AJ700" s="1416"/>
      <c r="AK700" s="1416"/>
    </row>
    <row r="701" spans="1:67" ht="13.05" customHeight="1">
      <c r="B701" s="135"/>
      <c r="C701" s="135"/>
      <c r="D701" s="136"/>
      <c r="E701" s="135"/>
      <c r="F701" s="135"/>
      <c r="G701" s="135"/>
      <c r="H701" s="135"/>
    </row>
    <row r="702" spans="1:67" ht="13.05" customHeight="1">
      <c r="B702" s="135"/>
      <c r="C702" s="135"/>
      <c r="D702" s="136" t="s">
        <v>439</v>
      </c>
      <c r="E702" s="135"/>
      <c r="F702" s="135"/>
      <c r="G702" s="135"/>
      <c r="H702" s="135"/>
      <c r="AE702" s="1356" t="s">
        <v>669</v>
      </c>
      <c r="AF702" s="1356"/>
      <c r="AZ702" s="4" t="s">
        <v>324</v>
      </c>
    </row>
    <row r="703" spans="1:67" ht="13.05" customHeight="1">
      <c r="B703" s="135"/>
      <c r="C703" s="135"/>
      <c r="D703" s="136" t="s">
        <v>442</v>
      </c>
      <c r="E703" s="135"/>
      <c r="F703" s="135"/>
      <c r="G703" s="135"/>
      <c r="H703" s="135"/>
      <c r="W703" s="1362"/>
      <c r="X703" s="1362"/>
      <c r="Y703" s="1362"/>
      <c r="Z703" s="1362"/>
      <c r="AA703" s="1362"/>
      <c r="AB703" s="1362"/>
      <c r="AC703" s="1362"/>
      <c r="AD703" s="1362"/>
      <c r="AE703" s="1362"/>
      <c r="AF703" s="1362"/>
      <c r="AG703" s="1362"/>
      <c r="AH703" s="1362"/>
      <c r="AI703" s="1362"/>
      <c r="AJ703" s="1362"/>
      <c r="AK703" s="1362"/>
      <c r="AZ703" s="4" t="s">
        <v>325</v>
      </c>
    </row>
    <row r="704" spans="1:67" ht="13.05" customHeight="1">
      <c r="B704" s="135"/>
      <c r="C704" s="135"/>
      <c r="D704" s="136" t="s">
        <v>87</v>
      </c>
      <c r="E704" s="135"/>
      <c r="F704" s="135"/>
      <c r="G704" s="135"/>
      <c r="H704" s="135"/>
      <c r="J704" s="1362"/>
      <c r="K704" s="1362"/>
      <c r="L704" s="1362"/>
      <c r="M704" s="1362"/>
      <c r="N704" s="1362"/>
      <c r="O704" s="1362"/>
      <c r="P704" s="1362"/>
      <c r="Q704" s="1362"/>
      <c r="R704" s="1362"/>
      <c r="S704" s="1362"/>
      <c r="T704" s="1362"/>
      <c r="U704" s="1362"/>
      <c r="V704" s="1362"/>
      <c r="W704" s="1362"/>
      <c r="X704" s="1362"/>
      <c r="AZ704" s="4" t="s">
        <v>163</v>
      </c>
      <c r="BB704" s="34"/>
      <c r="BC704" s="34"/>
      <c r="BD704" s="34"/>
      <c r="BE704" s="3"/>
      <c r="BF704" s="3"/>
      <c r="BJ704" s="3"/>
      <c r="BK704" s="3"/>
      <c r="BL704" s="3"/>
      <c r="BM704" s="3"/>
      <c r="BN704" s="34"/>
      <c r="BO704" s="34"/>
    </row>
    <row r="705" spans="1:185" ht="13.05" customHeight="1">
      <c r="B705" s="135"/>
      <c r="C705" s="135"/>
      <c r="D705" s="136" t="s">
        <v>88</v>
      </c>
      <c r="J705" s="1417"/>
      <c r="K705" s="1417"/>
      <c r="L705" s="1417"/>
      <c r="M705" s="1417"/>
      <c r="N705" s="1417"/>
      <c r="O705" s="1417"/>
      <c r="P705" s="4" t="s">
        <v>206</v>
      </c>
      <c r="Q705" s="4"/>
      <c r="R705" s="1494"/>
      <c r="S705" s="1494"/>
      <c r="T705" s="149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62" t="s">
        <v>307</v>
      </c>
      <c r="X706" s="1362"/>
      <c r="Y706" s="1362"/>
      <c r="Z706" s="1362"/>
      <c r="AA706" s="1362"/>
      <c r="AB706" s="1362"/>
      <c r="AC706" s="1362"/>
      <c r="AD706" s="1362"/>
      <c r="AE706" s="1362"/>
      <c r="AF706" s="1362"/>
      <c r="AG706" s="1362"/>
      <c r="AH706" s="1362"/>
      <c r="AI706" s="1362"/>
      <c r="AJ706" s="1362"/>
      <c r="AK706" s="136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62" t="s">
        <v>334</v>
      </c>
      <c r="F707" s="1362"/>
      <c r="G707" s="1362"/>
      <c r="H707" s="1362"/>
      <c r="I707" s="1362"/>
      <c r="J707" s="1362"/>
      <c r="K707" s="1362"/>
      <c r="L707" s="1362"/>
      <c r="M707" s="1362"/>
      <c r="N707" s="1362"/>
      <c r="O707" s="1362"/>
      <c r="P707" s="1362"/>
      <c r="Q707" s="1362"/>
      <c r="R707" s="1362"/>
      <c r="S707" s="1362"/>
      <c r="T707" s="1362"/>
      <c r="U707" s="1362"/>
      <c r="V707" s="1362"/>
      <c r="W707" s="1362"/>
      <c r="X707" s="1362"/>
      <c r="Y707" s="1362"/>
      <c r="Z707" s="1362"/>
      <c r="AA707" s="1362"/>
      <c r="AB707" s="1362"/>
      <c r="AC707" s="1362"/>
      <c r="AD707" s="1362"/>
      <c r="AE707" s="1362"/>
      <c r="AF707" s="1362"/>
      <c r="AG707" s="1362"/>
      <c r="AH707" s="1362"/>
      <c r="AI707" s="1362"/>
      <c r="AJ707" s="1362"/>
      <c r="AK707" s="136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657" t="s">
        <v>389</v>
      </c>
      <c r="C714" s="1648"/>
      <c r="D714" s="1648"/>
      <c r="E714" s="1648"/>
      <c r="F714" s="1649"/>
      <c r="G714" s="1657" t="s">
        <v>285</v>
      </c>
      <c r="H714" s="1648"/>
      <c r="I714" s="1648"/>
      <c r="J714" s="1649"/>
      <c r="K714" s="1658" t="s">
        <v>1679</v>
      </c>
      <c r="L714" s="1659"/>
      <c r="M714" s="1659"/>
      <c r="N714" s="1660"/>
      <c r="O714" s="1657" t="s">
        <v>447</v>
      </c>
      <c r="P714" s="1648"/>
      <c r="Q714" s="1648"/>
      <c r="R714" s="1648"/>
      <c r="S714" s="1649"/>
      <c r="T714" s="1647" t="s">
        <v>1949</v>
      </c>
      <c r="U714" s="1648"/>
      <c r="V714" s="1648"/>
      <c r="W714" s="1649"/>
      <c r="X714" s="1647" t="s">
        <v>1951</v>
      </c>
      <c r="Y714" s="1648"/>
      <c r="Z714" s="1648"/>
      <c r="AA714" s="1648"/>
      <c r="AB714" s="1649"/>
      <c r="AC714" s="1647" t="s">
        <v>1950</v>
      </c>
      <c r="AD714" s="1648"/>
      <c r="AE714" s="1648"/>
      <c r="AF714" s="1648"/>
      <c r="AG714" s="1649"/>
      <c r="AH714" s="1647" t="s">
        <v>1952</v>
      </c>
      <c r="AI714" s="1648"/>
      <c r="AJ714" s="1649"/>
      <c r="AK714" s="1647" t="s">
        <v>1979</v>
      </c>
      <c r="AL714" s="1648"/>
      <c r="AM714" s="1648"/>
      <c r="AN714" s="1648"/>
      <c r="AO714" s="164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650"/>
      <c r="C715" s="1651"/>
      <c r="D715" s="1651"/>
      <c r="E715" s="1651"/>
      <c r="F715" s="1652"/>
      <c r="G715" s="1650"/>
      <c r="H715" s="1651"/>
      <c r="I715" s="1651"/>
      <c r="J715" s="1652"/>
      <c r="K715" s="1661"/>
      <c r="L715" s="1662"/>
      <c r="M715" s="1662"/>
      <c r="N715" s="1663"/>
      <c r="O715" s="1650"/>
      <c r="P715" s="1651"/>
      <c r="Q715" s="1651"/>
      <c r="R715" s="1651"/>
      <c r="S715" s="1652"/>
      <c r="T715" s="1650"/>
      <c r="U715" s="1651"/>
      <c r="V715" s="1651"/>
      <c r="W715" s="1652"/>
      <c r="X715" s="1650"/>
      <c r="Y715" s="1651"/>
      <c r="Z715" s="1651"/>
      <c r="AA715" s="1651"/>
      <c r="AB715" s="1652"/>
      <c r="AC715" s="1650"/>
      <c r="AD715" s="1651"/>
      <c r="AE715" s="1651"/>
      <c r="AF715" s="1651"/>
      <c r="AG715" s="1652"/>
      <c r="AH715" s="1650"/>
      <c r="AI715" s="1651"/>
      <c r="AJ715" s="1652"/>
      <c r="AK715" s="1650"/>
      <c r="AL715" s="1651"/>
      <c r="AM715" s="1651"/>
      <c r="AN715" s="1651"/>
      <c r="AO715" s="165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650"/>
      <c r="C716" s="1651"/>
      <c r="D716" s="1651"/>
      <c r="E716" s="1651"/>
      <c r="F716" s="1652"/>
      <c r="G716" s="1650"/>
      <c r="H716" s="1651"/>
      <c r="I716" s="1651"/>
      <c r="J716" s="1652"/>
      <c r="K716" s="1661"/>
      <c r="L716" s="1662"/>
      <c r="M716" s="1662"/>
      <c r="N716" s="1663"/>
      <c r="O716" s="1650"/>
      <c r="P716" s="1651"/>
      <c r="Q716" s="1651"/>
      <c r="R716" s="1651"/>
      <c r="S716" s="1652"/>
      <c r="T716" s="1650"/>
      <c r="U716" s="1651"/>
      <c r="V716" s="1651"/>
      <c r="W716" s="1652"/>
      <c r="X716" s="1650"/>
      <c r="Y716" s="1651"/>
      <c r="Z716" s="1651"/>
      <c r="AA716" s="1651"/>
      <c r="AB716" s="1652"/>
      <c r="AC716" s="1650"/>
      <c r="AD716" s="1651"/>
      <c r="AE716" s="1651"/>
      <c r="AF716" s="1651"/>
      <c r="AG716" s="1652"/>
      <c r="AH716" s="1650"/>
      <c r="AI716" s="1651"/>
      <c r="AJ716" s="1652"/>
      <c r="AK716" s="1650"/>
      <c r="AL716" s="1651"/>
      <c r="AM716" s="1651"/>
      <c r="AN716" s="1651"/>
      <c r="AO716" s="165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653"/>
      <c r="C717" s="1654"/>
      <c r="D717" s="1654"/>
      <c r="E717" s="1654"/>
      <c r="F717" s="1655"/>
      <c r="G717" s="1653"/>
      <c r="H717" s="1654"/>
      <c r="I717" s="1654"/>
      <c r="J717" s="1655"/>
      <c r="K717" s="1661"/>
      <c r="L717" s="1662"/>
      <c r="M717" s="1662"/>
      <c r="N717" s="1663"/>
      <c r="O717" s="1653"/>
      <c r="P717" s="1654"/>
      <c r="Q717" s="1654"/>
      <c r="R717" s="1654"/>
      <c r="S717" s="1655"/>
      <c r="T717" s="1653"/>
      <c r="U717" s="1654"/>
      <c r="V717" s="1654"/>
      <c r="W717" s="1655"/>
      <c r="X717" s="1653"/>
      <c r="Y717" s="1654"/>
      <c r="Z717" s="1654"/>
      <c r="AA717" s="1654"/>
      <c r="AB717" s="1655"/>
      <c r="AC717" s="1653"/>
      <c r="AD717" s="1654"/>
      <c r="AE717" s="1654"/>
      <c r="AF717" s="1654"/>
      <c r="AG717" s="1655"/>
      <c r="AH717" s="1653"/>
      <c r="AI717" s="1654"/>
      <c r="AJ717" s="1655"/>
      <c r="AK717" s="1653"/>
      <c r="AL717" s="1654"/>
      <c r="AM717" s="1654"/>
      <c r="AN717" s="1654"/>
      <c r="AO717" s="165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518"/>
      <c r="CJ717" s="1520"/>
      <c r="CK717" s="121" t="s">
        <v>475</v>
      </c>
      <c r="CL717" s="122"/>
      <c r="CM717" s="1518"/>
      <c r="CN717" s="1520"/>
      <c r="CO717" s="3"/>
      <c r="CP717" s="1543" t="s">
        <v>633</v>
      </c>
      <c r="CQ717" s="1544"/>
      <c r="CR717" s="1544"/>
      <c r="CS717" s="1544"/>
      <c r="CT717" s="1545"/>
      <c r="CU717" s="1524" t="s">
        <v>325</v>
      </c>
      <c r="CV717" s="1524"/>
      <c r="CW717" s="1524"/>
      <c r="CX717" s="1524"/>
      <c r="CY717" s="1524"/>
      <c r="CZ717" s="1524" t="s">
        <v>163</v>
      </c>
      <c r="DA717" s="1524"/>
      <c r="DB717" s="1524"/>
      <c r="DC717" s="1524"/>
      <c r="DD717" s="1524"/>
      <c r="DE717" s="1524" t="s">
        <v>164</v>
      </c>
      <c r="DF717" s="1524"/>
      <c r="DG717" s="1524"/>
      <c r="DH717" s="1524"/>
      <c r="DI717" s="1524"/>
      <c r="DJ717" s="1524" t="s">
        <v>460</v>
      </c>
      <c r="DK717" s="1524"/>
      <c r="DL717" s="1524"/>
      <c r="DM717" s="1524"/>
      <c r="DN717" s="1524"/>
      <c r="DO717" s="1524" t="s">
        <v>30</v>
      </c>
      <c r="DP717" s="1524"/>
      <c r="DQ717" s="1524"/>
      <c r="DR717" s="1524"/>
      <c r="DS717" s="1524"/>
      <c r="DT717" s="89"/>
      <c r="DU717" s="1524" t="s">
        <v>633</v>
      </c>
      <c r="DV717" s="1524"/>
      <c r="DW717" s="1524"/>
      <c r="DX717" s="1524"/>
      <c r="DY717" s="1524"/>
      <c r="DZ717" s="1524" t="s">
        <v>325</v>
      </c>
      <c r="EA717" s="1524"/>
      <c r="EB717" s="1524"/>
      <c r="EC717" s="1524"/>
      <c r="ED717" s="1524"/>
      <c r="EE717" s="1524" t="s">
        <v>163</v>
      </c>
      <c r="EF717" s="1524"/>
      <c r="EG717" s="1524"/>
      <c r="EH717" s="1524"/>
      <c r="EI717" s="1524"/>
      <c r="EJ717" s="1524" t="s">
        <v>164</v>
      </c>
      <c r="EK717" s="1524"/>
      <c r="EL717" s="1524"/>
      <c r="EM717" s="1524"/>
      <c r="EN717" s="1524"/>
      <c r="EO717" s="1524" t="s">
        <v>460</v>
      </c>
      <c r="EP717" s="1524"/>
      <c r="EQ717" s="1524"/>
      <c r="ER717" s="1524"/>
      <c r="ES717" s="1524"/>
      <c r="ET717" s="1524" t="s">
        <v>30</v>
      </c>
      <c r="EU717" s="1524"/>
      <c r="EV717" s="1524"/>
      <c r="EW717" s="1524"/>
      <c r="EX717" s="1524"/>
      <c r="EY717" s="4"/>
      <c r="EZ717" s="1524" t="s">
        <v>633</v>
      </c>
      <c r="FA717" s="1524"/>
      <c r="FB717" s="1524"/>
      <c r="FC717" s="1524"/>
      <c r="FD717" s="1524"/>
      <c r="FE717" s="1524" t="s">
        <v>325</v>
      </c>
      <c r="FF717" s="1524"/>
      <c r="FG717" s="1524"/>
      <c r="FH717" s="1524"/>
      <c r="FI717" s="1524"/>
      <c r="FJ717" s="1524" t="s">
        <v>163</v>
      </c>
      <c r="FK717" s="1524"/>
      <c r="FL717" s="1524"/>
      <c r="FM717" s="1524"/>
      <c r="FN717" s="1524"/>
      <c r="FO717" s="1524" t="s">
        <v>164</v>
      </c>
      <c r="FP717" s="1524"/>
      <c r="FQ717" s="1524"/>
      <c r="FR717" s="1524"/>
      <c r="FS717" s="1524"/>
      <c r="FT717" s="1524" t="s">
        <v>460</v>
      </c>
      <c r="FU717" s="1524"/>
      <c r="FV717" s="1524"/>
      <c r="FW717" s="1524"/>
      <c r="FX717" s="1524"/>
      <c r="FY717" s="1524" t="s">
        <v>30</v>
      </c>
      <c r="FZ717" s="1524"/>
      <c r="GA717" s="1524"/>
      <c r="GB717" s="1524"/>
      <c r="GC717" s="1524"/>
    </row>
    <row r="718" spans="1:185" ht="13.05" customHeight="1">
      <c r="A718" s="4"/>
      <c r="B718" s="1383" t="s">
        <v>325</v>
      </c>
      <c r="C718" s="1384"/>
      <c r="D718" s="1384"/>
      <c r="E718" s="1384"/>
      <c r="F718" s="1385"/>
      <c r="G718" s="1366">
        <v>3</v>
      </c>
      <c r="H718" s="1367"/>
      <c r="I718" s="1367"/>
      <c r="J718" s="1368"/>
      <c r="K718" s="1363">
        <v>539</v>
      </c>
      <c r="L718" s="1364"/>
      <c r="M718" s="1364"/>
      <c r="N718" s="1365"/>
      <c r="O718" s="1392">
        <v>1045</v>
      </c>
      <c r="P718" s="1393"/>
      <c r="Q718" s="1393"/>
      <c r="R718" s="1393"/>
      <c r="S718" s="1394"/>
      <c r="T718" s="1392">
        <v>132</v>
      </c>
      <c r="U718" s="1393"/>
      <c r="V718" s="1393"/>
      <c r="W718" s="1394"/>
      <c r="X718" s="1395">
        <f t="shared" ref="X718:X741" si="9">O718+T718</f>
        <v>1177</v>
      </c>
      <c r="Y718" s="1396"/>
      <c r="Z718" s="1396"/>
      <c r="AA718" s="1396"/>
      <c r="AB718" s="1397"/>
      <c r="AC718" s="1452">
        <v>0.6</v>
      </c>
      <c r="AD718" s="1453"/>
      <c r="AE718" s="1453"/>
      <c r="AF718" s="1453"/>
      <c r="AG718" s="1454"/>
      <c r="AH718" s="1401">
        <f>IF($AC718&gt;0,($X718/$AZ718), "")</f>
        <v>0.59989806320081551</v>
      </c>
      <c r="AI718" s="1402"/>
      <c r="AJ718" s="1403"/>
      <c r="AK718" s="1383" t="s">
        <v>591</v>
      </c>
      <c r="AL718" s="1384"/>
      <c r="AM718" s="1384"/>
      <c r="AN718" s="1384"/>
      <c r="AO718" s="1385"/>
      <c r="AP718" s="3"/>
      <c r="AQ718" s="3"/>
      <c r="AR718" s="3"/>
      <c r="AS718" s="3"/>
      <c r="AZ718" s="118">
        <f t="shared" ref="AZ718:AZ752" si="10">IF($G718=0,"N/A",VLOOKUP($T$189,TC_Rent,(MATCH($B718,bedrooms,FALSE)),FALSE))</f>
        <v>1962</v>
      </c>
      <c r="BA718" s="3"/>
      <c r="BB718" s="3"/>
      <c r="BC718" s="3"/>
      <c r="BD718" s="3"/>
      <c r="BE718" s="204"/>
      <c r="BF718" s="293">
        <f t="shared" ref="BF718:BF752" si="11">G718</f>
        <v>3</v>
      </c>
      <c r="BG718" s="297">
        <f t="shared" ref="BG718:BG752" si="12">IF($BF$753=0,0,BF718/$BF$753)</f>
        <v>6.6666666666666666E-2</v>
      </c>
      <c r="BH718" s="298">
        <f t="shared" ref="BH718:BH752" si="13">IF(BG718=0,"",BG718*AC718)</f>
        <v>0.04</v>
      </c>
      <c r="BI718" s="3"/>
      <c r="BJ718" s="3"/>
      <c r="BK718" s="3"/>
      <c r="BL718" s="3"/>
      <c r="BM718" s="3"/>
      <c r="BN718" s="3"/>
      <c r="BS718" s="293">
        <f t="shared" ref="BS718:BS752" si="14">G718</f>
        <v>3</v>
      </c>
      <c r="BT718" s="297">
        <f t="shared" ref="BT718:BT752" si="15">IF($BS$753=0,0,BS718/$BS$753)</f>
        <v>6.6666666666666666E-2</v>
      </c>
      <c r="BU718" s="298">
        <f t="shared" ref="BU718:BU752" si="16">IF(BT718=0,"",BT718*AH718)</f>
        <v>3.9993204213387701E-2</v>
      </c>
      <c r="CC718" s="3"/>
      <c r="CD718" s="3"/>
      <c r="CE718" s="3"/>
      <c r="CF718" s="3"/>
      <c r="CG718" s="1512">
        <f>IF(AND(AC718&lt;=0.5,AC718&gt;=0.36),1,0)</f>
        <v>0</v>
      </c>
      <c r="CH718" s="1514"/>
      <c r="CI718" s="1518">
        <f>IF(CG718=1,G718,0)</f>
        <v>0</v>
      </c>
      <c r="CJ718" s="1520"/>
      <c r="CK718" s="1512">
        <f t="shared" ref="CK718:CK752" si="17">IF(AND(AC718&lt;=0.35,AC718&gt;0),1,0)</f>
        <v>0</v>
      </c>
      <c r="CL718" s="1514"/>
      <c r="CM718" s="1518">
        <f t="shared" ref="CM718:CM752" si="18">IF(CK718=1,G718,0)</f>
        <v>0</v>
      </c>
      <c r="CN718" s="1520"/>
      <c r="CO718" s="3"/>
      <c r="CP718" s="1515">
        <f t="shared" ref="CP718:CP752" si="19">IF(B718="SRO/Studio",G718,0)</f>
        <v>0</v>
      </c>
      <c r="CQ718" s="1516"/>
      <c r="CR718" s="1516"/>
      <c r="CS718" s="1516"/>
      <c r="CT718" s="1517"/>
      <c r="CU718" s="1485">
        <f t="shared" ref="CU718:CU752" si="20">IF(B718="1 Bedroom",G718,0)</f>
        <v>3</v>
      </c>
      <c r="CV718" s="1485"/>
      <c r="CW718" s="1485"/>
      <c r="CX718" s="1485"/>
      <c r="CY718" s="1485"/>
      <c r="CZ718" s="1485">
        <f t="shared" ref="CZ718:CZ752" si="21">IF(B718="2 Bedrooms",G718,0)</f>
        <v>0</v>
      </c>
      <c r="DA718" s="1485"/>
      <c r="DB718" s="1485"/>
      <c r="DC718" s="1485"/>
      <c r="DD718" s="1485"/>
      <c r="DE718" s="1485">
        <f t="shared" ref="DE718:DE752" si="22">IF(B718="3 Bedrooms",G718,0)</f>
        <v>0</v>
      </c>
      <c r="DF718" s="1485"/>
      <c r="DG718" s="1485"/>
      <c r="DH718" s="1485"/>
      <c r="DI718" s="1485"/>
      <c r="DJ718" s="1485">
        <f t="shared" ref="DJ718:DJ752" si="23">IF(B718="4 Bedrooms",G718,0)</f>
        <v>0</v>
      </c>
      <c r="DK718" s="1485"/>
      <c r="DL718" s="1485"/>
      <c r="DM718" s="1485"/>
      <c r="DN718" s="1485"/>
      <c r="DO718" s="1485">
        <f t="shared" ref="DO718:DO752" si="24">IF(B718="5 Bedrooms",G718,0)</f>
        <v>0</v>
      </c>
      <c r="DP718" s="1485"/>
      <c r="DQ718" s="1485"/>
      <c r="DR718" s="1485"/>
      <c r="DS718" s="1485"/>
      <c r="DT718" s="6"/>
      <c r="DU718" s="1486">
        <f t="shared" ref="DU718:DU752" si="25">IF(AND(B718="SRO/Studio",AC718&lt;=0.3),G718,0)</f>
        <v>0</v>
      </c>
      <c r="DV718" s="1486"/>
      <c r="DW718" s="1486"/>
      <c r="DX718" s="1486"/>
      <c r="DY718" s="1486"/>
      <c r="DZ718" s="1486">
        <f t="shared" ref="DZ718:DZ752" si="26">IF(AND(B718="1 Bedroom",AC718&lt;=0.3),G718,0)</f>
        <v>0</v>
      </c>
      <c r="EA718" s="1486"/>
      <c r="EB718" s="1486"/>
      <c r="EC718" s="1486"/>
      <c r="ED718" s="1486"/>
      <c r="EE718" s="1486">
        <f t="shared" ref="EE718:EE752" si="27">IF(AND(B718="2 Bedrooms",AC718&lt;=0.3),G718,0)</f>
        <v>0</v>
      </c>
      <c r="EF718" s="1486"/>
      <c r="EG718" s="1486"/>
      <c r="EH718" s="1486"/>
      <c r="EI718" s="1486"/>
      <c r="EJ718" s="1486">
        <f t="shared" ref="EJ718:EJ752" si="28">IF(AND(B718="3 Bedrooms",AC718&lt;=0.3),G718,0)</f>
        <v>0</v>
      </c>
      <c r="EK718" s="1486"/>
      <c r="EL718" s="1486"/>
      <c r="EM718" s="1486"/>
      <c r="EN718" s="1486"/>
      <c r="EO718" s="1486">
        <f t="shared" ref="EO718:EO752" si="29">IF(AND(B718="4 Bedrooms",AC718&lt;=0.3),G718,0)</f>
        <v>0</v>
      </c>
      <c r="EP718" s="1486"/>
      <c r="EQ718" s="1486"/>
      <c r="ER718" s="1486"/>
      <c r="ES718" s="1486"/>
      <c r="ET718" s="1486">
        <f t="shared" ref="ET718:ET752" si="30">IF(AND(B718="5 Bedrooms",AC718&lt;=0.3),G718,0)</f>
        <v>0</v>
      </c>
      <c r="EU718" s="1486"/>
      <c r="EV718" s="1486"/>
      <c r="EW718" s="1486"/>
      <c r="EX718" s="1486"/>
      <c r="EY718" s="4"/>
      <c r="EZ718" s="1512" t="str">
        <f t="shared" ref="EZ718:EZ752" si="31">IF(CP718&gt;0,O718,"")</f>
        <v/>
      </c>
      <c r="FA718" s="1513"/>
      <c r="FB718" s="1513"/>
      <c r="FC718" s="1513"/>
      <c r="FD718" s="1514"/>
      <c r="FE718" s="1512">
        <f t="shared" ref="FE718:FE752" si="32">IF(CU718&gt;0,O718,"")</f>
        <v>1045</v>
      </c>
      <c r="FF718" s="1513"/>
      <c r="FG718" s="1513"/>
      <c r="FH718" s="1513"/>
      <c r="FI718" s="1514"/>
      <c r="FJ718" s="1512" t="str">
        <f t="shared" ref="FJ718:FJ752" si="33">IF(CZ718&gt;0,O718,"")</f>
        <v/>
      </c>
      <c r="FK718" s="1513"/>
      <c r="FL718" s="1513"/>
      <c r="FM718" s="1513"/>
      <c r="FN718" s="1514"/>
      <c r="FO718" s="1512" t="str">
        <f t="shared" ref="FO718:FO752" si="34">IF(DE718&gt;0,O718,"")</f>
        <v/>
      </c>
      <c r="FP718" s="1513"/>
      <c r="FQ718" s="1513"/>
      <c r="FR718" s="1513"/>
      <c r="FS718" s="1514"/>
      <c r="FT718" s="1512" t="str">
        <f t="shared" ref="FT718:FT752" si="35">IF(DJ718&gt;0,O718,"")</f>
        <v/>
      </c>
      <c r="FU718" s="1513"/>
      <c r="FV718" s="1513"/>
      <c r="FW718" s="1513"/>
      <c r="FX718" s="1514"/>
      <c r="FY718" s="1512" t="str">
        <f t="shared" ref="FY718:FY752" si="36">IF(DO718&gt;0,O718,"")</f>
        <v/>
      </c>
      <c r="FZ718" s="1513"/>
      <c r="GA718" s="1513"/>
      <c r="GB718" s="1513"/>
      <c r="GC718" s="1514"/>
    </row>
    <row r="719" spans="1:185" ht="13.05" customHeight="1">
      <c r="A719" s="4"/>
      <c r="B719" s="1383" t="s">
        <v>325</v>
      </c>
      <c r="C719" s="1384"/>
      <c r="D719" s="1384"/>
      <c r="E719" s="1384"/>
      <c r="F719" s="1385"/>
      <c r="G719" s="1366">
        <v>7</v>
      </c>
      <c r="H719" s="1367"/>
      <c r="I719" s="1367"/>
      <c r="J719" s="1368"/>
      <c r="K719" s="1363">
        <v>539</v>
      </c>
      <c r="L719" s="1364"/>
      <c r="M719" s="1364"/>
      <c r="N719" s="1365"/>
      <c r="O719" s="1392">
        <v>849</v>
      </c>
      <c r="P719" s="1393"/>
      <c r="Q719" s="1393"/>
      <c r="R719" s="1393"/>
      <c r="S719" s="1394"/>
      <c r="T719" s="1392">
        <v>132</v>
      </c>
      <c r="U719" s="1393"/>
      <c r="V719" s="1393"/>
      <c r="W719" s="1394"/>
      <c r="X719" s="1395">
        <f t="shared" si="9"/>
        <v>981</v>
      </c>
      <c r="Y719" s="1396"/>
      <c r="Z719" s="1396"/>
      <c r="AA719" s="1396"/>
      <c r="AB719" s="1397"/>
      <c r="AC719" s="1452">
        <v>0.5</v>
      </c>
      <c r="AD719" s="1453"/>
      <c r="AE719" s="1453"/>
      <c r="AF719" s="1453"/>
      <c r="AG719" s="1454"/>
      <c r="AH719" s="1401">
        <f t="shared" ref="AH719:AH752" si="37">IF($AC719&gt;0,($X719/$AZ719), "")</f>
        <v>0.5</v>
      </c>
      <c r="AI719" s="1402"/>
      <c r="AJ719" s="1403"/>
      <c r="AK719" s="1383" t="s">
        <v>591</v>
      </c>
      <c r="AL719" s="1384"/>
      <c r="AM719" s="1384"/>
      <c r="AN719" s="1384"/>
      <c r="AO719" s="1385"/>
      <c r="AP719" s="3"/>
      <c r="AQ719" s="3"/>
      <c r="AR719" s="3"/>
      <c r="AS719" s="3"/>
      <c r="AZ719" s="118">
        <f t="shared" si="10"/>
        <v>1962</v>
      </c>
      <c r="BA719" s="3"/>
      <c r="BB719" s="3"/>
      <c r="BC719" s="3"/>
      <c r="BD719" s="3"/>
      <c r="BE719" s="204"/>
      <c r="BF719" s="294">
        <f t="shared" si="11"/>
        <v>7</v>
      </c>
      <c r="BG719" s="297">
        <f t="shared" si="12"/>
        <v>0.15555555555555556</v>
      </c>
      <c r="BH719" s="298">
        <f t="shared" si="13"/>
        <v>7.7777777777777779E-2</v>
      </c>
      <c r="BI719" s="3"/>
      <c r="BJ719" s="3"/>
      <c r="BK719" s="3"/>
      <c r="BL719" s="3"/>
      <c r="BM719" s="3"/>
      <c r="BN719" s="3"/>
      <c r="BS719" s="294">
        <f t="shared" si="14"/>
        <v>7</v>
      </c>
      <c r="BT719" s="297">
        <f t="shared" si="15"/>
        <v>0.15555555555555556</v>
      </c>
      <c r="BU719" s="298">
        <f t="shared" si="16"/>
        <v>7.7777777777777779E-2</v>
      </c>
      <c r="CC719" s="3"/>
      <c r="CD719" s="3"/>
      <c r="CE719" s="3"/>
      <c r="CF719" s="3"/>
      <c r="CG719" s="1512">
        <f t="shared" ref="CG719:CG752" si="38">IF(AND(AC719&lt;=0.5,AC719&gt;=0.36),1,0)</f>
        <v>1</v>
      </c>
      <c r="CH719" s="1514"/>
      <c r="CI719" s="1518">
        <f t="shared" ref="CI719:CI752" si="39">IF(CG719=1,G719,0)</f>
        <v>7</v>
      </c>
      <c r="CJ719" s="1520"/>
      <c r="CK719" s="1512">
        <f t="shared" si="17"/>
        <v>0</v>
      </c>
      <c r="CL719" s="1514"/>
      <c r="CM719" s="1518">
        <f t="shared" si="18"/>
        <v>0</v>
      </c>
      <c r="CN719" s="1520"/>
      <c r="CO719" s="3"/>
      <c r="CP719" s="1515">
        <f t="shared" si="19"/>
        <v>0</v>
      </c>
      <c r="CQ719" s="1516"/>
      <c r="CR719" s="1516"/>
      <c r="CS719" s="1516"/>
      <c r="CT719" s="1517"/>
      <c r="CU719" s="1485">
        <f t="shared" si="20"/>
        <v>7</v>
      </c>
      <c r="CV719" s="1485"/>
      <c r="CW719" s="1485"/>
      <c r="CX719" s="1485"/>
      <c r="CY719" s="1485"/>
      <c r="CZ719" s="1485">
        <f t="shared" si="21"/>
        <v>0</v>
      </c>
      <c r="DA719" s="1485"/>
      <c r="DB719" s="1485"/>
      <c r="DC719" s="1485"/>
      <c r="DD719" s="1485"/>
      <c r="DE719" s="1485">
        <f t="shared" si="22"/>
        <v>0</v>
      </c>
      <c r="DF719" s="1485"/>
      <c r="DG719" s="1485"/>
      <c r="DH719" s="1485"/>
      <c r="DI719" s="1485"/>
      <c r="DJ719" s="1485">
        <f t="shared" si="23"/>
        <v>0</v>
      </c>
      <c r="DK719" s="1485"/>
      <c r="DL719" s="1485"/>
      <c r="DM719" s="1485"/>
      <c r="DN719" s="1485"/>
      <c r="DO719" s="1485">
        <f t="shared" si="24"/>
        <v>0</v>
      </c>
      <c r="DP719" s="1485"/>
      <c r="DQ719" s="1485"/>
      <c r="DR719" s="1485"/>
      <c r="DS719" s="1485"/>
      <c r="DT719" s="6"/>
      <c r="DU719" s="1486">
        <f t="shared" si="25"/>
        <v>0</v>
      </c>
      <c r="DV719" s="1486"/>
      <c r="DW719" s="1486"/>
      <c r="DX719" s="1486"/>
      <c r="DY719" s="1486"/>
      <c r="DZ719" s="1486">
        <f t="shared" si="26"/>
        <v>0</v>
      </c>
      <c r="EA719" s="1486"/>
      <c r="EB719" s="1486"/>
      <c r="EC719" s="1486"/>
      <c r="ED719" s="1486"/>
      <c r="EE719" s="1486">
        <f t="shared" si="27"/>
        <v>0</v>
      </c>
      <c r="EF719" s="1486"/>
      <c r="EG719" s="1486"/>
      <c r="EH719" s="1486"/>
      <c r="EI719" s="1486"/>
      <c r="EJ719" s="1486">
        <f t="shared" si="28"/>
        <v>0</v>
      </c>
      <c r="EK719" s="1486"/>
      <c r="EL719" s="1486"/>
      <c r="EM719" s="1486"/>
      <c r="EN719" s="1486"/>
      <c r="EO719" s="1486">
        <f t="shared" si="29"/>
        <v>0</v>
      </c>
      <c r="EP719" s="1486"/>
      <c r="EQ719" s="1486"/>
      <c r="ER719" s="1486"/>
      <c r="ES719" s="1486"/>
      <c r="ET719" s="1486">
        <f t="shared" si="30"/>
        <v>0</v>
      </c>
      <c r="EU719" s="1486"/>
      <c r="EV719" s="1486"/>
      <c r="EW719" s="1486"/>
      <c r="EX719" s="1486"/>
      <c r="EY719" s="4"/>
      <c r="EZ719" s="1512" t="str">
        <f t="shared" si="31"/>
        <v/>
      </c>
      <c r="FA719" s="1513"/>
      <c r="FB719" s="1513"/>
      <c r="FC719" s="1513"/>
      <c r="FD719" s="1514"/>
      <c r="FE719" s="1512">
        <f t="shared" si="32"/>
        <v>849</v>
      </c>
      <c r="FF719" s="1513"/>
      <c r="FG719" s="1513"/>
      <c r="FH719" s="1513"/>
      <c r="FI719" s="1514"/>
      <c r="FJ719" s="1512" t="str">
        <f t="shared" si="33"/>
        <v/>
      </c>
      <c r="FK719" s="1513"/>
      <c r="FL719" s="1513"/>
      <c r="FM719" s="1513"/>
      <c r="FN719" s="1514"/>
      <c r="FO719" s="1512" t="str">
        <f t="shared" si="34"/>
        <v/>
      </c>
      <c r="FP719" s="1513"/>
      <c r="FQ719" s="1513"/>
      <c r="FR719" s="1513"/>
      <c r="FS719" s="1514"/>
      <c r="FT719" s="1512" t="str">
        <f t="shared" si="35"/>
        <v/>
      </c>
      <c r="FU719" s="1513"/>
      <c r="FV719" s="1513"/>
      <c r="FW719" s="1513"/>
      <c r="FX719" s="1514"/>
      <c r="FY719" s="1512" t="str">
        <f t="shared" si="36"/>
        <v/>
      </c>
      <c r="FZ719" s="1513"/>
      <c r="GA719" s="1513"/>
      <c r="GB719" s="1513"/>
      <c r="GC719" s="1514"/>
    </row>
    <row r="720" spans="1:185" ht="13.05" customHeight="1">
      <c r="A720" s="4"/>
      <c r="B720" s="1383" t="s">
        <v>325</v>
      </c>
      <c r="C720" s="1384"/>
      <c r="D720" s="1384"/>
      <c r="E720" s="1384"/>
      <c r="F720" s="1385"/>
      <c r="G720" s="1366">
        <v>2</v>
      </c>
      <c r="H720" s="1367"/>
      <c r="I720" s="1367"/>
      <c r="J720" s="1368"/>
      <c r="K720" s="1363">
        <v>539</v>
      </c>
      <c r="L720" s="1364"/>
      <c r="M720" s="1364"/>
      <c r="N720" s="1365"/>
      <c r="O720" s="1392">
        <v>456</v>
      </c>
      <c r="P720" s="1393"/>
      <c r="Q720" s="1393"/>
      <c r="R720" s="1393"/>
      <c r="S720" s="1394"/>
      <c r="T720" s="1392">
        <v>132</v>
      </c>
      <c r="U720" s="1393"/>
      <c r="V720" s="1393"/>
      <c r="W720" s="1394"/>
      <c r="X720" s="1395">
        <f t="shared" si="9"/>
        <v>588</v>
      </c>
      <c r="Y720" s="1396"/>
      <c r="Z720" s="1396"/>
      <c r="AA720" s="1396"/>
      <c r="AB720" s="1397"/>
      <c r="AC720" s="1452">
        <v>0.3</v>
      </c>
      <c r="AD720" s="1453"/>
      <c r="AE720" s="1453"/>
      <c r="AF720" s="1453"/>
      <c r="AG720" s="1454"/>
      <c r="AH720" s="1401">
        <f t="shared" si="37"/>
        <v>0.29969418960244648</v>
      </c>
      <c r="AI720" s="1402"/>
      <c r="AJ720" s="1403"/>
      <c r="AK720" s="1383" t="s">
        <v>591</v>
      </c>
      <c r="AL720" s="1384"/>
      <c r="AM720" s="1384"/>
      <c r="AN720" s="1384"/>
      <c r="AO720" s="1385"/>
      <c r="AP720" s="3"/>
      <c r="AQ720" s="3"/>
      <c r="AR720" s="3"/>
      <c r="AS720" s="3"/>
      <c r="AZ720" s="118">
        <f t="shared" si="10"/>
        <v>1962</v>
      </c>
      <c r="BA720" s="3"/>
      <c r="BB720" s="3"/>
      <c r="BC720" s="3"/>
      <c r="BD720" s="3"/>
      <c r="BE720" s="204"/>
      <c r="BF720" s="294">
        <f t="shared" si="11"/>
        <v>2</v>
      </c>
      <c r="BG720" s="297">
        <f t="shared" si="12"/>
        <v>4.4444444444444446E-2</v>
      </c>
      <c r="BH720" s="298">
        <f t="shared" si="13"/>
        <v>1.3333333333333334E-2</v>
      </c>
      <c r="BI720" s="3"/>
      <c r="BJ720" s="3"/>
      <c r="BK720" s="3"/>
      <c r="BL720" s="3"/>
      <c r="BM720" s="3"/>
      <c r="BN720" s="3"/>
      <c r="BS720" s="294">
        <f t="shared" si="14"/>
        <v>2</v>
      </c>
      <c r="BT720" s="297">
        <f t="shared" si="15"/>
        <v>4.4444444444444446E-2</v>
      </c>
      <c r="BU720" s="298">
        <f t="shared" si="16"/>
        <v>1.3319741760108732E-2</v>
      </c>
      <c r="CC720" s="3"/>
      <c r="CD720" s="3"/>
      <c r="CE720" s="3"/>
      <c r="CF720" s="3"/>
      <c r="CG720" s="1512">
        <f t="shared" si="38"/>
        <v>0</v>
      </c>
      <c r="CH720" s="1514"/>
      <c r="CI720" s="1518">
        <f t="shared" si="39"/>
        <v>0</v>
      </c>
      <c r="CJ720" s="1520"/>
      <c r="CK720" s="1512">
        <f t="shared" si="17"/>
        <v>1</v>
      </c>
      <c r="CL720" s="1514"/>
      <c r="CM720" s="1518">
        <f t="shared" si="18"/>
        <v>2</v>
      </c>
      <c r="CN720" s="1520"/>
      <c r="CO720" s="3"/>
      <c r="CP720" s="1515">
        <f t="shared" si="19"/>
        <v>0</v>
      </c>
      <c r="CQ720" s="1516"/>
      <c r="CR720" s="1516"/>
      <c r="CS720" s="1516"/>
      <c r="CT720" s="1517"/>
      <c r="CU720" s="1485">
        <f t="shared" si="20"/>
        <v>2</v>
      </c>
      <c r="CV720" s="1485"/>
      <c r="CW720" s="1485"/>
      <c r="CX720" s="1485"/>
      <c r="CY720" s="1485"/>
      <c r="CZ720" s="1485">
        <f t="shared" si="21"/>
        <v>0</v>
      </c>
      <c r="DA720" s="1485"/>
      <c r="DB720" s="1485"/>
      <c r="DC720" s="1485"/>
      <c r="DD720" s="1485"/>
      <c r="DE720" s="1485">
        <f t="shared" si="22"/>
        <v>0</v>
      </c>
      <c r="DF720" s="1485"/>
      <c r="DG720" s="1485"/>
      <c r="DH720" s="1485"/>
      <c r="DI720" s="1485"/>
      <c r="DJ720" s="1485">
        <f t="shared" si="23"/>
        <v>0</v>
      </c>
      <c r="DK720" s="1485"/>
      <c r="DL720" s="1485"/>
      <c r="DM720" s="1485"/>
      <c r="DN720" s="1485"/>
      <c r="DO720" s="1485">
        <f t="shared" si="24"/>
        <v>0</v>
      </c>
      <c r="DP720" s="1485"/>
      <c r="DQ720" s="1485"/>
      <c r="DR720" s="1485"/>
      <c r="DS720" s="1485"/>
      <c r="DT720" s="6"/>
      <c r="DU720" s="1486">
        <f t="shared" si="25"/>
        <v>0</v>
      </c>
      <c r="DV720" s="1486"/>
      <c r="DW720" s="1486"/>
      <c r="DX720" s="1486"/>
      <c r="DY720" s="1486"/>
      <c r="DZ720" s="1486">
        <f t="shared" si="26"/>
        <v>2</v>
      </c>
      <c r="EA720" s="1486"/>
      <c r="EB720" s="1486"/>
      <c r="EC720" s="1486"/>
      <c r="ED720" s="1486"/>
      <c r="EE720" s="1486">
        <f t="shared" si="27"/>
        <v>0</v>
      </c>
      <c r="EF720" s="1486"/>
      <c r="EG720" s="1486"/>
      <c r="EH720" s="1486"/>
      <c r="EI720" s="1486"/>
      <c r="EJ720" s="1486">
        <f t="shared" si="28"/>
        <v>0</v>
      </c>
      <c r="EK720" s="1486"/>
      <c r="EL720" s="1486"/>
      <c r="EM720" s="1486"/>
      <c r="EN720" s="1486"/>
      <c r="EO720" s="1486">
        <f t="shared" si="29"/>
        <v>0</v>
      </c>
      <c r="EP720" s="1486"/>
      <c r="EQ720" s="1486"/>
      <c r="ER720" s="1486"/>
      <c r="ES720" s="1486"/>
      <c r="ET720" s="1486">
        <f t="shared" si="30"/>
        <v>0</v>
      </c>
      <c r="EU720" s="1486"/>
      <c r="EV720" s="1486"/>
      <c r="EW720" s="1486"/>
      <c r="EX720" s="1486"/>
      <c r="EZ720" s="1512" t="str">
        <f t="shared" si="31"/>
        <v/>
      </c>
      <c r="FA720" s="1513"/>
      <c r="FB720" s="1513"/>
      <c r="FC720" s="1513"/>
      <c r="FD720" s="1514"/>
      <c r="FE720" s="1512">
        <f t="shared" si="32"/>
        <v>456</v>
      </c>
      <c r="FF720" s="1513"/>
      <c r="FG720" s="1513"/>
      <c r="FH720" s="1513"/>
      <c r="FI720" s="1514"/>
      <c r="FJ720" s="1512" t="str">
        <f t="shared" si="33"/>
        <v/>
      </c>
      <c r="FK720" s="1513"/>
      <c r="FL720" s="1513"/>
      <c r="FM720" s="1513"/>
      <c r="FN720" s="1514"/>
      <c r="FO720" s="1512" t="str">
        <f t="shared" si="34"/>
        <v/>
      </c>
      <c r="FP720" s="1513"/>
      <c r="FQ720" s="1513"/>
      <c r="FR720" s="1513"/>
      <c r="FS720" s="1514"/>
      <c r="FT720" s="1512" t="str">
        <f t="shared" si="35"/>
        <v/>
      </c>
      <c r="FU720" s="1513"/>
      <c r="FV720" s="1513"/>
      <c r="FW720" s="1513"/>
      <c r="FX720" s="1514"/>
      <c r="FY720" s="1512" t="str">
        <f t="shared" si="36"/>
        <v/>
      </c>
      <c r="FZ720" s="1513"/>
      <c r="GA720" s="1513"/>
      <c r="GB720" s="1513"/>
      <c r="GC720" s="1514"/>
    </row>
    <row r="721" spans="1:185" ht="13.05" customHeight="1">
      <c r="B721" s="1383" t="s">
        <v>163</v>
      </c>
      <c r="C721" s="1384"/>
      <c r="D721" s="1384"/>
      <c r="E721" s="1384"/>
      <c r="F721" s="1385"/>
      <c r="G721" s="1366">
        <v>5</v>
      </c>
      <c r="H721" s="1367"/>
      <c r="I721" s="1367"/>
      <c r="J721" s="1368"/>
      <c r="K721" s="1363">
        <v>778</v>
      </c>
      <c r="L721" s="1364"/>
      <c r="M721" s="1364"/>
      <c r="N721" s="1365"/>
      <c r="O721" s="1392">
        <v>1234</v>
      </c>
      <c r="P721" s="1393"/>
      <c r="Q721" s="1393"/>
      <c r="R721" s="1393"/>
      <c r="S721" s="1394"/>
      <c r="T721" s="1392">
        <v>179</v>
      </c>
      <c r="U721" s="1393"/>
      <c r="V721" s="1393"/>
      <c r="W721" s="1394"/>
      <c r="X721" s="1395">
        <f t="shared" si="9"/>
        <v>1413</v>
      </c>
      <c r="Y721" s="1396"/>
      <c r="Z721" s="1396"/>
      <c r="AA721" s="1396"/>
      <c r="AB721" s="1397"/>
      <c r="AC721" s="1452">
        <v>0.6</v>
      </c>
      <c r="AD721" s="1453"/>
      <c r="AE721" s="1453"/>
      <c r="AF721" s="1453"/>
      <c r="AG721" s="1454"/>
      <c r="AH721" s="1401">
        <f t="shared" si="37"/>
        <v>0.6002548853016143</v>
      </c>
      <c r="AI721" s="1402"/>
      <c r="AJ721" s="1403"/>
      <c r="AK721" s="1383" t="s">
        <v>591</v>
      </c>
      <c r="AL721" s="1384"/>
      <c r="AM721" s="1384"/>
      <c r="AN721" s="1384"/>
      <c r="AO721" s="1385"/>
      <c r="AP721" s="3"/>
      <c r="AQ721" s="3"/>
      <c r="AR721" s="3"/>
      <c r="AS721" s="3"/>
      <c r="AY721" s="116"/>
      <c r="AZ721" s="118">
        <f t="shared" si="10"/>
        <v>2354</v>
      </c>
      <c r="BA721" s="3"/>
      <c r="BB721" s="3"/>
      <c r="BC721" s="3"/>
      <c r="BD721" s="3"/>
      <c r="BE721" s="204"/>
      <c r="BF721" s="294">
        <f t="shared" si="11"/>
        <v>5</v>
      </c>
      <c r="BG721" s="297">
        <f t="shared" si="12"/>
        <v>0.1111111111111111</v>
      </c>
      <c r="BH721" s="298">
        <f t="shared" si="13"/>
        <v>6.6666666666666666E-2</v>
      </c>
      <c r="BI721" s="3"/>
      <c r="BJ721" s="3"/>
      <c r="BK721" s="3"/>
      <c r="BL721" s="3"/>
      <c r="BM721" s="3"/>
      <c r="BN721" s="3"/>
      <c r="BS721" s="294">
        <f t="shared" si="14"/>
        <v>5</v>
      </c>
      <c r="BT721" s="297">
        <f t="shared" si="15"/>
        <v>0.1111111111111111</v>
      </c>
      <c r="BU721" s="298">
        <f t="shared" si="16"/>
        <v>6.6694987255734917E-2</v>
      </c>
      <c r="CC721" s="3"/>
      <c r="CD721" s="3"/>
      <c r="CE721" s="3"/>
      <c r="CF721" s="3"/>
      <c r="CG721" s="1512">
        <f t="shared" si="38"/>
        <v>0</v>
      </c>
      <c r="CH721" s="1514"/>
      <c r="CI721" s="1518">
        <f t="shared" si="39"/>
        <v>0</v>
      </c>
      <c r="CJ721" s="1520"/>
      <c r="CK721" s="1512">
        <f t="shared" si="17"/>
        <v>0</v>
      </c>
      <c r="CL721" s="1514"/>
      <c r="CM721" s="1518">
        <f t="shared" si="18"/>
        <v>0</v>
      </c>
      <c r="CN721" s="1520"/>
      <c r="CO721" s="3"/>
      <c r="CP721" s="1515">
        <f t="shared" si="19"/>
        <v>0</v>
      </c>
      <c r="CQ721" s="1516"/>
      <c r="CR721" s="1516"/>
      <c r="CS721" s="1516"/>
      <c r="CT721" s="1517"/>
      <c r="CU721" s="1485">
        <f t="shared" si="20"/>
        <v>0</v>
      </c>
      <c r="CV721" s="1485"/>
      <c r="CW721" s="1485"/>
      <c r="CX721" s="1485"/>
      <c r="CY721" s="1485"/>
      <c r="CZ721" s="1485">
        <f t="shared" si="21"/>
        <v>5</v>
      </c>
      <c r="DA721" s="1485"/>
      <c r="DB721" s="1485"/>
      <c r="DC721" s="1485"/>
      <c r="DD721" s="1485"/>
      <c r="DE721" s="1485">
        <f t="shared" si="22"/>
        <v>0</v>
      </c>
      <c r="DF721" s="1485"/>
      <c r="DG721" s="1485"/>
      <c r="DH721" s="1485"/>
      <c r="DI721" s="1485"/>
      <c r="DJ721" s="1485">
        <f t="shared" si="23"/>
        <v>0</v>
      </c>
      <c r="DK721" s="1485"/>
      <c r="DL721" s="1485"/>
      <c r="DM721" s="1485"/>
      <c r="DN721" s="1485"/>
      <c r="DO721" s="1485">
        <f t="shared" si="24"/>
        <v>0</v>
      </c>
      <c r="DP721" s="1485"/>
      <c r="DQ721" s="1485"/>
      <c r="DR721" s="1485"/>
      <c r="DS721" s="1485"/>
      <c r="DT721" s="6"/>
      <c r="DU721" s="1486">
        <f t="shared" si="25"/>
        <v>0</v>
      </c>
      <c r="DV721" s="1486"/>
      <c r="DW721" s="1486"/>
      <c r="DX721" s="1486"/>
      <c r="DY721" s="1486"/>
      <c r="DZ721" s="1486">
        <f t="shared" si="26"/>
        <v>0</v>
      </c>
      <c r="EA721" s="1486"/>
      <c r="EB721" s="1486"/>
      <c r="EC721" s="1486"/>
      <c r="ED721" s="1486"/>
      <c r="EE721" s="1486">
        <f t="shared" si="27"/>
        <v>0</v>
      </c>
      <c r="EF721" s="1486"/>
      <c r="EG721" s="1486"/>
      <c r="EH721" s="1486"/>
      <c r="EI721" s="1486"/>
      <c r="EJ721" s="1486">
        <f t="shared" si="28"/>
        <v>0</v>
      </c>
      <c r="EK721" s="1486"/>
      <c r="EL721" s="1486"/>
      <c r="EM721" s="1486"/>
      <c r="EN721" s="1486"/>
      <c r="EO721" s="1486">
        <f t="shared" si="29"/>
        <v>0</v>
      </c>
      <c r="EP721" s="1486"/>
      <c r="EQ721" s="1486"/>
      <c r="ER721" s="1486"/>
      <c r="ES721" s="1486"/>
      <c r="ET721" s="1486">
        <f t="shared" si="30"/>
        <v>0</v>
      </c>
      <c r="EU721" s="1486"/>
      <c r="EV721" s="1486"/>
      <c r="EW721" s="1486"/>
      <c r="EX721" s="1486"/>
      <c r="EZ721" s="1512" t="str">
        <f t="shared" si="31"/>
        <v/>
      </c>
      <c r="FA721" s="1513"/>
      <c r="FB721" s="1513"/>
      <c r="FC721" s="1513"/>
      <c r="FD721" s="1514"/>
      <c r="FE721" s="1512" t="str">
        <f t="shared" si="32"/>
        <v/>
      </c>
      <c r="FF721" s="1513"/>
      <c r="FG721" s="1513"/>
      <c r="FH721" s="1513"/>
      <c r="FI721" s="1514"/>
      <c r="FJ721" s="1512">
        <f t="shared" si="33"/>
        <v>1234</v>
      </c>
      <c r="FK721" s="1513"/>
      <c r="FL721" s="1513"/>
      <c r="FM721" s="1513"/>
      <c r="FN721" s="1514"/>
      <c r="FO721" s="1512" t="str">
        <f t="shared" si="34"/>
        <v/>
      </c>
      <c r="FP721" s="1513"/>
      <c r="FQ721" s="1513"/>
      <c r="FR721" s="1513"/>
      <c r="FS721" s="1514"/>
      <c r="FT721" s="1512" t="str">
        <f t="shared" si="35"/>
        <v/>
      </c>
      <c r="FU721" s="1513"/>
      <c r="FV721" s="1513"/>
      <c r="FW721" s="1513"/>
      <c r="FX721" s="1514"/>
      <c r="FY721" s="1512" t="str">
        <f t="shared" si="36"/>
        <v/>
      </c>
      <c r="FZ721" s="1513"/>
      <c r="GA721" s="1513"/>
      <c r="GB721" s="1513"/>
      <c r="GC721" s="1514"/>
    </row>
    <row r="722" spans="1:185" ht="13.05" customHeight="1">
      <c r="B722" s="1383" t="s">
        <v>163</v>
      </c>
      <c r="C722" s="1384"/>
      <c r="D722" s="1384"/>
      <c r="E722" s="1384"/>
      <c r="F722" s="1385"/>
      <c r="G722" s="1366">
        <v>11</v>
      </c>
      <c r="H722" s="1367"/>
      <c r="I722" s="1367"/>
      <c r="J722" s="1368"/>
      <c r="K722" s="1363">
        <v>778</v>
      </c>
      <c r="L722" s="1364"/>
      <c r="M722" s="1364"/>
      <c r="N722" s="1365"/>
      <c r="O722" s="1392">
        <v>998</v>
      </c>
      <c r="P722" s="1393"/>
      <c r="Q722" s="1393"/>
      <c r="R722" s="1393"/>
      <c r="S722" s="1394"/>
      <c r="T722" s="1392">
        <v>179</v>
      </c>
      <c r="U722" s="1393"/>
      <c r="V722" s="1393"/>
      <c r="W722" s="1394"/>
      <c r="X722" s="1395">
        <f t="shared" si="9"/>
        <v>1177</v>
      </c>
      <c r="Y722" s="1396"/>
      <c r="Z722" s="1396"/>
      <c r="AA722" s="1396"/>
      <c r="AB722" s="1397"/>
      <c r="AC722" s="1452">
        <v>0.5</v>
      </c>
      <c r="AD722" s="1453"/>
      <c r="AE722" s="1453"/>
      <c r="AF722" s="1453"/>
      <c r="AG722" s="1454"/>
      <c r="AH722" s="1401">
        <f t="shared" si="37"/>
        <v>0.5</v>
      </c>
      <c r="AI722" s="1402"/>
      <c r="AJ722" s="1403"/>
      <c r="AK722" s="1383" t="s">
        <v>591</v>
      </c>
      <c r="AL722" s="1384"/>
      <c r="AM722" s="1384"/>
      <c r="AN722" s="1384"/>
      <c r="AO722" s="1385"/>
      <c r="AP722" s="3"/>
      <c r="AQ722" s="3"/>
      <c r="AR722" s="3"/>
      <c r="AS722" s="3"/>
      <c r="AY722" s="116"/>
      <c r="AZ722" s="118">
        <f t="shared" si="10"/>
        <v>2354</v>
      </c>
      <c r="BA722" s="3"/>
      <c r="BB722" s="3"/>
      <c r="BC722" s="3"/>
      <c r="BD722" s="3"/>
      <c r="BE722" s="204"/>
      <c r="BF722" s="294">
        <f t="shared" si="11"/>
        <v>11</v>
      </c>
      <c r="BG722" s="297">
        <f t="shared" si="12"/>
        <v>0.24444444444444444</v>
      </c>
      <c r="BH722" s="298">
        <f t="shared" si="13"/>
        <v>0.12222222222222222</v>
      </c>
      <c r="BI722" s="3"/>
      <c r="BJ722" s="3"/>
      <c r="BK722" s="3"/>
      <c r="BL722" s="3"/>
      <c r="BM722" s="3"/>
      <c r="BN722" s="3"/>
      <c r="BS722" s="294">
        <f t="shared" si="14"/>
        <v>11</v>
      </c>
      <c r="BT722" s="297">
        <f t="shared" si="15"/>
        <v>0.24444444444444444</v>
      </c>
      <c r="BU722" s="298">
        <f t="shared" si="16"/>
        <v>0.12222222222222222</v>
      </c>
      <c r="CC722" s="3"/>
      <c r="CD722" s="3"/>
      <c r="CE722" s="3"/>
      <c r="CF722" s="3"/>
      <c r="CG722" s="1512">
        <f t="shared" si="38"/>
        <v>1</v>
      </c>
      <c r="CH722" s="1514"/>
      <c r="CI722" s="1518">
        <f t="shared" si="39"/>
        <v>11</v>
      </c>
      <c r="CJ722" s="1520"/>
      <c r="CK722" s="1512">
        <f t="shared" si="17"/>
        <v>0</v>
      </c>
      <c r="CL722" s="1514"/>
      <c r="CM722" s="1518">
        <f t="shared" si="18"/>
        <v>0</v>
      </c>
      <c r="CN722" s="1520"/>
      <c r="CO722" s="3"/>
      <c r="CP722" s="1515">
        <f t="shared" si="19"/>
        <v>0</v>
      </c>
      <c r="CQ722" s="1516"/>
      <c r="CR722" s="1516"/>
      <c r="CS722" s="1516"/>
      <c r="CT722" s="1517"/>
      <c r="CU722" s="1485">
        <f t="shared" si="20"/>
        <v>0</v>
      </c>
      <c r="CV722" s="1485"/>
      <c r="CW722" s="1485"/>
      <c r="CX722" s="1485"/>
      <c r="CY722" s="1485"/>
      <c r="CZ722" s="1485">
        <f t="shared" si="21"/>
        <v>11</v>
      </c>
      <c r="DA722" s="1485"/>
      <c r="DB722" s="1485"/>
      <c r="DC722" s="1485"/>
      <c r="DD722" s="1485"/>
      <c r="DE722" s="1485">
        <f t="shared" si="22"/>
        <v>0</v>
      </c>
      <c r="DF722" s="1485"/>
      <c r="DG722" s="1485"/>
      <c r="DH722" s="1485"/>
      <c r="DI722" s="1485"/>
      <c r="DJ722" s="1485">
        <f t="shared" si="23"/>
        <v>0</v>
      </c>
      <c r="DK722" s="1485"/>
      <c r="DL722" s="1485"/>
      <c r="DM722" s="1485"/>
      <c r="DN722" s="1485"/>
      <c r="DO722" s="1485">
        <f t="shared" si="24"/>
        <v>0</v>
      </c>
      <c r="DP722" s="1485"/>
      <c r="DQ722" s="1485"/>
      <c r="DR722" s="1485"/>
      <c r="DS722" s="1485"/>
      <c r="DT722" s="6"/>
      <c r="DU722" s="1486">
        <f t="shared" si="25"/>
        <v>0</v>
      </c>
      <c r="DV722" s="1486"/>
      <c r="DW722" s="1486"/>
      <c r="DX722" s="1486"/>
      <c r="DY722" s="1486"/>
      <c r="DZ722" s="1486">
        <f t="shared" si="26"/>
        <v>0</v>
      </c>
      <c r="EA722" s="1486"/>
      <c r="EB722" s="1486"/>
      <c r="EC722" s="1486"/>
      <c r="ED722" s="1486"/>
      <c r="EE722" s="1486">
        <f t="shared" si="27"/>
        <v>0</v>
      </c>
      <c r="EF722" s="1486"/>
      <c r="EG722" s="1486"/>
      <c r="EH722" s="1486"/>
      <c r="EI722" s="1486"/>
      <c r="EJ722" s="1486">
        <f t="shared" si="28"/>
        <v>0</v>
      </c>
      <c r="EK722" s="1486"/>
      <c r="EL722" s="1486"/>
      <c r="EM722" s="1486"/>
      <c r="EN722" s="1486"/>
      <c r="EO722" s="1486">
        <f t="shared" si="29"/>
        <v>0</v>
      </c>
      <c r="EP722" s="1486"/>
      <c r="EQ722" s="1486"/>
      <c r="ER722" s="1486"/>
      <c r="ES722" s="1486"/>
      <c r="ET722" s="1486">
        <f t="shared" si="30"/>
        <v>0</v>
      </c>
      <c r="EU722" s="1486"/>
      <c r="EV722" s="1486"/>
      <c r="EW722" s="1486"/>
      <c r="EX722" s="1486"/>
      <c r="EZ722" s="1512" t="str">
        <f t="shared" si="31"/>
        <v/>
      </c>
      <c r="FA722" s="1513"/>
      <c r="FB722" s="1513"/>
      <c r="FC722" s="1513"/>
      <c r="FD722" s="1514"/>
      <c r="FE722" s="1512" t="str">
        <f t="shared" si="32"/>
        <v/>
      </c>
      <c r="FF722" s="1513"/>
      <c r="FG722" s="1513"/>
      <c r="FH722" s="1513"/>
      <c r="FI722" s="1514"/>
      <c r="FJ722" s="1512">
        <f t="shared" si="33"/>
        <v>998</v>
      </c>
      <c r="FK722" s="1513"/>
      <c r="FL722" s="1513"/>
      <c r="FM722" s="1513"/>
      <c r="FN722" s="1514"/>
      <c r="FO722" s="1512" t="str">
        <f t="shared" si="34"/>
        <v/>
      </c>
      <c r="FP722" s="1513"/>
      <c r="FQ722" s="1513"/>
      <c r="FR722" s="1513"/>
      <c r="FS722" s="1514"/>
      <c r="FT722" s="1512" t="str">
        <f t="shared" si="35"/>
        <v/>
      </c>
      <c r="FU722" s="1513"/>
      <c r="FV722" s="1513"/>
      <c r="FW722" s="1513"/>
      <c r="FX722" s="1514"/>
      <c r="FY722" s="1512" t="str">
        <f t="shared" si="36"/>
        <v/>
      </c>
      <c r="FZ722" s="1513"/>
      <c r="GA722" s="1513"/>
      <c r="GB722" s="1513"/>
      <c r="GC722" s="1514"/>
    </row>
    <row r="723" spans="1:185" ht="13.05" customHeight="1">
      <c r="B723" s="1383" t="s">
        <v>163</v>
      </c>
      <c r="C723" s="1384"/>
      <c r="D723" s="1384"/>
      <c r="E723" s="1384"/>
      <c r="F723" s="1385"/>
      <c r="G723" s="1366">
        <v>2</v>
      </c>
      <c r="H723" s="1367"/>
      <c r="I723" s="1367"/>
      <c r="J723" s="1368"/>
      <c r="K723" s="1363">
        <v>778</v>
      </c>
      <c r="L723" s="1364"/>
      <c r="M723" s="1364"/>
      <c r="N723" s="1365"/>
      <c r="O723" s="1392">
        <v>527</v>
      </c>
      <c r="P723" s="1393"/>
      <c r="Q723" s="1393"/>
      <c r="R723" s="1393"/>
      <c r="S723" s="1394"/>
      <c r="T723" s="1392">
        <v>179</v>
      </c>
      <c r="U723" s="1393"/>
      <c r="V723" s="1393"/>
      <c r="W723" s="1394"/>
      <c r="X723" s="1395">
        <f t="shared" si="9"/>
        <v>706</v>
      </c>
      <c r="Y723" s="1396"/>
      <c r="Z723" s="1396"/>
      <c r="AA723" s="1396"/>
      <c r="AB723" s="1397"/>
      <c r="AC723" s="1452">
        <v>0.3</v>
      </c>
      <c r="AD723" s="1453"/>
      <c r="AE723" s="1453"/>
      <c r="AF723" s="1453"/>
      <c r="AG723" s="1454"/>
      <c r="AH723" s="1401">
        <f t="shared" si="37"/>
        <v>0.29991503823279525</v>
      </c>
      <c r="AI723" s="1402"/>
      <c r="AJ723" s="1403"/>
      <c r="AK723" s="1383" t="s">
        <v>591</v>
      </c>
      <c r="AL723" s="1384"/>
      <c r="AM723" s="1384"/>
      <c r="AN723" s="1384"/>
      <c r="AO723" s="1385"/>
      <c r="AP723" s="3"/>
      <c r="AQ723" s="3"/>
      <c r="AR723" s="3"/>
      <c r="AS723" s="3"/>
      <c r="AY723" s="116"/>
      <c r="AZ723" s="118">
        <f t="shared" si="10"/>
        <v>2354</v>
      </c>
      <c r="BA723" s="3"/>
      <c r="BB723" s="3"/>
      <c r="BC723" s="3"/>
      <c r="BD723" s="3"/>
      <c r="BE723" s="204"/>
      <c r="BF723" s="294">
        <f t="shared" si="11"/>
        <v>2</v>
      </c>
      <c r="BG723" s="297">
        <f t="shared" si="12"/>
        <v>4.4444444444444446E-2</v>
      </c>
      <c r="BH723" s="298">
        <f t="shared" si="13"/>
        <v>1.3333333333333334E-2</v>
      </c>
      <c r="BI723" s="3"/>
      <c r="BJ723" s="3"/>
      <c r="BK723" s="3"/>
      <c r="BL723" s="3"/>
      <c r="BM723" s="3"/>
      <c r="BN723" s="3"/>
      <c r="BS723" s="294">
        <f t="shared" si="14"/>
        <v>2</v>
      </c>
      <c r="BT723" s="297">
        <f t="shared" si="15"/>
        <v>4.4444444444444446E-2</v>
      </c>
      <c r="BU723" s="298">
        <f t="shared" si="16"/>
        <v>1.3329557254790901E-2</v>
      </c>
      <c r="CC723" s="3"/>
      <c r="CD723" s="3"/>
      <c r="CE723" s="3"/>
      <c r="CF723" s="3"/>
      <c r="CG723" s="1512">
        <f t="shared" si="38"/>
        <v>0</v>
      </c>
      <c r="CH723" s="1514"/>
      <c r="CI723" s="1518">
        <f t="shared" si="39"/>
        <v>0</v>
      </c>
      <c r="CJ723" s="1520"/>
      <c r="CK723" s="1512">
        <f t="shared" si="17"/>
        <v>1</v>
      </c>
      <c r="CL723" s="1514"/>
      <c r="CM723" s="1518">
        <f t="shared" si="18"/>
        <v>2</v>
      </c>
      <c r="CN723" s="1520"/>
      <c r="CO723" s="3"/>
      <c r="CP723" s="1515">
        <f t="shared" si="19"/>
        <v>0</v>
      </c>
      <c r="CQ723" s="1516"/>
      <c r="CR723" s="1516"/>
      <c r="CS723" s="1516"/>
      <c r="CT723" s="1517"/>
      <c r="CU723" s="1485">
        <f t="shared" si="20"/>
        <v>0</v>
      </c>
      <c r="CV723" s="1485"/>
      <c r="CW723" s="1485"/>
      <c r="CX723" s="1485"/>
      <c r="CY723" s="1485"/>
      <c r="CZ723" s="1485">
        <f t="shared" si="21"/>
        <v>2</v>
      </c>
      <c r="DA723" s="1485"/>
      <c r="DB723" s="1485"/>
      <c r="DC723" s="1485"/>
      <c r="DD723" s="1485"/>
      <c r="DE723" s="1485">
        <f t="shared" si="22"/>
        <v>0</v>
      </c>
      <c r="DF723" s="1485"/>
      <c r="DG723" s="1485"/>
      <c r="DH723" s="1485"/>
      <c r="DI723" s="1485"/>
      <c r="DJ723" s="1485">
        <f t="shared" si="23"/>
        <v>0</v>
      </c>
      <c r="DK723" s="1485"/>
      <c r="DL723" s="1485"/>
      <c r="DM723" s="1485"/>
      <c r="DN723" s="1485"/>
      <c r="DO723" s="1485">
        <f t="shared" si="24"/>
        <v>0</v>
      </c>
      <c r="DP723" s="1485"/>
      <c r="DQ723" s="1485"/>
      <c r="DR723" s="1485"/>
      <c r="DS723" s="1485"/>
      <c r="DT723" s="6"/>
      <c r="DU723" s="1486">
        <f t="shared" si="25"/>
        <v>0</v>
      </c>
      <c r="DV723" s="1486"/>
      <c r="DW723" s="1486"/>
      <c r="DX723" s="1486"/>
      <c r="DY723" s="1486"/>
      <c r="DZ723" s="1486">
        <f t="shared" si="26"/>
        <v>0</v>
      </c>
      <c r="EA723" s="1486"/>
      <c r="EB723" s="1486"/>
      <c r="EC723" s="1486"/>
      <c r="ED723" s="1486"/>
      <c r="EE723" s="1486">
        <f t="shared" si="27"/>
        <v>2</v>
      </c>
      <c r="EF723" s="1486"/>
      <c r="EG723" s="1486"/>
      <c r="EH723" s="1486"/>
      <c r="EI723" s="1486"/>
      <c r="EJ723" s="1486">
        <f t="shared" si="28"/>
        <v>0</v>
      </c>
      <c r="EK723" s="1486"/>
      <c r="EL723" s="1486"/>
      <c r="EM723" s="1486"/>
      <c r="EN723" s="1486"/>
      <c r="EO723" s="1486">
        <f t="shared" si="29"/>
        <v>0</v>
      </c>
      <c r="EP723" s="1486"/>
      <c r="EQ723" s="1486"/>
      <c r="ER723" s="1486"/>
      <c r="ES723" s="1486"/>
      <c r="ET723" s="1486">
        <f t="shared" si="30"/>
        <v>0</v>
      </c>
      <c r="EU723" s="1486"/>
      <c r="EV723" s="1486"/>
      <c r="EW723" s="1486"/>
      <c r="EX723" s="1486"/>
      <c r="EZ723" s="1512" t="str">
        <f t="shared" si="31"/>
        <v/>
      </c>
      <c r="FA723" s="1513"/>
      <c r="FB723" s="1513"/>
      <c r="FC723" s="1513"/>
      <c r="FD723" s="1514"/>
      <c r="FE723" s="1512" t="str">
        <f t="shared" si="32"/>
        <v/>
      </c>
      <c r="FF723" s="1513"/>
      <c r="FG723" s="1513"/>
      <c r="FH723" s="1513"/>
      <c r="FI723" s="1514"/>
      <c r="FJ723" s="1512">
        <f t="shared" si="33"/>
        <v>527</v>
      </c>
      <c r="FK723" s="1513"/>
      <c r="FL723" s="1513"/>
      <c r="FM723" s="1513"/>
      <c r="FN723" s="1514"/>
      <c r="FO723" s="1512" t="str">
        <f t="shared" si="34"/>
        <v/>
      </c>
      <c r="FP723" s="1513"/>
      <c r="FQ723" s="1513"/>
      <c r="FR723" s="1513"/>
      <c r="FS723" s="1514"/>
      <c r="FT723" s="1512" t="str">
        <f t="shared" si="35"/>
        <v/>
      </c>
      <c r="FU723" s="1513"/>
      <c r="FV723" s="1513"/>
      <c r="FW723" s="1513"/>
      <c r="FX723" s="1514"/>
      <c r="FY723" s="1512" t="str">
        <f t="shared" si="36"/>
        <v/>
      </c>
      <c r="FZ723" s="1513"/>
      <c r="GA723" s="1513"/>
      <c r="GB723" s="1513"/>
      <c r="GC723" s="1514"/>
    </row>
    <row r="724" spans="1:185" ht="13.05" customHeight="1">
      <c r="B724" s="1383" t="s">
        <v>164</v>
      </c>
      <c r="C724" s="1384"/>
      <c r="D724" s="1384"/>
      <c r="E724" s="1384"/>
      <c r="F724" s="1385"/>
      <c r="G724" s="1366">
        <v>3</v>
      </c>
      <c r="H724" s="1367"/>
      <c r="I724" s="1367"/>
      <c r="J724" s="1368"/>
      <c r="K724" s="1363">
        <v>985</v>
      </c>
      <c r="L724" s="1364"/>
      <c r="M724" s="1364"/>
      <c r="N724" s="1365"/>
      <c r="O724" s="1392">
        <v>1406</v>
      </c>
      <c r="P724" s="1393"/>
      <c r="Q724" s="1393"/>
      <c r="R724" s="1393"/>
      <c r="S724" s="1394"/>
      <c r="T724" s="1392">
        <v>226</v>
      </c>
      <c r="U724" s="1393"/>
      <c r="V724" s="1393"/>
      <c r="W724" s="1394"/>
      <c r="X724" s="1395">
        <f t="shared" si="9"/>
        <v>1632</v>
      </c>
      <c r="Y724" s="1396"/>
      <c r="Z724" s="1396"/>
      <c r="AA724" s="1396"/>
      <c r="AB724" s="1397"/>
      <c r="AC724" s="1452">
        <v>0.6</v>
      </c>
      <c r="AD724" s="1453"/>
      <c r="AE724" s="1453"/>
      <c r="AF724" s="1453"/>
      <c r="AG724" s="1454"/>
      <c r="AH724" s="1401">
        <f t="shared" si="37"/>
        <v>0.6</v>
      </c>
      <c r="AI724" s="1402"/>
      <c r="AJ724" s="1403"/>
      <c r="AK724" s="1383" t="s">
        <v>591</v>
      </c>
      <c r="AL724" s="1384"/>
      <c r="AM724" s="1384"/>
      <c r="AN724" s="1384"/>
      <c r="AO724" s="1385"/>
      <c r="AP724" s="3"/>
      <c r="AQ724" s="3"/>
      <c r="AR724" s="3"/>
      <c r="AS724" s="3"/>
      <c r="AY724" s="116"/>
      <c r="AZ724" s="118">
        <f t="shared" si="10"/>
        <v>2720</v>
      </c>
      <c r="BA724" s="3"/>
      <c r="BB724" s="3"/>
      <c r="BC724" s="3"/>
      <c r="BD724" s="3"/>
      <c r="BE724" s="204"/>
      <c r="BF724" s="294">
        <f t="shared" si="11"/>
        <v>3</v>
      </c>
      <c r="BG724" s="297">
        <f t="shared" si="12"/>
        <v>6.6666666666666666E-2</v>
      </c>
      <c r="BH724" s="298">
        <f t="shared" si="13"/>
        <v>0.04</v>
      </c>
      <c r="BI724" s="3"/>
      <c r="BJ724" s="3"/>
      <c r="BK724" s="3"/>
      <c r="BL724" s="3"/>
      <c r="BM724" s="3"/>
      <c r="BN724" s="3"/>
      <c r="BS724" s="294">
        <f t="shared" si="14"/>
        <v>3</v>
      </c>
      <c r="BT724" s="297">
        <f t="shared" si="15"/>
        <v>6.6666666666666666E-2</v>
      </c>
      <c r="BU724" s="298">
        <f t="shared" si="16"/>
        <v>0.04</v>
      </c>
      <c r="CC724" s="3"/>
      <c r="CE724" s="3"/>
      <c r="CF724" s="3"/>
      <c r="CG724" s="1512">
        <f t="shared" si="38"/>
        <v>0</v>
      </c>
      <c r="CH724" s="1514"/>
      <c r="CI724" s="1518">
        <f t="shared" si="39"/>
        <v>0</v>
      </c>
      <c r="CJ724" s="1520"/>
      <c r="CK724" s="1512">
        <f t="shared" si="17"/>
        <v>0</v>
      </c>
      <c r="CL724" s="1514"/>
      <c r="CM724" s="1518">
        <f t="shared" si="18"/>
        <v>0</v>
      </c>
      <c r="CN724" s="1520"/>
      <c r="CO724" s="3"/>
      <c r="CP724" s="1515">
        <f t="shared" si="19"/>
        <v>0</v>
      </c>
      <c r="CQ724" s="1516"/>
      <c r="CR724" s="1516"/>
      <c r="CS724" s="1516"/>
      <c r="CT724" s="1517"/>
      <c r="CU724" s="1485">
        <f t="shared" si="20"/>
        <v>0</v>
      </c>
      <c r="CV724" s="1485"/>
      <c r="CW724" s="1485"/>
      <c r="CX724" s="1485"/>
      <c r="CY724" s="1485"/>
      <c r="CZ724" s="1485">
        <f t="shared" si="21"/>
        <v>0</v>
      </c>
      <c r="DA724" s="1485"/>
      <c r="DB724" s="1485"/>
      <c r="DC724" s="1485"/>
      <c r="DD724" s="1485"/>
      <c r="DE724" s="1485">
        <f t="shared" si="22"/>
        <v>3</v>
      </c>
      <c r="DF724" s="1485"/>
      <c r="DG724" s="1485"/>
      <c r="DH724" s="1485"/>
      <c r="DI724" s="1485"/>
      <c r="DJ724" s="1485">
        <f t="shared" si="23"/>
        <v>0</v>
      </c>
      <c r="DK724" s="1485"/>
      <c r="DL724" s="1485"/>
      <c r="DM724" s="1485"/>
      <c r="DN724" s="1485"/>
      <c r="DO724" s="1485">
        <f t="shared" si="24"/>
        <v>0</v>
      </c>
      <c r="DP724" s="1485"/>
      <c r="DQ724" s="1485"/>
      <c r="DR724" s="1485"/>
      <c r="DS724" s="1485"/>
      <c r="DT724" s="6"/>
      <c r="DU724" s="1486">
        <f t="shared" si="25"/>
        <v>0</v>
      </c>
      <c r="DV724" s="1486"/>
      <c r="DW724" s="1486"/>
      <c r="DX724" s="1486"/>
      <c r="DY724" s="1486"/>
      <c r="DZ724" s="1486">
        <f t="shared" si="26"/>
        <v>0</v>
      </c>
      <c r="EA724" s="1486"/>
      <c r="EB724" s="1486"/>
      <c r="EC724" s="1486"/>
      <c r="ED724" s="1486"/>
      <c r="EE724" s="1486">
        <f t="shared" si="27"/>
        <v>0</v>
      </c>
      <c r="EF724" s="1486"/>
      <c r="EG724" s="1486"/>
      <c r="EH724" s="1486"/>
      <c r="EI724" s="1486"/>
      <c r="EJ724" s="1486">
        <f t="shared" si="28"/>
        <v>0</v>
      </c>
      <c r="EK724" s="1486"/>
      <c r="EL724" s="1486"/>
      <c r="EM724" s="1486"/>
      <c r="EN724" s="1486"/>
      <c r="EO724" s="1486">
        <f t="shared" si="29"/>
        <v>0</v>
      </c>
      <c r="EP724" s="1486"/>
      <c r="EQ724" s="1486"/>
      <c r="ER724" s="1486"/>
      <c r="ES724" s="1486"/>
      <c r="ET724" s="1486">
        <f t="shared" si="30"/>
        <v>0</v>
      </c>
      <c r="EU724" s="1486"/>
      <c r="EV724" s="1486"/>
      <c r="EW724" s="1486"/>
      <c r="EX724" s="1486"/>
      <c r="EZ724" s="1512" t="str">
        <f t="shared" si="31"/>
        <v/>
      </c>
      <c r="FA724" s="1513"/>
      <c r="FB724" s="1513"/>
      <c r="FC724" s="1513"/>
      <c r="FD724" s="1514"/>
      <c r="FE724" s="1512" t="str">
        <f t="shared" si="32"/>
        <v/>
      </c>
      <c r="FF724" s="1513"/>
      <c r="FG724" s="1513"/>
      <c r="FH724" s="1513"/>
      <c r="FI724" s="1514"/>
      <c r="FJ724" s="1512" t="str">
        <f t="shared" si="33"/>
        <v/>
      </c>
      <c r="FK724" s="1513"/>
      <c r="FL724" s="1513"/>
      <c r="FM724" s="1513"/>
      <c r="FN724" s="1514"/>
      <c r="FO724" s="1512">
        <f t="shared" si="34"/>
        <v>1406</v>
      </c>
      <c r="FP724" s="1513"/>
      <c r="FQ724" s="1513"/>
      <c r="FR724" s="1513"/>
      <c r="FS724" s="1514"/>
      <c r="FT724" s="1512" t="str">
        <f t="shared" si="35"/>
        <v/>
      </c>
      <c r="FU724" s="1513"/>
      <c r="FV724" s="1513"/>
      <c r="FW724" s="1513"/>
      <c r="FX724" s="1514"/>
      <c r="FY724" s="1512" t="str">
        <f t="shared" si="36"/>
        <v/>
      </c>
      <c r="FZ724" s="1513"/>
      <c r="GA724" s="1513"/>
      <c r="GB724" s="1513"/>
      <c r="GC724" s="1514"/>
    </row>
    <row r="725" spans="1:185" ht="13.05" customHeight="1">
      <c r="B725" s="1383" t="s">
        <v>164</v>
      </c>
      <c r="C725" s="1384"/>
      <c r="D725" s="1384"/>
      <c r="E725" s="1384"/>
      <c r="F725" s="1385"/>
      <c r="G725" s="1366">
        <v>10</v>
      </c>
      <c r="H725" s="1367"/>
      <c r="I725" s="1367"/>
      <c r="J725" s="1368"/>
      <c r="K725" s="1363">
        <v>985</v>
      </c>
      <c r="L725" s="1364"/>
      <c r="M725" s="1364"/>
      <c r="N725" s="1365"/>
      <c r="O725" s="1392">
        <v>1134</v>
      </c>
      <c r="P725" s="1393"/>
      <c r="Q725" s="1393"/>
      <c r="R725" s="1393"/>
      <c r="S725" s="1394"/>
      <c r="T725" s="1392">
        <v>226</v>
      </c>
      <c r="U725" s="1393"/>
      <c r="V725" s="1393"/>
      <c r="W725" s="1394"/>
      <c r="X725" s="1395">
        <f t="shared" si="9"/>
        <v>1360</v>
      </c>
      <c r="Y725" s="1396"/>
      <c r="Z725" s="1396"/>
      <c r="AA725" s="1396"/>
      <c r="AB725" s="1397"/>
      <c r="AC725" s="1452">
        <v>0.5</v>
      </c>
      <c r="AD725" s="1453"/>
      <c r="AE725" s="1453"/>
      <c r="AF725" s="1453"/>
      <c r="AG725" s="1454"/>
      <c r="AH725" s="1401">
        <f t="shared" si="37"/>
        <v>0.5</v>
      </c>
      <c r="AI725" s="1402"/>
      <c r="AJ725" s="1403"/>
      <c r="AK725" s="1383" t="s">
        <v>591</v>
      </c>
      <c r="AL725" s="1384"/>
      <c r="AM725" s="1384"/>
      <c r="AN725" s="1384"/>
      <c r="AO725" s="1385"/>
      <c r="AP725" s="3"/>
      <c r="AQ725" s="3"/>
      <c r="AR725" s="3"/>
      <c r="AS725" s="3"/>
      <c r="AY725" s="1085"/>
      <c r="AZ725" s="118">
        <f t="shared" si="10"/>
        <v>2720</v>
      </c>
      <c r="BA725" s="3"/>
      <c r="BB725" s="3"/>
      <c r="BC725" s="3"/>
      <c r="BD725" s="3"/>
      <c r="BE725" s="204"/>
      <c r="BF725" s="294">
        <f t="shared" si="11"/>
        <v>10</v>
      </c>
      <c r="BG725" s="297">
        <f t="shared" si="12"/>
        <v>0.22222222222222221</v>
      </c>
      <c r="BH725" s="298">
        <f t="shared" si="13"/>
        <v>0.1111111111111111</v>
      </c>
      <c r="BI725" s="3"/>
      <c r="BJ725" s="3"/>
      <c r="BK725" s="3"/>
      <c r="BL725" s="3"/>
      <c r="BM725" s="3"/>
      <c r="BN725" s="3"/>
      <c r="BS725" s="294">
        <f t="shared" si="14"/>
        <v>10</v>
      </c>
      <c r="BT725" s="297">
        <f t="shared" si="15"/>
        <v>0.22222222222222221</v>
      </c>
      <c r="BU725" s="298">
        <f t="shared" si="16"/>
        <v>0.1111111111111111</v>
      </c>
      <c r="BV725" s="292"/>
      <c r="BW725" s="3"/>
      <c r="BX725" s="3"/>
      <c r="BY725" s="3"/>
      <c r="BZ725" s="3"/>
      <c r="CA725" s="3"/>
      <c r="CB725" s="3"/>
      <c r="CC725" s="3"/>
      <c r="CE725" s="3"/>
      <c r="CF725" s="3"/>
      <c r="CG725" s="1512">
        <f t="shared" si="38"/>
        <v>1</v>
      </c>
      <c r="CH725" s="1514"/>
      <c r="CI725" s="1518">
        <f t="shared" si="39"/>
        <v>10</v>
      </c>
      <c r="CJ725" s="1520"/>
      <c r="CK725" s="1512">
        <f t="shared" si="17"/>
        <v>0</v>
      </c>
      <c r="CL725" s="1514"/>
      <c r="CM725" s="1518">
        <f t="shared" si="18"/>
        <v>0</v>
      </c>
      <c r="CN725" s="1520"/>
      <c r="CO725" s="3"/>
      <c r="CP725" s="1515">
        <f t="shared" si="19"/>
        <v>0</v>
      </c>
      <c r="CQ725" s="1516"/>
      <c r="CR725" s="1516"/>
      <c r="CS725" s="1516"/>
      <c r="CT725" s="1517"/>
      <c r="CU725" s="1485">
        <f t="shared" si="20"/>
        <v>0</v>
      </c>
      <c r="CV725" s="1485"/>
      <c r="CW725" s="1485"/>
      <c r="CX725" s="1485"/>
      <c r="CY725" s="1485"/>
      <c r="CZ725" s="1485">
        <f t="shared" si="21"/>
        <v>0</v>
      </c>
      <c r="DA725" s="1485"/>
      <c r="DB725" s="1485"/>
      <c r="DC725" s="1485"/>
      <c r="DD725" s="1485"/>
      <c r="DE725" s="1485">
        <f t="shared" si="22"/>
        <v>10</v>
      </c>
      <c r="DF725" s="1485"/>
      <c r="DG725" s="1485"/>
      <c r="DH725" s="1485"/>
      <c r="DI725" s="1485"/>
      <c r="DJ725" s="1485">
        <f t="shared" si="23"/>
        <v>0</v>
      </c>
      <c r="DK725" s="1485"/>
      <c r="DL725" s="1485"/>
      <c r="DM725" s="1485"/>
      <c r="DN725" s="1485"/>
      <c r="DO725" s="1485">
        <f t="shared" si="24"/>
        <v>0</v>
      </c>
      <c r="DP725" s="1485"/>
      <c r="DQ725" s="1485"/>
      <c r="DR725" s="1485"/>
      <c r="DS725" s="1485"/>
      <c r="DT725" s="6"/>
      <c r="DU725" s="1486">
        <f t="shared" si="25"/>
        <v>0</v>
      </c>
      <c r="DV725" s="1486"/>
      <c r="DW725" s="1486"/>
      <c r="DX725" s="1486"/>
      <c r="DY725" s="1486"/>
      <c r="DZ725" s="1486">
        <f t="shared" si="26"/>
        <v>0</v>
      </c>
      <c r="EA725" s="1486"/>
      <c r="EB725" s="1486"/>
      <c r="EC725" s="1486"/>
      <c r="ED725" s="1486"/>
      <c r="EE725" s="1486">
        <f t="shared" si="27"/>
        <v>0</v>
      </c>
      <c r="EF725" s="1486"/>
      <c r="EG725" s="1486"/>
      <c r="EH725" s="1486"/>
      <c r="EI725" s="1486"/>
      <c r="EJ725" s="1486">
        <f t="shared" si="28"/>
        <v>0</v>
      </c>
      <c r="EK725" s="1486"/>
      <c r="EL725" s="1486"/>
      <c r="EM725" s="1486"/>
      <c r="EN725" s="1486"/>
      <c r="EO725" s="1486">
        <f t="shared" si="29"/>
        <v>0</v>
      </c>
      <c r="EP725" s="1486"/>
      <c r="EQ725" s="1486"/>
      <c r="ER725" s="1486"/>
      <c r="ES725" s="1486"/>
      <c r="ET725" s="1486">
        <f t="shared" si="30"/>
        <v>0</v>
      </c>
      <c r="EU725" s="1486"/>
      <c r="EV725" s="1486"/>
      <c r="EW725" s="1486"/>
      <c r="EX725" s="1486"/>
      <c r="EZ725" s="1512" t="str">
        <f t="shared" si="31"/>
        <v/>
      </c>
      <c r="FA725" s="1513"/>
      <c r="FB725" s="1513"/>
      <c r="FC725" s="1513"/>
      <c r="FD725" s="1514"/>
      <c r="FE725" s="1512" t="str">
        <f t="shared" si="32"/>
        <v/>
      </c>
      <c r="FF725" s="1513"/>
      <c r="FG725" s="1513"/>
      <c r="FH725" s="1513"/>
      <c r="FI725" s="1514"/>
      <c r="FJ725" s="1512" t="str">
        <f t="shared" si="33"/>
        <v/>
      </c>
      <c r="FK725" s="1513"/>
      <c r="FL725" s="1513"/>
      <c r="FM725" s="1513"/>
      <c r="FN725" s="1514"/>
      <c r="FO725" s="1512">
        <f t="shared" si="34"/>
        <v>1134</v>
      </c>
      <c r="FP725" s="1513"/>
      <c r="FQ725" s="1513"/>
      <c r="FR725" s="1513"/>
      <c r="FS725" s="1514"/>
      <c r="FT725" s="1512" t="str">
        <f t="shared" si="35"/>
        <v/>
      </c>
      <c r="FU725" s="1513"/>
      <c r="FV725" s="1513"/>
      <c r="FW725" s="1513"/>
      <c r="FX725" s="1514"/>
      <c r="FY725" s="1512" t="str">
        <f t="shared" si="36"/>
        <v/>
      </c>
      <c r="FZ725" s="1513"/>
      <c r="GA725" s="1513"/>
      <c r="GB725" s="1513"/>
      <c r="GC725" s="1514"/>
    </row>
    <row r="726" spans="1:185" ht="13.05" customHeight="1">
      <c r="B726" s="1383" t="s">
        <v>164</v>
      </c>
      <c r="C726" s="1384"/>
      <c r="D726" s="1384"/>
      <c r="E726" s="1384"/>
      <c r="F726" s="1385"/>
      <c r="G726" s="1366">
        <v>2</v>
      </c>
      <c r="H726" s="1367"/>
      <c r="I726" s="1367"/>
      <c r="J726" s="1368"/>
      <c r="K726" s="1363">
        <v>985</v>
      </c>
      <c r="L726" s="1364"/>
      <c r="M726" s="1364"/>
      <c r="N726" s="1365"/>
      <c r="O726" s="1392">
        <v>590</v>
      </c>
      <c r="P726" s="1393"/>
      <c r="Q726" s="1393"/>
      <c r="R726" s="1393"/>
      <c r="S726" s="1394"/>
      <c r="T726" s="1392">
        <v>226</v>
      </c>
      <c r="U726" s="1393"/>
      <c r="V726" s="1393"/>
      <c r="W726" s="1394"/>
      <c r="X726" s="1395">
        <f t="shared" si="9"/>
        <v>816</v>
      </c>
      <c r="Y726" s="1396"/>
      <c r="Z726" s="1396"/>
      <c r="AA726" s="1396"/>
      <c r="AB726" s="1397"/>
      <c r="AC726" s="1452">
        <v>0.3</v>
      </c>
      <c r="AD726" s="1453"/>
      <c r="AE726" s="1453"/>
      <c r="AF726" s="1453"/>
      <c r="AG726" s="1454"/>
      <c r="AH726" s="1401">
        <f t="shared" si="37"/>
        <v>0.3</v>
      </c>
      <c r="AI726" s="1402"/>
      <c r="AJ726" s="1403"/>
      <c r="AK726" s="1383" t="s">
        <v>591</v>
      </c>
      <c r="AL726" s="1384"/>
      <c r="AM726" s="1384"/>
      <c r="AN726" s="1384"/>
      <c r="AO726" s="1385"/>
      <c r="AP726" s="3"/>
      <c r="AQ726" s="3"/>
      <c r="AR726" s="3"/>
      <c r="AS726" s="3"/>
      <c r="AY726" s="1085"/>
      <c r="AZ726" s="118">
        <f t="shared" si="10"/>
        <v>2720</v>
      </c>
      <c r="BA726" s="3"/>
      <c r="BB726" s="3"/>
      <c r="BC726" s="3"/>
      <c r="BD726" s="3"/>
      <c r="BE726" s="204"/>
      <c r="BF726" s="294">
        <f t="shared" si="11"/>
        <v>2</v>
      </c>
      <c r="BG726" s="297">
        <f t="shared" si="12"/>
        <v>4.4444444444444446E-2</v>
      </c>
      <c r="BH726" s="298">
        <f t="shared" si="13"/>
        <v>1.3333333333333334E-2</v>
      </c>
      <c r="BI726" s="3"/>
      <c r="BJ726" s="3"/>
      <c r="BK726" s="3"/>
      <c r="BL726" s="3"/>
      <c r="BM726" s="3"/>
      <c r="BN726" s="3"/>
      <c r="BS726" s="294">
        <f t="shared" si="14"/>
        <v>2</v>
      </c>
      <c r="BT726" s="297">
        <f t="shared" si="15"/>
        <v>4.4444444444444446E-2</v>
      </c>
      <c r="BU726" s="298">
        <f t="shared" si="16"/>
        <v>1.3333333333333334E-2</v>
      </c>
      <c r="BV726" s="3"/>
      <c r="BW726" s="3"/>
      <c r="BX726" s="3"/>
      <c r="BY726" s="3"/>
      <c r="BZ726" s="3"/>
      <c r="CA726" s="3"/>
      <c r="CB726" s="3"/>
      <c r="CC726" s="3"/>
      <c r="CE726" s="3"/>
      <c r="CF726" s="3"/>
      <c r="CG726" s="1512">
        <f t="shared" si="38"/>
        <v>0</v>
      </c>
      <c r="CH726" s="1514"/>
      <c r="CI726" s="1518">
        <f t="shared" si="39"/>
        <v>0</v>
      </c>
      <c r="CJ726" s="1520"/>
      <c r="CK726" s="1512">
        <f t="shared" si="17"/>
        <v>1</v>
      </c>
      <c r="CL726" s="1514"/>
      <c r="CM726" s="1518">
        <f t="shared" si="18"/>
        <v>2</v>
      </c>
      <c r="CN726" s="1520"/>
      <c r="CO726" s="3"/>
      <c r="CP726" s="1515">
        <f t="shared" si="19"/>
        <v>0</v>
      </c>
      <c r="CQ726" s="1516"/>
      <c r="CR726" s="1516"/>
      <c r="CS726" s="1516"/>
      <c r="CT726" s="1517"/>
      <c r="CU726" s="1485">
        <f t="shared" si="20"/>
        <v>0</v>
      </c>
      <c r="CV726" s="1485"/>
      <c r="CW726" s="1485"/>
      <c r="CX726" s="1485"/>
      <c r="CY726" s="1485"/>
      <c r="CZ726" s="1485">
        <f t="shared" si="21"/>
        <v>0</v>
      </c>
      <c r="DA726" s="1485"/>
      <c r="DB726" s="1485"/>
      <c r="DC726" s="1485"/>
      <c r="DD726" s="1485"/>
      <c r="DE726" s="1485">
        <f t="shared" si="22"/>
        <v>2</v>
      </c>
      <c r="DF726" s="1485"/>
      <c r="DG726" s="1485"/>
      <c r="DH726" s="1485"/>
      <c r="DI726" s="1485"/>
      <c r="DJ726" s="1485">
        <f t="shared" si="23"/>
        <v>0</v>
      </c>
      <c r="DK726" s="1485"/>
      <c r="DL726" s="1485"/>
      <c r="DM726" s="1485"/>
      <c r="DN726" s="1485"/>
      <c r="DO726" s="1485">
        <f t="shared" si="24"/>
        <v>0</v>
      </c>
      <c r="DP726" s="1485"/>
      <c r="DQ726" s="1485"/>
      <c r="DR726" s="1485"/>
      <c r="DS726" s="1485"/>
      <c r="DT726" s="6"/>
      <c r="DU726" s="1486">
        <f t="shared" si="25"/>
        <v>0</v>
      </c>
      <c r="DV726" s="1486"/>
      <c r="DW726" s="1486"/>
      <c r="DX726" s="1486"/>
      <c r="DY726" s="1486"/>
      <c r="DZ726" s="1486">
        <f t="shared" si="26"/>
        <v>0</v>
      </c>
      <c r="EA726" s="1486"/>
      <c r="EB726" s="1486"/>
      <c r="EC726" s="1486"/>
      <c r="ED726" s="1486"/>
      <c r="EE726" s="1486">
        <f t="shared" si="27"/>
        <v>0</v>
      </c>
      <c r="EF726" s="1486"/>
      <c r="EG726" s="1486"/>
      <c r="EH726" s="1486"/>
      <c r="EI726" s="1486"/>
      <c r="EJ726" s="1486">
        <f t="shared" si="28"/>
        <v>2</v>
      </c>
      <c r="EK726" s="1486"/>
      <c r="EL726" s="1486"/>
      <c r="EM726" s="1486"/>
      <c r="EN726" s="1486"/>
      <c r="EO726" s="1486">
        <f t="shared" si="29"/>
        <v>0</v>
      </c>
      <c r="EP726" s="1486"/>
      <c r="EQ726" s="1486"/>
      <c r="ER726" s="1486"/>
      <c r="ES726" s="1486"/>
      <c r="ET726" s="1486">
        <f t="shared" si="30"/>
        <v>0</v>
      </c>
      <c r="EU726" s="1486"/>
      <c r="EV726" s="1486"/>
      <c r="EW726" s="1486"/>
      <c r="EX726" s="1486"/>
      <c r="EY726" s="4"/>
      <c r="EZ726" s="1512" t="str">
        <f t="shared" si="31"/>
        <v/>
      </c>
      <c r="FA726" s="1513"/>
      <c r="FB726" s="1513"/>
      <c r="FC726" s="1513"/>
      <c r="FD726" s="1514"/>
      <c r="FE726" s="1512" t="str">
        <f t="shared" si="32"/>
        <v/>
      </c>
      <c r="FF726" s="1513"/>
      <c r="FG726" s="1513"/>
      <c r="FH726" s="1513"/>
      <c r="FI726" s="1514"/>
      <c r="FJ726" s="1512" t="str">
        <f t="shared" si="33"/>
        <v/>
      </c>
      <c r="FK726" s="1513"/>
      <c r="FL726" s="1513"/>
      <c r="FM726" s="1513"/>
      <c r="FN726" s="1514"/>
      <c r="FO726" s="1512">
        <f t="shared" si="34"/>
        <v>590</v>
      </c>
      <c r="FP726" s="1513"/>
      <c r="FQ726" s="1513"/>
      <c r="FR726" s="1513"/>
      <c r="FS726" s="1514"/>
      <c r="FT726" s="1512" t="str">
        <f t="shared" si="35"/>
        <v/>
      </c>
      <c r="FU726" s="1513"/>
      <c r="FV726" s="1513"/>
      <c r="FW726" s="1513"/>
      <c r="FX726" s="1514"/>
      <c r="FY726" s="1512" t="str">
        <f t="shared" si="36"/>
        <v/>
      </c>
      <c r="FZ726" s="1513"/>
      <c r="GA726" s="1513"/>
      <c r="GB726" s="1513"/>
      <c r="GC726" s="1514"/>
    </row>
    <row r="727" spans="1:185" ht="13.05" customHeight="1">
      <c r="A727" s="4"/>
      <c r="B727" s="1383"/>
      <c r="C727" s="1384"/>
      <c r="D727" s="1384"/>
      <c r="E727" s="1384"/>
      <c r="F727" s="1385"/>
      <c r="G727" s="1366"/>
      <c r="H727" s="1367"/>
      <c r="I727" s="1367"/>
      <c r="J727" s="1368"/>
      <c r="K727" s="1363"/>
      <c r="L727" s="1364"/>
      <c r="M727" s="1364"/>
      <c r="N727" s="1365"/>
      <c r="O727" s="1392"/>
      <c r="P727" s="1393"/>
      <c r="Q727" s="1393"/>
      <c r="R727" s="1393"/>
      <c r="S727" s="1394"/>
      <c r="T727" s="1392"/>
      <c r="U727" s="1393"/>
      <c r="V727" s="1393"/>
      <c r="W727" s="1394"/>
      <c r="X727" s="1395">
        <f t="shared" si="9"/>
        <v>0</v>
      </c>
      <c r="Y727" s="1396"/>
      <c r="Z727" s="1396"/>
      <c r="AA727" s="1396"/>
      <c r="AB727" s="1397"/>
      <c r="AC727" s="1452"/>
      <c r="AD727" s="1453"/>
      <c r="AE727" s="1453"/>
      <c r="AF727" s="1453"/>
      <c r="AG727" s="1454"/>
      <c r="AH727" s="1401" t="str">
        <f t="shared" si="37"/>
        <v/>
      </c>
      <c r="AI727" s="1402"/>
      <c r="AJ727" s="1403"/>
      <c r="AK727" s="1383" t="s">
        <v>591</v>
      </c>
      <c r="AL727" s="1384"/>
      <c r="AM727" s="1384"/>
      <c r="AN727" s="1384"/>
      <c r="AO727" s="1385"/>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512">
        <f t="shared" si="38"/>
        <v>0</v>
      </c>
      <c r="CH727" s="1514"/>
      <c r="CI727" s="1518">
        <f t="shared" si="39"/>
        <v>0</v>
      </c>
      <c r="CJ727" s="1520"/>
      <c r="CK727" s="1512">
        <f t="shared" si="17"/>
        <v>0</v>
      </c>
      <c r="CL727" s="1514"/>
      <c r="CM727" s="1518">
        <f t="shared" si="18"/>
        <v>0</v>
      </c>
      <c r="CN727" s="1520"/>
      <c r="CO727" s="3"/>
      <c r="CP727" s="1515">
        <f t="shared" si="19"/>
        <v>0</v>
      </c>
      <c r="CQ727" s="1516"/>
      <c r="CR727" s="1516"/>
      <c r="CS727" s="1516"/>
      <c r="CT727" s="1517"/>
      <c r="CU727" s="1485">
        <f t="shared" si="20"/>
        <v>0</v>
      </c>
      <c r="CV727" s="1485"/>
      <c r="CW727" s="1485"/>
      <c r="CX727" s="1485"/>
      <c r="CY727" s="1485"/>
      <c r="CZ727" s="1485">
        <f t="shared" si="21"/>
        <v>0</v>
      </c>
      <c r="DA727" s="1485"/>
      <c r="DB727" s="1485"/>
      <c r="DC727" s="1485"/>
      <c r="DD727" s="1485"/>
      <c r="DE727" s="1485">
        <f t="shared" si="22"/>
        <v>0</v>
      </c>
      <c r="DF727" s="1485"/>
      <c r="DG727" s="1485"/>
      <c r="DH727" s="1485"/>
      <c r="DI727" s="1485"/>
      <c r="DJ727" s="1485">
        <f t="shared" si="23"/>
        <v>0</v>
      </c>
      <c r="DK727" s="1485"/>
      <c r="DL727" s="1485"/>
      <c r="DM727" s="1485"/>
      <c r="DN727" s="1485"/>
      <c r="DO727" s="1485">
        <f t="shared" si="24"/>
        <v>0</v>
      </c>
      <c r="DP727" s="1485"/>
      <c r="DQ727" s="1485"/>
      <c r="DR727" s="1485"/>
      <c r="DS727" s="1485"/>
      <c r="DT727" s="6"/>
      <c r="DU727" s="1486">
        <f t="shared" si="25"/>
        <v>0</v>
      </c>
      <c r="DV727" s="1486"/>
      <c r="DW727" s="1486"/>
      <c r="DX727" s="1486"/>
      <c r="DY727" s="1486"/>
      <c r="DZ727" s="1486">
        <f t="shared" si="26"/>
        <v>0</v>
      </c>
      <c r="EA727" s="1486"/>
      <c r="EB727" s="1486"/>
      <c r="EC727" s="1486"/>
      <c r="ED727" s="1486"/>
      <c r="EE727" s="1486">
        <f t="shared" si="27"/>
        <v>0</v>
      </c>
      <c r="EF727" s="1486"/>
      <c r="EG727" s="1486"/>
      <c r="EH727" s="1486"/>
      <c r="EI727" s="1486"/>
      <c r="EJ727" s="1486">
        <f t="shared" si="28"/>
        <v>0</v>
      </c>
      <c r="EK727" s="1486"/>
      <c r="EL727" s="1486"/>
      <c r="EM727" s="1486"/>
      <c r="EN727" s="1486"/>
      <c r="EO727" s="1486">
        <f t="shared" si="29"/>
        <v>0</v>
      </c>
      <c r="EP727" s="1486"/>
      <c r="EQ727" s="1486"/>
      <c r="ER727" s="1486"/>
      <c r="ES727" s="1486"/>
      <c r="ET727" s="1486">
        <f t="shared" si="30"/>
        <v>0</v>
      </c>
      <c r="EU727" s="1486"/>
      <c r="EV727" s="1486"/>
      <c r="EW727" s="1486"/>
      <c r="EX727" s="1486"/>
      <c r="EY727" s="4"/>
      <c r="EZ727" s="1512" t="str">
        <f t="shared" si="31"/>
        <v/>
      </c>
      <c r="FA727" s="1513"/>
      <c r="FB727" s="1513"/>
      <c r="FC727" s="1513"/>
      <c r="FD727" s="1514"/>
      <c r="FE727" s="1512" t="str">
        <f t="shared" si="32"/>
        <v/>
      </c>
      <c r="FF727" s="1513"/>
      <c r="FG727" s="1513"/>
      <c r="FH727" s="1513"/>
      <c r="FI727" s="1514"/>
      <c r="FJ727" s="1512" t="str">
        <f t="shared" si="33"/>
        <v/>
      </c>
      <c r="FK727" s="1513"/>
      <c r="FL727" s="1513"/>
      <c r="FM727" s="1513"/>
      <c r="FN727" s="1514"/>
      <c r="FO727" s="1512" t="str">
        <f t="shared" si="34"/>
        <v/>
      </c>
      <c r="FP727" s="1513"/>
      <c r="FQ727" s="1513"/>
      <c r="FR727" s="1513"/>
      <c r="FS727" s="1514"/>
      <c r="FT727" s="1512" t="str">
        <f t="shared" si="35"/>
        <v/>
      </c>
      <c r="FU727" s="1513"/>
      <c r="FV727" s="1513"/>
      <c r="FW727" s="1513"/>
      <c r="FX727" s="1514"/>
      <c r="FY727" s="1512" t="str">
        <f t="shared" si="36"/>
        <v/>
      </c>
      <c r="FZ727" s="1513"/>
      <c r="GA727" s="1513"/>
      <c r="GB727" s="1513"/>
      <c r="GC727" s="1514"/>
    </row>
    <row r="728" spans="1:185" ht="13.05" customHeight="1">
      <c r="A728" s="4"/>
      <c r="B728" s="1383"/>
      <c r="C728" s="1384"/>
      <c r="D728" s="1384"/>
      <c r="E728" s="1384"/>
      <c r="F728" s="1385"/>
      <c r="G728" s="1366"/>
      <c r="H728" s="1367"/>
      <c r="I728" s="1367"/>
      <c r="J728" s="1368"/>
      <c r="K728" s="1363"/>
      <c r="L728" s="1364"/>
      <c r="M728" s="1364"/>
      <c r="N728" s="1365"/>
      <c r="O728" s="1392"/>
      <c r="P728" s="1393"/>
      <c r="Q728" s="1393"/>
      <c r="R728" s="1393"/>
      <c r="S728" s="1394"/>
      <c r="T728" s="1392"/>
      <c r="U728" s="1393"/>
      <c r="V728" s="1393"/>
      <c r="W728" s="1394"/>
      <c r="X728" s="1395">
        <f t="shared" si="9"/>
        <v>0</v>
      </c>
      <c r="Y728" s="1396"/>
      <c r="Z728" s="1396"/>
      <c r="AA728" s="1396"/>
      <c r="AB728" s="1397"/>
      <c r="AC728" s="1452"/>
      <c r="AD728" s="1453"/>
      <c r="AE728" s="1453"/>
      <c r="AF728" s="1453"/>
      <c r="AG728" s="1454"/>
      <c r="AH728" s="1401" t="str">
        <f t="shared" si="37"/>
        <v/>
      </c>
      <c r="AI728" s="1402"/>
      <c r="AJ728" s="1403"/>
      <c r="AK728" s="1383" t="s">
        <v>591</v>
      </c>
      <c r="AL728" s="1384"/>
      <c r="AM728" s="1384"/>
      <c r="AN728" s="1384"/>
      <c r="AO728" s="1385"/>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512">
        <f t="shared" si="38"/>
        <v>0</v>
      </c>
      <c r="CH728" s="1514"/>
      <c r="CI728" s="1518">
        <f t="shared" si="39"/>
        <v>0</v>
      </c>
      <c r="CJ728" s="1520"/>
      <c r="CK728" s="1512">
        <f t="shared" si="17"/>
        <v>0</v>
      </c>
      <c r="CL728" s="1514"/>
      <c r="CM728" s="1518">
        <f t="shared" si="18"/>
        <v>0</v>
      </c>
      <c r="CN728" s="1520"/>
      <c r="CO728" s="3"/>
      <c r="CP728" s="1515">
        <f t="shared" si="19"/>
        <v>0</v>
      </c>
      <c r="CQ728" s="1516"/>
      <c r="CR728" s="1516"/>
      <c r="CS728" s="1516"/>
      <c r="CT728" s="1517"/>
      <c r="CU728" s="1485">
        <f t="shared" si="20"/>
        <v>0</v>
      </c>
      <c r="CV728" s="1485"/>
      <c r="CW728" s="1485"/>
      <c r="CX728" s="1485"/>
      <c r="CY728" s="1485"/>
      <c r="CZ728" s="1485">
        <f t="shared" si="21"/>
        <v>0</v>
      </c>
      <c r="DA728" s="1485"/>
      <c r="DB728" s="1485"/>
      <c r="DC728" s="1485"/>
      <c r="DD728" s="1485"/>
      <c r="DE728" s="1485">
        <f t="shared" si="22"/>
        <v>0</v>
      </c>
      <c r="DF728" s="1485"/>
      <c r="DG728" s="1485"/>
      <c r="DH728" s="1485"/>
      <c r="DI728" s="1485"/>
      <c r="DJ728" s="1485">
        <f t="shared" si="23"/>
        <v>0</v>
      </c>
      <c r="DK728" s="1485"/>
      <c r="DL728" s="1485"/>
      <c r="DM728" s="1485"/>
      <c r="DN728" s="1485"/>
      <c r="DO728" s="1485">
        <f t="shared" si="24"/>
        <v>0</v>
      </c>
      <c r="DP728" s="1485"/>
      <c r="DQ728" s="1485"/>
      <c r="DR728" s="1485"/>
      <c r="DS728" s="1485"/>
      <c r="DT728" s="6"/>
      <c r="DU728" s="1486">
        <f t="shared" si="25"/>
        <v>0</v>
      </c>
      <c r="DV728" s="1486"/>
      <c r="DW728" s="1486"/>
      <c r="DX728" s="1486"/>
      <c r="DY728" s="1486"/>
      <c r="DZ728" s="1486">
        <f t="shared" si="26"/>
        <v>0</v>
      </c>
      <c r="EA728" s="1486"/>
      <c r="EB728" s="1486"/>
      <c r="EC728" s="1486"/>
      <c r="ED728" s="1486"/>
      <c r="EE728" s="1486">
        <f t="shared" si="27"/>
        <v>0</v>
      </c>
      <c r="EF728" s="1486"/>
      <c r="EG728" s="1486"/>
      <c r="EH728" s="1486"/>
      <c r="EI728" s="1486"/>
      <c r="EJ728" s="1486">
        <f t="shared" si="28"/>
        <v>0</v>
      </c>
      <c r="EK728" s="1486"/>
      <c r="EL728" s="1486"/>
      <c r="EM728" s="1486"/>
      <c r="EN728" s="1486"/>
      <c r="EO728" s="1486">
        <f t="shared" si="29"/>
        <v>0</v>
      </c>
      <c r="EP728" s="1486"/>
      <c r="EQ728" s="1486"/>
      <c r="ER728" s="1486"/>
      <c r="ES728" s="1486"/>
      <c r="ET728" s="1486">
        <f t="shared" si="30"/>
        <v>0</v>
      </c>
      <c r="EU728" s="1486"/>
      <c r="EV728" s="1486"/>
      <c r="EW728" s="1486"/>
      <c r="EX728" s="1486"/>
      <c r="EY728" s="4"/>
      <c r="EZ728" s="1512" t="str">
        <f t="shared" si="31"/>
        <v/>
      </c>
      <c r="FA728" s="1513"/>
      <c r="FB728" s="1513"/>
      <c r="FC728" s="1513"/>
      <c r="FD728" s="1514"/>
      <c r="FE728" s="1512" t="str">
        <f t="shared" si="32"/>
        <v/>
      </c>
      <c r="FF728" s="1513"/>
      <c r="FG728" s="1513"/>
      <c r="FH728" s="1513"/>
      <c r="FI728" s="1514"/>
      <c r="FJ728" s="1512" t="str">
        <f t="shared" si="33"/>
        <v/>
      </c>
      <c r="FK728" s="1513"/>
      <c r="FL728" s="1513"/>
      <c r="FM728" s="1513"/>
      <c r="FN728" s="1514"/>
      <c r="FO728" s="1512" t="str">
        <f t="shared" si="34"/>
        <v/>
      </c>
      <c r="FP728" s="1513"/>
      <c r="FQ728" s="1513"/>
      <c r="FR728" s="1513"/>
      <c r="FS728" s="1514"/>
      <c r="FT728" s="1512" t="str">
        <f t="shared" si="35"/>
        <v/>
      </c>
      <c r="FU728" s="1513"/>
      <c r="FV728" s="1513"/>
      <c r="FW728" s="1513"/>
      <c r="FX728" s="1514"/>
      <c r="FY728" s="1512" t="str">
        <f t="shared" si="36"/>
        <v/>
      </c>
      <c r="FZ728" s="1513"/>
      <c r="GA728" s="1513"/>
      <c r="GB728" s="1513"/>
      <c r="GC728" s="1514"/>
    </row>
    <row r="729" spans="1:185" ht="13.05" customHeight="1">
      <c r="A729" s="4"/>
      <c r="B729" s="1383"/>
      <c r="C729" s="1384"/>
      <c r="D729" s="1384"/>
      <c r="E729" s="1384"/>
      <c r="F729" s="1385"/>
      <c r="G729" s="1366"/>
      <c r="H729" s="1367"/>
      <c r="I729" s="1367"/>
      <c r="J729" s="1368"/>
      <c r="K729" s="1363"/>
      <c r="L729" s="1364"/>
      <c r="M729" s="1364"/>
      <c r="N729" s="1365"/>
      <c r="O729" s="1392"/>
      <c r="P729" s="1393"/>
      <c r="Q729" s="1393"/>
      <c r="R729" s="1393"/>
      <c r="S729" s="1394"/>
      <c r="T729" s="1392"/>
      <c r="U729" s="1393"/>
      <c r="V729" s="1393"/>
      <c r="W729" s="1394"/>
      <c r="X729" s="1395">
        <f t="shared" si="9"/>
        <v>0</v>
      </c>
      <c r="Y729" s="1396"/>
      <c r="Z729" s="1396"/>
      <c r="AA729" s="1396"/>
      <c r="AB729" s="1397"/>
      <c r="AC729" s="1452"/>
      <c r="AD729" s="1453"/>
      <c r="AE729" s="1453"/>
      <c r="AF729" s="1453"/>
      <c r="AG729" s="1454"/>
      <c r="AH729" s="1401" t="str">
        <f t="shared" si="37"/>
        <v/>
      </c>
      <c r="AI729" s="1402"/>
      <c r="AJ729" s="1403"/>
      <c r="AK729" s="1383" t="s">
        <v>591</v>
      </c>
      <c r="AL729" s="1384"/>
      <c r="AM729" s="1384"/>
      <c r="AN729" s="1384"/>
      <c r="AO729" s="1385"/>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512">
        <f t="shared" si="38"/>
        <v>0</v>
      </c>
      <c r="CH729" s="1514"/>
      <c r="CI729" s="1518">
        <f t="shared" si="39"/>
        <v>0</v>
      </c>
      <c r="CJ729" s="1520"/>
      <c r="CK729" s="1512">
        <f t="shared" si="17"/>
        <v>0</v>
      </c>
      <c r="CL729" s="1514"/>
      <c r="CM729" s="1518">
        <f t="shared" si="18"/>
        <v>0</v>
      </c>
      <c r="CN729" s="1520"/>
      <c r="CO729" s="3"/>
      <c r="CP729" s="1515">
        <f t="shared" si="19"/>
        <v>0</v>
      </c>
      <c r="CQ729" s="1516"/>
      <c r="CR729" s="1516"/>
      <c r="CS729" s="1516"/>
      <c r="CT729" s="1517"/>
      <c r="CU729" s="1485">
        <f t="shared" si="20"/>
        <v>0</v>
      </c>
      <c r="CV729" s="1485"/>
      <c r="CW729" s="1485"/>
      <c r="CX729" s="1485"/>
      <c r="CY729" s="1485"/>
      <c r="CZ729" s="1485">
        <f t="shared" si="21"/>
        <v>0</v>
      </c>
      <c r="DA729" s="1485"/>
      <c r="DB729" s="1485"/>
      <c r="DC729" s="1485"/>
      <c r="DD729" s="1485"/>
      <c r="DE729" s="1485">
        <f t="shared" si="22"/>
        <v>0</v>
      </c>
      <c r="DF729" s="1485"/>
      <c r="DG729" s="1485"/>
      <c r="DH729" s="1485"/>
      <c r="DI729" s="1485"/>
      <c r="DJ729" s="1485">
        <f t="shared" si="23"/>
        <v>0</v>
      </c>
      <c r="DK729" s="1485"/>
      <c r="DL729" s="1485"/>
      <c r="DM729" s="1485"/>
      <c r="DN729" s="1485"/>
      <c r="DO729" s="1485">
        <f t="shared" si="24"/>
        <v>0</v>
      </c>
      <c r="DP729" s="1485"/>
      <c r="DQ729" s="1485"/>
      <c r="DR729" s="1485"/>
      <c r="DS729" s="1485"/>
      <c r="DT729" s="6"/>
      <c r="DU729" s="1486">
        <f t="shared" si="25"/>
        <v>0</v>
      </c>
      <c r="DV729" s="1486"/>
      <c r="DW729" s="1486"/>
      <c r="DX729" s="1486"/>
      <c r="DY729" s="1486"/>
      <c r="DZ729" s="1486">
        <f t="shared" si="26"/>
        <v>0</v>
      </c>
      <c r="EA729" s="1486"/>
      <c r="EB729" s="1486"/>
      <c r="EC729" s="1486"/>
      <c r="ED729" s="1486"/>
      <c r="EE729" s="1486">
        <f t="shared" si="27"/>
        <v>0</v>
      </c>
      <c r="EF729" s="1486"/>
      <c r="EG729" s="1486"/>
      <c r="EH729" s="1486"/>
      <c r="EI729" s="1486"/>
      <c r="EJ729" s="1486">
        <f t="shared" si="28"/>
        <v>0</v>
      </c>
      <c r="EK729" s="1486"/>
      <c r="EL729" s="1486"/>
      <c r="EM729" s="1486"/>
      <c r="EN729" s="1486"/>
      <c r="EO729" s="1486">
        <f t="shared" si="29"/>
        <v>0</v>
      </c>
      <c r="EP729" s="1486"/>
      <c r="EQ729" s="1486"/>
      <c r="ER729" s="1486"/>
      <c r="ES729" s="1486"/>
      <c r="ET729" s="1486">
        <f t="shared" si="30"/>
        <v>0</v>
      </c>
      <c r="EU729" s="1486"/>
      <c r="EV729" s="1486"/>
      <c r="EW729" s="1486"/>
      <c r="EX729" s="1486"/>
      <c r="EZ729" s="1512" t="str">
        <f t="shared" si="31"/>
        <v/>
      </c>
      <c r="FA729" s="1513"/>
      <c r="FB729" s="1513"/>
      <c r="FC729" s="1513"/>
      <c r="FD729" s="1514"/>
      <c r="FE729" s="1512" t="str">
        <f t="shared" si="32"/>
        <v/>
      </c>
      <c r="FF729" s="1513"/>
      <c r="FG729" s="1513"/>
      <c r="FH729" s="1513"/>
      <c r="FI729" s="1514"/>
      <c r="FJ729" s="1512" t="str">
        <f t="shared" si="33"/>
        <v/>
      </c>
      <c r="FK729" s="1513"/>
      <c r="FL729" s="1513"/>
      <c r="FM729" s="1513"/>
      <c r="FN729" s="1514"/>
      <c r="FO729" s="1512" t="str">
        <f t="shared" si="34"/>
        <v/>
      </c>
      <c r="FP729" s="1513"/>
      <c r="FQ729" s="1513"/>
      <c r="FR729" s="1513"/>
      <c r="FS729" s="1514"/>
      <c r="FT729" s="1512" t="str">
        <f t="shared" si="35"/>
        <v/>
      </c>
      <c r="FU729" s="1513"/>
      <c r="FV729" s="1513"/>
      <c r="FW729" s="1513"/>
      <c r="FX729" s="1514"/>
      <c r="FY729" s="1512" t="str">
        <f t="shared" si="36"/>
        <v/>
      </c>
      <c r="FZ729" s="1513"/>
      <c r="GA729" s="1513"/>
      <c r="GB729" s="1513"/>
      <c r="GC729" s="1514"/>
    </row>
    <row r="730" spans="1:185" ht="13.05" customHeight="1">
      <c r="B730" s="1383"/>
      <c r="C730" s="1384"/>
      <c r="D730" s="1384"/>
      <c r="E730" s="1384"/>
      <c r="F730" s="1385"/>
      <c r="G730" s="1366"/>
      <c r="H730" s="1367"/>
      <c r="I730" s="1367"/>
      <c r="J730" s="1368"/>
      <c r="K730" s="1363"/>
      <c r="L730" s="1364"/>
      <c r="M730" s="1364"/>
      <c r="N730" s="1365"/>
      <c r="O730" s="1392"/>
      <c r="P730" s="1393"/>
      <c r="Q730" s="1393"/>
      <c r="R730" s="1393"/>
      <c r="S730" s="1394"/>
      <c r="T730" s="1392"/>
      <c r="U730" s="1393"/>
      <c r="V730" s="1393"/>
      <c r="W730" s="1394"/>
      <c r="X730" s="1395">
        <f t="shared" si="9"/>
        <v>0</v>
      </c>
      <c r="Y730" s="1396"/>
      <c r="Z730" s="1396"/>
      <c r="AA730" s="1396"/>
      <c r="AB730" s="1397"/>
      <c r="AC730" s="1452"/>
      <c r="AD730" s="1453"/>
      <c r="AE730" s="1453"/>
      <c r="AF730" s="1453"/>
      <c r="AG730" s="1454"/>
      <c r="AH730" s="1401" t="str">
        <f t="shared" si="37"/>
        <v/>
      </c>
      <c r="AI730" s="1402"/>
      <c r="AJ730" s="1403"/>
      <c r="AK730" s="1383" t="s">
        <v>591</v>
      </c>
      <c r="AL730" s="1384"/>
      <c r="AM730" s="1384"/>
      <c r="AN730" s="1384"/>
      <c r="AO730" s="1385"/>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512">
        <f t="shared" si="38"/>
        <v>0</v>
      </c>
      <c r="CH730" s="1514"/>
      <c r="CI730" s="1518">
        <f t="shared" si="39"/>
        <v>0</v>
      </c>
      <c r="CJ730" s="1520"/>
      <c r="CK730" s="1512">
        <f t="shared" si="17"/>
        <v>0</v>
      </c>
      <c r="CL730" s="1514"/>
      <c r="CM730" s="1518">
        <f t="shared" si="18"/>
        <v>0</v>
      </c>
      <c r="CN730" s="1520"/>
      <c r="CO730" s="3"/>
      <c r="CP730" s="1515">
        <f t="shared" si="19"/>
        <v>0</v>
      </c>
      <c r="CQ730" s="1516"/>
      <c r="CR730" s="1516"/>
      <c r="CS730" s="1516"/>
      <c r="CT730" s="1517"/>
      <c r="CU730" s="1485">
        <f t="shared" si="20"/>
        <v>0</v>
      </c>
      <c r="CV730" s="1485"/>
      <c r="CW730" s="1485"/>
      <c r="CX730" s="1485"/>
      <c r="CY730" s="1485"/>
      <c r="CZ730" s="1485">
        <f t="shared" si="21"/>
        <v>0</v>
      </c>
      <c r="DA730" s="1485"/>
      <c r="DB730" s="1485"/>
      <c r="DC730" s="1485"/>
      <c r="DD730" s="1485"/>
      <c r="DE730" s="1485">
        <f t="shared" si="22"/>
        <v>0</v>
      </c>
      <c r="DF730" s="1485"/>
      <c r="DG730" s="1485"/>
      <c r="DH730" s="1485"/>
      <c r="DI730" s="1485"/>
      <c r="DJ730" s="1485">
        <f t="shared" si="23"/>
        <v>0</v>
      </c>
      <c r="DK730" s="1485"/>
      <c r="DL730" s="1485"/>
      <c r="DM730" s="1485"/>
      <c r="DN730" s="1485"/>
      <c r="DO730" s="1485">
        <f t="shared" si="24"/>
        <v>0</v>
      </c>
      <c r="DP730" s="1485"/>
      <c r="DQ730" s="1485"/>
      <c r="DR730" s="1485"/>
      <c r="DS730" s="1485"/>
      <c r="DT730" s="6"/>
      <c r="DU730" s="1486">
        <f t="shared" si="25"/>
        <v>0</v>
      </c>
      <c r="DV730" s="1486"/>
      <c r="DW730" s="1486"/>
      <c r="DX730" s="1486"/>
      <c r="DY730" s="1486"/>
      <c r="DZ730" s="1486">
        <f t="shared" si="26"/>
        <v>0</v>
      </c>
      <c r="EA730" s="1486"/>
      <c r="EB730" s="1486"/>
      <c r="EC730" s="1486"/>
      <c r="ED730" s="1486"/>
      <c r="EE730" s="1486">
        <f t="shared" si="27"/>
        <v>0</v>
      </c>
      <c r="EF730" s="1486"/>
      <c r="EG730" s="1486"/>
      <c r="EH730" s="1486"/>
      <c r="EI730" s="1486"/>
      <c r="EJ730" s="1486">
        <f t="shared" si="28"/>
        <v>0</v>
      </c>
      <c r="EK730" s="1486"/>
      <c r="EL730" s="1486"/>
      <c r="EM730" s="1486"/>
      <c r="EN730" s="1486"/>
      <c r="EO730" s="1486">
        <f t="shared" si="29"/>
        <v>0</v>
      </c>
      <c r="EP730" s="1486"/>
      <c r="EQ730" s="1486"/>
      <c r="ER730" s="1486"/>
      <c r="ES730" s="1486"/>
      <c r="ET730" s="1486">
        <f t="shared" si="30"/>
        <v>0</v>
      </c>
      <c r="EU730" s="1486"/>
      <c r="EV730" s="1486"/>
      <c r="EW730" s="1486"/>
      <c r="EX730" s="1486"/>
      <c r="EZ730" s="1512" t="str">
        <f t="shared" si="31"/>
        <v/>
      </c>
      <c r="FA730" s="1513"/>
      <c r="FB730" s="1513"/>
      <c r="FC730" s="1513"/>
      <c r="FD730" s="1514"/>
      <c r="FE730" s="1512" t="str">
        <f t="shared" si="32"/>
        <v/>
      </c>
      <c r="FF730" s="1513"/>
      <c r="FG730" s="1513"/>
      <c r="FH730" s="1513"/>
      <c r="FI730" s="1514"/>
      <c r="FJ730" s="1512" t="str">
        <f t="shared" si="33"/>
        <v/>
      </c>
      <c r="FK730" s="1513"/>
      <c r="FL730" s="1513"/>
      <c r="FM730" s="1513"/>
      <c r="FN730" s="1514"/>
      <c r="FO730" s="1512" t="str">
        <f t="shared" si="34"/>
        <v/>
      </c>
      <c r="FP730" s="1513"/>
      <c r="FQ730" s="1513"/>
      <c r="FR730" s="1513"/>
      <c r="FS730" s="1514"/>
      <c r="FT730" s="1512" t="str">
        <f t="shared" si="35"/>
        <v/>
      </c>
      <c r="FU730" s="1513"/>
      <c r="FV730" s="1513"/>
      <c r="FW730" s="1513"/>
      <c r="FX730" s="1514"/>
      <c r="FY730" s="1512" t="str">
        <f t="shared" si="36"/>
        <v/>
      </c>
      <c r="FZ730" s="1513"/>
      <c r="GA730" s="1513"/>
      <c r="GB730" s="1513"/>
      <c r="GC730" s="1514"/>
    </row>
    <row r="731" spans="1:185" ht="13.05" customHeight="1">
      <c r="B731" s="1383"/>
      <c r="C731" s="1384"/>
      <c r="D731" s="1384"/>
      <c r="E731" s="1384"/>
      <c r="F731" s="1385"/>
      <c r="G731" s="1366"/>
      <c r="H731" s="1367"/>
      <c r="I731" s="1367"/>
      <c r="J731" s="1368"/>
      <c r="K731" s="1363"/>
      <c r="L731" s="1364"/>
      <c r="M731" s="1364"/>
      <c r="N731" s="1365"/>
      <c r="O731" s="1392"/>
      <c r="P731" s="1393"/>
      <c r="Q731" s="1393"/>
      <c r="R731" s="1393"/>
      <c r="S731" s="1394"/>
      <c r="T731" s="1392"/>
      <c r="U731" s="1393"/>
      <c r="V731" s="1393"/>
      <c r="W731" s="1394"/>
      <c r="X731" s="1395">
        <f t="shared" si="9"/>
        <v>0</v>
      </c>
      <c r="Y731" s="1396"/>
      <c r="Z731" s="1396"/>
      <c r="AA731" s="1396"/>
      <c r="AB731" s="1397"/>
      <c r="AC731" s="1452"/>
      <c r="AD731" s="1453"/>
      <c r="AE731" s="1453"/>
      <c r="AF731" s="1453"/>
      <c r="AG731" s="1454"/>
      <c r="AH731" s="1401" t="str">
        <f t="shared" si="37"/>
        <v/>
      </c>
      <c r="AI731" s="1402"/>
      <c r="AJ731" s="1403"/>
      <c r="AK731" s="1383" t="s">
        <v>591</v>
      </c>
      <c r="AL731" s="1384"/>
      <c r="AM731" s="1384"/>
      <c r="AN731" s="1384"/>
      <c r="AO731" s="1385"/>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512">
        <f t="shared" si="38"/>
        <v>0</v>
      </c>
      <c r="CH731" s="1514"/>
      <c r="CI731" s="1518">
        <f t="shared" si="39"/>
        <v>0</v>
      </c>
      <c r="CJ731" s="1520"/>
      <c r="CK731" s="1512">
        <f t="shared" si="17"/>
        <v>0</v>
      </c>
      <c r="CL731" s="1514"/>
      <c r="CM731" s="1518">
        <f t="shared" si="18"/>
        <v>0</v>
      </c>
      <c r="CN731" s="1520"/>
      <c r="CO731" s="3"/>
      <c r="CP731" s="1515">
        <f t="shared" si="19"/>
        <v>0</v>
      </c>
      <c r="CQ731" s="1516"/>
      <c r="CR731" s="1516"/>
      <c r="CS731" s="1516"/>
      <c r="CT731" s="1517"/>
      <c r="CU731" s="1485">
        <f t="shared" si="20"/>
        <v>0</v>
      </c>
      <c r="CV731" s="1485"/>
      <c r="CW731" s="1485"/>
      <c r="CX731" s="1485"/>
      <c r="CY731" s="1485"/>
      <c r="CZ731" s="1485">
        <f t="shared" si="21"/>
        <v>0</v>
      </c>
      <c r="DA731" s="1485"/>
      <c r="DB731" s="1485"/>
      <c r="DC731" s="1485"/>
      <c r="DD731" s="1485"/>
      <c r="DE731" s="1485">
        <f t="shared" si="22"/>
        <v>0</v>
      </c>
      <c r="DF731" s="1485"/>
      <c r="DG731" s="1485"/>
      <c r="DH731" s="1485"/>
      <c r="DI731" s="1485"/>
      <c r="DJ731" s="1485">
        <f t="shared" si="23"/>
        <v>0</v>
      </c>
      <c r="DK731" s="1485"/>
      <c r="DL731" s="1485"/>
      <c r="DM731" s="1485"/>
      <c r="DN731" s="1485"/>
      <c r="DO731" s="1485">
        <f t="shared" si="24"/>
        <v>0</v>
      </c>
      <c r="DP731" s="1485"/>
      <c r="DQ731" s="1485"/>
      <c r="DR731" s="1485"/>
      <c r="DS731" s="1485"/>
      <c r="DT731" s="6"/>
      <c r="DU731" s="1486">
        <f t="shared" si="25"/>
        <v>0</v>
      </c>
      <c r="DV731" s="1486"/>
      <c r="DW731" s="1486"/>
      <c r="DX731" s="1486"/>
      <c r="DY731" s="1486"/>
      <c r="DZ731" s="1486">
        <f t="shared" si="26"/>
        <v>0</v>
      </c>
      <c r="EA731" s="1486"/>
      <c r="EB731" s="1486"/>
      <c r="EC731" s="1486"/>
      <c r="ED731" s="1486"/>
      <c r="EE731" s="1486">
        <f t="shared" si="27"/>
        <v>0</v>
      </c>
      <c r="EF731" s="1486"/>
      <c r="EG731" s="1486"/>
      <c r="EH731" s="1486"/>
      <c r="EI731" s="1486"/>
      <c r="EJ731" s="1486">
        <f t="shared" si="28"/>
        <v>0</v>
      </c>
      <c r="EK731" s="1486"/>
      <c r="EL731" s="1486"/>
      <c r="EM731" s="1486"/>
      <c r="EN731" s="1486"/>
      <c r="EO731" s="1486">
        <f t="shared" si="29"/>
        <v>0</v>
      </c>
      <c r="EP731" s="1486"/>
      <c r="EQ731" s="1486"/>
      <c r="ER731" s="1486"/>
      <c r="ES731" s="1486"/>
      <c r="ET731" s="1486">
        <f t="shared" si="30"/>
        <v>0</v>
      </c>
      <c r="EU731" s="1486"/>
      <c r="EV731" s="1486"/>
      <c r="EW731" s="1486"/>
      <c r="EX731" s="1486"/>
      <c r="EZ731" s="1512" t="str">
        <f t="shared" si="31"/>
        <v/>
      </c>
      <c r="FA731" s="1513"/>
      <c r="FB731" s="1513"/>
      <c r="FC731" s="1513"/>
      <c r="FD731" s="1514"/>
      <c r="FE731" s="1512" t="str">
        <f t="shared" si="32"/>
        <v/>
      </c>
      <c r="FF731" s="1513"/>
      <c r="FG731" s="1513"/>
      <c r="FH731" s="1513"/>
      <c r="FI731" s="1514"/>
      <c r="FJ731" s="1512" t="str">
        <f t="shared" si="33"/>
        <v/>
      </c>
      <c r="FK731" s="1513"/>
      <c r="FL731" s="1513"/>
      <c r="FM731" s="1513"/>
      <c r="FN731" s="1514"/>
      <c r="FO731" s="1512" t="str">
        <f t="shared" si="34"/>
        <v/>
      </c>
      <c r="FP731" s="1513"/>
      <c r="FQ731" s="1513"/>
      <c r="FR731" s="1513"/>
      <c r="FS731" s="1514"/>
      <c r="FT731" s="1512" t="str">
        <f t="shared" si="35"/>
        <v/>
      </c>
      <c r="FU731" s="1513"/>
      <c r="FV731" s="1513"/>
      <c r="FW731" s="1513"/>
      <c r="FX731" s="1514"/>
      <c r="FY731" s="1512" t="str">
        <f t="shared" si="36"/>
        <v/>
      </c>
      <c r="FZ731" s="1513"/>
      <c r="GA731" s="1513"/>
      <c r="GB731" s="1513"/>
      <c r="GC731" s="1514"/>
    </row>
    <row r="732" spans="1:185" ht="13.05" customHeight="1">
      <c r="B732" s="1383"/>
      <c r="C732" s="1384"/>
      <c r="D732" s="1384"/>
      <c r="E732" s="1384"/>
      <c r="F732" s="1385"/>
      <c r="G732" s="1366"/>
      <c r="H732" s="1367"/>
      <c r="I732" s="1367"/>
      <c r="J732" s="1368"/>
      <c r="K732" s="1363"/>
      <c r="L732" s="1364"/>
      <c r="M732" s="1364"/>
      <c r="N732" s="1365"/>
      <c r="O732" s="1392"/>
      <c r="P732" s="1393"/>
      <c r="Q732" s="1393"/>
      <c r="R732" s="1393"/>
      <c r="S732" s="1394"/>
      <c r="T732" s="1392"/>
      <c r="U732" s="1393"/>
      <c r="V732" s="1393"/>
      <c r="W732" s="1394"/>
      <c r="X732" s="1395">
        <f t="shared" si="9"/>
        <v>0</v>
      </c>
      <c r="Y732" s="1396"/>
      <c r="Z732" s="1396"/>
      <c r="AA732" s="1396"/>
      <c r="AB732" s="1397"/>
      <c r="AC732" s="1452"/>
      <c r="AD732" s="1453"/>
      <c r="AE732" s="1453"/>
      <c r="AF732" s="1453"/>
      <c r="AG732" s="1454"/>
      <c r="AH732" s="1401" t="str">
        <f t="shared" si="37"/>
        <v/>
      </c>
      <c r="AI732" s="1402"/>
      <c r="AJ732" s="1403"/>
      <c r="AK732" s="1383" t="s">
        <v>591</v>
      </c>
      <c r="AL732" s="1384"/>
      <c r="AM732" s="1384"/>
      <c r="AN732" s="1384"/>
      <c r="AO732" s="1385"/>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512">
        <f t="shared" si="38"/>
        <v>0</v>
      </c>
      <c r="CH732" s="1514"/>
      <c r="CI732" s="1518">
        <f t="shared" si="39"/>
        <v>0</v>
      </c>
      <c r="CJ732" s="1520"/>
      <c r="CK732" s="1512">
        <f t="shared" si="17"/>
        <v>0</v>
      </c>
      <c r="CL732" s="1514"/>
      <c r="CM732" s="1518">
        <f t="shared" si="18"/>
        <v>0</v>
      </c>
      <c r="CN732" s="1520"/>
      <c r="CO732" s="3"/>
      <c r="CP732" s="1515">
        <f t="shared" si="19"/>
        <v>0</v>
      </c>
      <c r="CQ732" s="1516"/>
      <c r="CR732" s="1516"/>
      <c r="CS732" s="1516"/>
      <c r="CT732" s="1517"/>
      <c r="CU732" s="1485">
        <f t="shared" si="20"/>
        <v>0</v>
      </c>
      <c r="CV732" s="1485"/>
      <c r="CW732" s="1485"/>
      <c r="CX732" s="1485"/>
      <c r="CY732" s="1485"/>
      <c r="CZ732" s="1485">
        <f t="shared" si="21"/>
        <v>0</v>
      </c>
      <c r="DA732" s="1485"/>
      <c r="DB732" s="1485"/>
      <c r="DC732" s="1485"/>
      <c r="DD732" s="1485"/>
      <c r="DE732" s="1485">
        <f t="shared" si="22"/>
        <v>0</v>
      </c>
      <c r="DF732" s="1485"/>
      <c r="DG732" s="1485"/>
      <c r="DH732" s="1485"/>
      <c r="DI732" s="1485"/>
      <c r="DJ732" s="1485">
        <f t="shared" si="23"/>
        <v>0</v>
      </c>
      <c r="DK732" s="1485"/>
      <c r="DL732" s="1485"/>
      <c r="DM732" s="1485"/>
      <c r="DN732" s="1485"/>
      <c r="DO732" s="1485">
        <f t="shared" si="24"/>
        <v>0</v>
      </c>
      <c r="DP732" s="1485"/>
      <c r="DQ732" s="1485"/>
      <c r="DR732" s="1485"/>
      <c r="DS732" s="1485"/>
      <c r="DT732" s="6"/>
      <c r="DU732" s="1486">
        <f t="shared" si="25"/>
        <v>0</v>
      </c>
      <c r="DV732" s="1486"/>
      <c r="DW732" s="1486"/>
      <c r="DX732" s="1486"/>
      <c r="DY732" s="1486"/>
      <c r="DZ732" s="1486">
        <f t="shared" si="26"/>
        <v>0</v>
      </c>
      <c r="EA732" s="1486"/>
      <c r="EB732" s="1486"/>
      <c r="EC732" s="1486"/>
      <c r="ED732" s="1486"/>
      <c r="EE732" s="1486">
        <f t="shared" si="27"/>
        <v>0</v>
      </c>
      <c r="EF732" s="1486"/>
      <c r="EG732" s="1486"/>
      <c r="EH732" s="1486"/>
      <c r="EI732" s="1486"/>
      <c r="EJ732" s="1486">
        <f t="shared" si="28"/>
        <v>0</v>
      </c>
      <c r="EK732" s="1486"/>
      <c r="EL732" s="1486"/>
      <c r="EM732" s="1486"/>
      <c r="EN732" s="1486"/>
      <c r="EO732" s="1486">
        <f t="shared" si="29"/>
        <v>0</v>
      </c>
      <c r="EP732" s="1486"/>
      <c r="EQ732" s="1486"/>
      <c r="ER732" s="1486"/>
      <c r="ES732" s="1486"/>
      <c r="ET732" s="1486">
        <f t="shared" si="30"/>
        <v>0</v>
      </c>
      <c r="EU732" s="1486"/>
      <c r="EV732" s="1486"/>
      <c r="EW732" s="1486"/>
      <c r="EX732" s="1486"/>
      <c r="EZ732" s="1512" t="str">
        <f t="shared" si="31"/>
        <v/>
      </c>
      <c r="FA732" s="1513"/>
      <c r="FB732" s="1513"/>
      <c r="FC732" s="1513"/>
      <c r="FD732" s="1514"/>
      <c r="FE732" s="1512" t="str">
        <f t="shared" si="32"/>
        <v/>
      </c>
      <c r="FF732" s="1513"/>
      <c r="FG732" s="1513"/>
      <c r="FH732" s="1513"/>
      <c r="FI732" s="1514"/>
      <c r="FJ732" s="1512" t="str">
        <f t="shared" si="33"/>
        <v/>
      </c>
      <c r="FK732" s="1513"/>
      <c r="FL732" s="1513"/>
      <c r="FM732" s="1513"/>
      <c r="FN732" s="1514"/>
      <c r="FO732" s="1512" t="str">
        <f t="shared" si="34"/>
        <v/>
      </c>
      <c r="FP732" s="1513"/>
      <c r="FQ732" s="1513"/>
      <c r="FR732" s="1513"/>
      <c r="FS732" s="1514"/>
      <c r="FT732" s="1512" t="str">
        <f t="shared" si="35"/>
        <v/>
      </c>
      <c r="FU732" s="1513"/>
      <c r="FV732" s="1513"/>
      <c r="FW732" s="1513"/>
      <c r="FX732" s="1514"/>
      <c r="FY732" s="1512" t="str">
        <f t="shared" si="36"/>
        <v/>
      </c>
      <c r="FZ732" s="1513"/>
      <c r="GA732" s="1513"/>
      <c r="GB732" s="1513"/>
      <c r="GC732" s="1514"/>
    </row>
    <row r="733" spans="1:185" ht="13.05" customHeight="1">
      <c r="B733" s="1383"/>
      <c r="C733" s="1384"/>
      <c r="D733" s="1384"/>
      <c r="E733" s="1384"/>
      <c r="F733" s="1385"/>
      <c r="G733" s="1366"/>
      <c r="H733" s="1367"/>
      <c r="I733" s="1367"/>
      <c r="J733" s="1368"/>
      <c r="K733" s="1363"/>
      <c r="L733" s="1364"/>
      <c r="M733" s="1364"/>
      <c r="N733" s="1365"/>
      <c r="O733" s="1392"/>
      <c r="P733" s="1393"/>
      <c r="Q733" s="1393"/>
      <c r="R733" s="1393"/>
      <c r="S733" s="1394"/>
      <c r="T733" s="1392"/>
      <c r="U733" s="1393"/>
      <c r="V733" s="1393"/>
      <c r="W733" s="1394"/>
      <c r="X733" s="1395">
        <f t="shared" si="9"/>
        <v>0</v>
      </c>
      <c r="Y733" s="1396"/>
      <c r="Z733" s="1396"/>
      <c r="AA733" s="1396"/>
      <c r="AB733" s="1397"/>
      <c r="AC733" s="1452"/>
      <c r="AD733" s="1453"/>
      <c r="AE733" s="1453"/>
      <c r="AF733" s="1453"/>
      <c r="AG733" s="1454"/>
      <c r="AH733" s="1401" t="str">
        <f t="shared" si="37"/>
        <v/>
      </c>
      <c r="AI733" s="1402"/>
      <c r="AJ733" s="1403"/>
      <c r="AK733" s="1383" t="s">
        <v>591</v>
      </c>
      <c r="AL733" s="1384"/>
      <c r="AM733" s="1384"/>
      <c r="AN733" s="1384"/>
      <c r="AO733" s="1385"/>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512">
        <f t="shared" si="38"/>
        <v>0</v>
      </c>
      <c r="CH733" s="1514"/>
      <c r="CI733" s="1518">
        <f t="shared" si="39"/>
        <v>0</v>
      </c>
      <c r="CJ733" s="1520"/>
      <c r="CK733" s="1512">
        <f t="shared" si="17"/>
        <v>0</v>
      </c>
      <c r="CL733" s="1514"/>
      <c r="CM733" s="1518">
        <f t="shared" si="18"/>
        <v>0</v>
      </c>
      <c r="CN733" s="1520"/>
      <c r="CO733" s="3"/>
      <c r="CP733" s="1515">
        <f t="shared" si="19"/>
        <v>0</v>
      </c>
      <c r="CQ733" s="1516"/>
      <c r="CR733" s="1516"/>
      <c r="CS733" s="1516"/>
      <c r="CT733" s="1517"/>
      <c r="CU733" s="1485">
        <f t="shared" si="20"/>
        <v>0</v>
      </c>
      <c r="CV733" s="1485"/>
      <c r="CW733" s="1485"/>
      <c r="CX733" s="1485"/>
      <c r="CY733" s="1485"/>
      <c r="CZ733" s="1485">
        <f t="shared" si="21"/>
        <v>0</v>
      </c>
      <c r="DA733" s="1485"/>
      <c r="DB733" s="1485"/>
      <c r="DC733" s="1485"/>
      <c r="DD733" s="1485"/>
      <c r="DE733" s="1485">
        <f t="shared" si="22"/>
        <v>0</v>
      </c>
      <c r="DF733" s="1485"/>
      <c r="DG733" s="1485"/>
      <c r="DH733" s="1485"/>
      <c r="DI733" s="1485"/>
      <c r="DJ733" s="1485">
        <f t="shared" si="23"/>
        <v>0</v>
      </c>
      <c r="DK733" s="1485"/>
      <c r="DL733" s="1485"/>
      <c r="DM733" s="1485"/>
      <c r="DN733" s="1485"/>
      <c r="DO733" s="1485">
        <f t="shared" si="24"/>
        <v>0</v>
      </c>
      <c r="DP733" s="1485"/>
      <c r="DQ733" s="1485"/>
      <c r="DR733" s="1485"/>
      <c r="DS733" s="1485"/>
      <c r="DT733" s="6"/>
      <c r="DU733" s="1486">
        <f t="shared" si="25"/>
        <v>0</v>
      </c>
      <c r="DV733" s="1486"/>
      <c r="DW733" s="1486"/>
      <c r="DX733" s="1486"/>
      <c r="DY733" s="1486"/>
      <c r="DZ733" s="1486">
        <f t="shared" si="26"/>
        <v>0</v>
      </c>
      <c r="EA733" s="1486"/>
      <c r="EB733" s="1486"/>
      <c r="EC733" s="1486"/>
      <c r="ED733" s="1486"/>
      <c r="EE733" s="1486">
        <f t="shared" si="27"/>
        <v>0</v>
      </c>
      <c r="EF733" s="1486"/>
      <c r="EG733" s="1486"/>
      <c r="EH733" s="1486"/>
      <c r="EI733" s="1486"/>
      <c r="EJ733" s="1486">
        <f t="shared" si="28"/>
        <v>0</v>
      </c>
      <c r="EK733" s="1486"/>
      <c r="EL733" s="1486"/>
      <c r="EM733" s="1486"/>
      <c r="EN733" s="1486"/>
      <c r="EO733" s="1486">
        <f t="shared" si="29"/>
        <v>0</v>
      </c>
      <c r="EP733" s="1486"/>
      <c r="EQ733" s="1486"/>
      <c r="ER733" s="1486"/>
      <c r="ES733" s="1486"/>
      <c r="ET733" s="1486">
        <f t="shared" si="30"/>
        <v>0</v>
      </c>
      <c r="EU733" s="1486"/>
      <c r="EV733" s="1486"/>
      <c r="EW733" s="1486"/>
      <c r="EX733" s="1486"/>
      <c r="EZ733" s="1512" t="str">
        <f t="shared" si="31"/>
        <v/>
      </c>
      <c r="FA733" s="1513"/>
      <c r="FB733" s="1513"/>
      <c r="FC733" s="1513"/>
      <c r="FD733" s="1514"/>
      <c r="FE733" s="1512" t="str">
        <f t="shared" si="32"/>
        <v/>
      </c>
      <c r="FF733" s="1513"/>
      <c r="FG733" s="1513"/>
      <c r="FH733" s="1513"/>
      <c r="FI733" s="1514"/>
      <c r="FJ733" s="1512" t="str">
        <f t="shared" si="33"/>
        <v/>
      </c>
      <c r="FK733" s="1513"/>
      <c r="FL733" s="1513"/>
      <c r="FM733" s="1513"/>
      <c r="FN733" s="1514"/>
      <c r="FO733" s="1512" t="str">
        <f t="shared" si="34"/>
        <v/>
      </c>
      <c r="FP733" s="1513"/>
      <c r="FQ733" s="1513"/>
      <c r="FR733" s="1513"/>
      <c r="FS733" s="1514"/>
      <c r="FT733" s="1512" t="str">
        <f t="shared" si="35"/>
        <v/>
      </c>
      <c r="FU733" s="1513"/>
      <c r="FV733" s="1513"/>
      <c r="FW733" s="1513"/>
      <c r="FX733" s="1514"/>
      <c r="FY733" s="1512" t="str">
        <f t="shared" si="36"/>
        <v/>
      </c>
      <c r="FZ733" s="1513"/>
      <c r="GA733" s="1513"/>
      <c r="GB733" s="1513"/>
      <c r="GC733" s="1514"/>
    </row>
    <row r="734" spans="1:185" ht="13.05" customHeight="1">
      <c r="B734" s="1383"/>
      <c r="C734" s="1384"/>
      <c r="D734" s="1384"/>
      <c r="E734" s="1384"/>
      <c r="F734" s="1385"/>
      <c r="G734" s="1366"/>
      <c r="H734" s="1367"/>
      <c r="I734" s="1367"/>
      <c r="J734" s="1368"/>
      <c r="K734" s="1363"/>
      <c r="L734" s="1364"/>
      <c r="M734" s="1364"/>
      <c r="N734" s="1365"/>
      <c r="O734" s="1392"/>
      <c r="P734" s="1393"/>
      <c r="Q734" s="1393"/>
      <c r="R734" s="1393"/>
      <c r="S734" s="1394"/>
      <c r="T734" s="1392"/>
      <c r="U734" s="1393"/>
      <c r="V734" s="1393"/>
      <c r="W734" s="1394"/>
      <c r="X734" s="1395">
        <f t="shared" si="9"/>
        <v>0</v>
      </c>
      <c r="Y734" s="1396"/>
      <c r="Z734" s="1396"/>
      <c r="AA734" s="1396"/>
      <c r="AB734" s="1397"/>
      <c r="AC734" s="1452"/>
      <c r="AD734" s="1453"/>
      <c r="AE734" s="1453"/>
      <c r="AF734" s="1453"/>
      <c r="AG734" s="1454"/>
      <c r="AH734" s="1401" t="str">
        <f t="shared" si="37"/>
        <v/>
      </c>
      <c r="AI734" s="1402"/>
      <c r="AJ734" s="1403"/>
      <c r="AK734" s="1383" t="s">
        <v>591</v>
      </c>
      <c r="AL734" s="1384"/>
      <c r="AM734" s="1384"/>
      <c r="AN734" s="1384"/>
      <c r="AO734" s="1385"/>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512">
        <f t="shared" si="38"/>
        <v>0</v>
      </c>
      <c r="CH734" s="1514"/>
      <c r="CI734" s="1518">
        <f t="shared" si="39"/>
        <v>0</v>
      </c>
      <c r="CJ734" s="1520"/>
      <c r="CK734" s="1512">
        <f t="shared" si="17"/>
        <v>0</v>
      </c>
      <c r="CL734" s="1514"/>
      <c r="CM734" s="1518">
        <f t="shared" si="18"/>
        <v>0</v>
      </c>
      <c r="CN734" s="1520"/>
      <c r="CO734" s="3"/>
      <c r="CP734" s="1515">
        <f t="shared" si="19"/>
        <v>0</v>
      </c>
      <c r="CQ734" s="1516"/>
      <c r="CR734" s="1516"/>
      <c r="CS734" s="1516"/>
      <c r="CT734" s="1517"/>
      <c r="CU734" s="1485">
        <f t="shared" si="20"/>
        <v>0</v>
      </c>
      <c r="CV734" s="1485"/>
      <c r="CW734" s="1485"/>
      <c r="CX734" s="1485"/>
      <c r="CY734" s="1485"/>
      <c r="CZ734" s="1485">
        <f t="shared" si="21"/>
        <v>0</v>
      </c>
      <c r="DA734" s="1485"/>
      <c r="DB734" s="1485"/>
      <c r="DC734" s="1485"/>
      <c r="DD734" s="1485"/>
      <c r="DE734" s="1485">
        <f t="shared" si="22"/>
        <v>0</v>
      </c>
      <c r="DF734" s="1485"/>
      <c r="DG734" s="1485"/>
      <c r="DH734" s="1485"/>
      <c r="DI734" s="1485"/>
      <c r="DJ734" s="1485">
        <f t="shared" si="23"/>
        <v>0</v>
      </c>
      <c r="DK734" s="1485"/>
      <c r="DL734" s="1485"/>
      <c r="DM734" s="1485"/>
      <c r="DN734" s="1485"/>
      <c r="DO734" s="1485">
        <f t="shared" si="24"/>
        <v>0</v>
      </c>
      <c r="DP734" s="1485"/>
      <c r="DQ734" s="1485"/>
      <c r="DR734" s="1485"/>
      <c r="DS734" s="1485"/>
      <c r="DT734" s="6"/>
      <c r="DU734" s="1486">
        <f t="shared" si="25"/>
        <v>0</v>
      </c>
      <c r="DV734" s="1486"/>
      <c r="DW734" s="1486"/>
      <c r="DX734" s="1486"/>
      <c r="DY734" s="1486"/>
      <c r="DZ734" s="1486">
        <f t="shared" si="26"/>
        <v>0</v>
      </c>
      <c r="EA734" s="1486"/>
      <c r="EB734" s="1486"/>
      <c r="EC734" s="1486"/>
      <c r="ED734" s="1486"/>
      <c r="EE734" s="1486">
        <f t="shared" si="27"/>
        <v>0</v>
      </c>
      <c r="EF734" s="1486"/>
      <c r="EG734" s="1486"/>
      <c r="EH734" s="1486"/>
      <c r="EI734" s="1486"/>
      <c r="EJ734" s="1486">
        <f t="shared" si="28"/>
        <v>0</v>
      </c>
      <c r="EK734" s="1486"/>
      <c r="EL734" s="1486"/>
      <c r="EM734" s="1486"/>
      <c r="EN734" s="1486"/>
      <c r="EO734" s="1486">
        <f t="shared" si="29"/>
        <v>0</v>
      </c>
      <c r="EP734" s="1486"/>
      <c r="EQ734" s="1486"/>
      <c r="ER734" s="1486"/>
      <c r="ES734" s="1486"/>
      <c r="ET734" s="1486">
        <f t="shared" si="30"/>
        <v>0</v>
      </c>
      <c r="EU734" s="1486"/>
      <c r="EV734" s="1486"/>
      <c r="EW734" s="1486"/>
      <c r="EX734" s="1486"/>
      <c r="EZ734" s="1512" t="str">
        <f t="shared" si="31"/>
        <v/>
      </c>
      <c r="FA734" s="1513"/>
      <c r="FB734" s="1513"/>
      <c r="FC734" s="1513"/>
      <c r="FD734" s="1514"/>
      <c r="FE734" s="1512" t="str">
        <f t="shared" si="32"/>
        <v/>
      </c>
      <c r="FF734" s="1513"/>
      <c r="FG734" s="1513"/>
      <c r="FH734" s="1513"/>
      <c r="FI734" s="1514"/>
      <c r="FJ734" s="1512" t="str">
        <f t="shared" si="33"/>
        <v/>
      </c>
      <c r="FK734" s="1513"/>
      <c r="FL734" s="1513"/>
      <c r="FM734" s="1513"/>
      <c r="FN734" s="1514"/>
      <c r="FO734" s="1512" t="str">
        <f t="shared" si="34"/>
        <v/>
      </c>
      <c r="FP734" s="1513"/>
      <c r="FQ734" s="1513"/>
      <c r="FR734" s="1513"/>
      <c r="FS734" s="1514"/>
      <c r="FT734" s="1512" t="str">
        <f t="shared" si="35"/>
        <v/>
      </c>
      <c r="FU734" s="1513"/>
      <c r="FV734" s="1513"/>
      <c r="FW734" s="1513"/>
      <c r="FX734" s="1514"/>
      <c r="FY734" s="1512" t="str">
        <f t="shared" si="36"/>
        <v/>
      </c>
      <c r="FZ734" s="1513"/>
      <c r="GA734" s="1513"/>
      <c r="GB734" s="1513"/>
      <c r="GC734" s="1514"/>
    </row>
    <row r="735" spans="1:185" ht="13.05" customHeight="1">
      <c r="B735" s="1383"/>
      <c r="C735" s="1384"/>
      <c r="D735" s="1384"/>
      <c r="E735" s="1384"/>
      <c r="F735" s="1385"/>
      <c r="G735" s="1366"/>
      <c r="H735" s="1367"/>
      <c r="I735" s="1367"/>
      <c r="J735" s="1368"/>
      <c r="K735" s="1363"/>
      <c r="L735" s="1364"/>
      <c r="M735" s="1364"/>
      <c r="N735" s="1365"/>
      <c r="O735" s="1392"/>
      <c r="P735" s="1393"/>
      <c r="Q735" s="1393"/>
      <c r="R735" s="1393"/>
      <c r="S735" s="1394"/>
      <c r="T735" s="1392"/>
      <c r="U735" s="1393"/>
      <c r="V735" s="1393"/>
      <c r="W735" s="1394"/>
      <c r="X735" s="1395">
        <f t="shared" si="9"/>
        <v>0</v>
      </c>
      <c r="Y735" s="1396"/>
      <c r="Z735" s="1396"/>
      <c r="AA735" s="1396"/>
      <c r="AB735" s="1397"/>
      <c r="AC735" s="1452"/>
      <c r="AD735" s="1453"/>
      <c r="AE735" s="1453"/>
      <c r="AF735" s="1453"/>
      <c r="AG735" s="1454"/>
      <c r="AH735" s="1401" t="str">
        <f t="shared" si="37"/>
        <v/>
      </c>
      <c r="AI735" s="1402"/>
      <c r="AJ735" s="1403"/>
      <c r="AK735" s="1383" t="s">
        <v>591</v>
      </c>
      <c r="AL735" s="1384"/>
      <c r="AM735" s="1384"/>
      <c r="AN735" s="1384"/>
      <c r="AO735" s="1385"/>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512">
        <f t="shared" si="38"/>
        <v>0</v>
      </c>
      <c r="CH735" s="1514"/>
      <c r="CI735" s="1518">
        <f t="shared" si="39"/>
        <v>0</v>
      </c>
      <c r="CJ735" s="1520"/>
      <c r="CK735" s="1512">
        <f t="shared" si="17"/>
        <v>0</v>
      </c>
      <c r="CL735" s="1514"/>
      <c r="CM735" s="1518">
        <f t="shared" si="18"/>
        <v>0</v>
      </c>
      <c r="CN735" s="1520"/>
      <c r="CO735" s="3"/>
      <c r="CP735" s="1515">
        <f t="shared" si="19"/>
        <v>0</v>
      </c>
      <c r="CQ735" s="1516"/>
      <c r="CR735" s="1516"/>
      <c r="CS735" s="1516"/>
      <c r="CT735" s="1517"/>
      <c r="CU735" s="1485">
        <f t="shared" si="20"/>
        <v>0</v>
      </c>
      <c r="CV735" s="1485"/>
      <c r="CW735" s="1485"/>
      <c r="CX735" s="1485"/>
      <c r="CY735" s="1485"/>
      <c r="CZ735" s="1485">
        <f t="shared" si="21"/>
        <v>0</v>
      </c>
      <c r="DA735" s="1485"/>
      <c r="DB735" s="1485"/>
      <c r="DC735" s="1485"/>
      <c r="DD735" s="1485"/>
      <c r="DE735" s="1485">
        <f t="shared" si="22"/>
        <v>0</v>
      </c>
      <c r="DF735" s="1485"/>
      <c r="DG735" s="1485"/>
      <c r="DH735" s="1485"/>
      <c r="DI735" s="1485"/>
      <c r="DJ735" s="1485">
        <f t="shared" si="23"/>
        <v>0</v>
      </c>
      <c r="DK735" s="1485"/>
      <c r="DL735" s="1485"/>
      <c r="DM735" s="1485"/>
      <c r="DN735" s="1485"/>
      <c r="DO735" s="1485">
        <f t="shared" si="24"/>
        <v>0</v>
      </c>
      <c r="DP735" s="1485"/>
      <c r="DQ735" s="1485"/>
      <c r="DR735" s="1485"/>
      <c r="DS735" s="1485"/>
      <c r="DT735" s="6"/>
      <c r="DU735" s="1486">
        <f t="shared" si="25"/>
        <v>0</v>
      </c>
      <c r="DV735" s="1486"/>
      <c r="DW735" s="1486"/>
      <c r="DX735" s="1486"/>
      <c r="DY735" s="1486"/>
      <c r="DZ735" s="1486">
        <f t="shared" si="26"/>
        <v>0</v>
      </c>
      <c r="EA735" s="1486"/>
      <c r="EB735" s="1486"/>
      <c r="EC735" s="1486"/>
      <c r="ED735" s="1486"/>
      <c r="EE735" s="1486">
        <f t="shared" si="27"/>
        <v>0</v>
      </c>
      <c r="EF735" s="1486"/>
      <c r="EG735" s="1486"/>
      <c r="EH735" s="1486"/>
      <c r="EI735" s="1486"/>
      <c r="EJ735" s="1486">
        <f t="shared" si="28"/>
        <v>0</v>
      </c>
      <c r="EK735" s="1486"/>
      <c r="EL735" s="1486"/>
      <c r="EM735" s="1486"/>
      <c r="EN735" s="1486"/>
      <c r="EO735" s="1486">
        <f t="shared" si="29"/>
        <v>0</v>
      </c>
      <c r="EP735" s="1486"/>
      <c r="EQ735" s="1486"/>
      <c r="ER735" s="1486"/>
      <c r="ES735" s="1486"/>
      <c r="ET735" s="1486">
        <f t="shared" si="30"/>
        <v>0</v>
      </c>
      <c r="EU735" s="1486"/>
      <c r="EV735" s="1486"/>
      <c r="EW735" s="1486"/>
      <c r="EX735" s="1486"/>
      <c r="EZ735" s="1512" t="str">
        <f t="shared" si="31"/>
        <v/>
      </c>
      <c r="FA735" s="1513"/>
      <c r="FB735" s="1513"/>
      <c r="FC735" s="1513"/>
      <c r="FD735" s="1514"/>
      <c r="FE735" s="1512" t="str">
        <f t="shared" si="32"/>
        <v/>
      </c>
      <c r="FF735" s="1513"/>
      <c r="FG735" s="1513"/>
      <c r="FH735" s="1513"/>
      <c r="FI735" s="1514"/>
      <c r="FJ735" s="1512" t="str">
        <f t="shared" si="33"/>
        <v/>
      </c>
      <c r="FK735" s="1513"/>
      <c r="FL735" s="1513"/>
      <c r="FM735" s="1513"/>
      <c r="FN735" s="1514"/>
      <c r="FO735" s="1512" t="str">
        <f t="shared" si="34"/>
        <v/>
      </c>
      <c r="FP735" s="1513"/>
      <c r="FQ735" s="1513"/>
      <c r="FR735" s="1513"/>
      <c r="FS735" s="1514"/>
      <c r="FT735" s="1512" t="str">
        <f t="shared" si="35"/>
        <v/>
      </c>
      <c r="FU735" s="1513"/>
      <c r="FV735" s="1513"/>
      <c r="FW735" s="1513"/>
      <c r="FX735" s="1514"/>
      <c r="FY735" s="1512" t="str">
        <f t="shared" si="36"/>
        <v/>
      </c>
      <c r="FZ735" s="1513"/>
      <c r="GA735" s="1513"/>
      <c r="GB735" s="1513"/>
      <c r="GC735" s="1514"/>
    </row>
    <row r="736" spans="1:185" ht="13.05" customHeight="1">
      <c r="B736" s="1383"/>
      <c r="C736" s="1384"/>
      <c r="D736" s="1384"/>
      <c r="E736" s="1384"/>
      <c r="F736" s="1385"/>
      <c r="G736" s="1366"/>
      <c r="H736" s="1367"/>
      <c r="I736" s="1367"/>
      <c r="J736" s="1368"/>
      <c r="K736" s="1363"/>
      <c r="L736" s="1364"/>
      <c r="M736" s="1364"/>
      <c r="N736" s="1365"/>
      <c r="O736" s="1392"/>
      <c r="P736" s="1393"/>
      <c r="Q736" s="1393"/>
      <c r="R736" s="1393"/>
      <c r="S736" s="1394"/>
      <c r="T736" s="1392"/>
      <c r="U736" s="1393"/>
      <c r="V736" s="1393"/>
      <c r="W736" s="1394"/>
      <c r="X736" s="1395">
        <f t="shared" si="9"/>
        <v>0</v>
      </c>
      <c r="Y736" s="1396"/>
      <c r="Z736" s="1396"/>
      <c r="AA736" s="1396"/>
      <c r="AB736" s="1397"/>
      <c r="AC736" s="1452"/>
      <c r="AD736" s="1453"/>
      <c r="AE736" s="1453"/>
      <c r="AF736" s="1453"/>
      <c r="AG736" s="1454"/>
      <c r="AH736" s="1401" t="str">
        <f t="shared" si="37"/>
        <v/>
      </c>
      <c r="AI736" s="1402"/>
      <c r="AJ736" s="1403"/>
      <c r="AK736" s="1383" t="s">
        <v>591</v>
      </c>
      <c r="AL736" s="1384"/>
      <c r="AM736" s="1384"/>
      <c r="AN736" s="1384"/>
      <c r="AO736" s="1385"/>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512">
        <f t="shared" si="38"/>
        <v>0</v>
      </c>
      <c r="CH736" s="1514"/>
      <c r="CI736" s="1518">
        <f t="shared" si="39"/>
        <v>0</v>
      </c>
      <c r="CJ736" s="1520"/>
      <c r="CK736" s="1512">
        <f t="shared" si="17"/>
        <v>0</v>
      </c>
      <c r="CL736" s="1514"/>
      <c r="CM736" s="1518">
        <f t="shared" si="18"/>
        <v>0</v>
      </c>
      <c r="CN736" s="1520"/>
      <c r="CO736" s="3"/>
      <c r="CP736" s="1515">
        <f t="shared" si="19"/>
        <v>0</v>
      </c>
      <c r="CQ736" s="1516"/>
      <c r="CR736" s="1516"/>
      <c r="CS736" s="1516"/>
      <c r="CT736" s="1517"/>
      <c r="CU736" s="1485">
        <f t="shared" si="20"/>
        <v>0</v>
      </c>
      <c r="CV736" s="1485"/>
      <c r="CW736" s="1485"/>
      <c r="CX736" s="1485"/>
      <c r="CY736" s="1485"/>
      <c r="CZ736" s="1485">
        <f t="shared" si="21"/>
        <v>0</v>
      </c>
      <c r="DA736" s="1485"/>
      <c r="DB736" s="1485"/>
      <c r="DC736" s="1485"/>
      <c r="DD736" s="1485"/>
      <c r="DE736" s="1485">
        <f t="shared" si="22"/>
        <v>0</v>
      </c>
      <c r="DF736" s="1485"/>
      <c r="DG736" s="1485"/>
      <c r="DH736" s="1485"/>
      <c r="DI736" s="1485"/>
      <c r="DJ736" s="1485">
        <f t="shared" si="23"/>
        <v>0</v>
      </c>
      <c r="DK736" s="1485"/>
      <c r="DL736" s="1485"/>
      <c r="DM736" s="1485"/>
      <c r="DN736" s="1485"/>
      <c r="DO736" s="1485">
        <f t="shared" si="24"/>
        <v>0</v>
      </c>
      <c r="DP736" s="1485"/>
      <c r="DQ736" s="1485"/>
      <c r="DR736" s="1485"/>
      <c r="DS736" s="1485"/>
      <c r="DT736" s="6"/>
      <c r="DU736" s="1486">
        <f t="shared" si="25"/>
        <v>0</v>
      </c>
      <c r="DV736" s="1486"/>
      <c r="DW736" s="1486"/>
      <c r="DX736" s="1486"/>
      <c r="DY736" s="1486"/>
      <c r="DZ736" s="1486">
        <f t="shared" si="26"/>
        <v>0</v>
      </c>
      <c r="EA736" s="1486"/>
      <c r="EB736" s="1486"/>
      <c r="EC736" s="1486"/>
      <c r="ED736" s="1486"/>
      <c r="EE736" s="1486">
        <f t="shared" si="27"/>
        <v>0</v>
      </c>
      <c r="EF736" s="1486"/>
      <c r="EG736" s="1486"/>
      <c r="EH736" s="1486"/>
      <c r="EI736" s="1486"/>
      <c r="EJ736" s="1486">
        <f t="shared" si="28"/>
        <v>0</v>
      </c>
      <c r="EK736" s="1486"/>
      <c r="EL736" s="1486"/>
      <c r="EM736" s="1486"/>
      <c r="EN736" s="1486"/>
      <c r="EO736" s="1486">
        <f t="shared" si="29"/>
        <v>0</v>
      </c>
      <c r="EP736" s="1486"/>
      <c r="EQ736" s="1486"/>
      <c r="ER736" s="1486"/>
      <c r="ES736" s="1486"/>
      <c r="ET736" s="1486">
        <f t="shared" si="30"/>
        <v>0</v>
      </c>
      <c r="EU736" s="1486"/>
      <c r="EV736" s="1486"/>
      <c r="EW736" s="1486"/>
      <c r="EX736" s="1486"/>
      <c r="EZ736" s="1512" t="str">
        <f t="shared" si="31"/>
        <v/>
      </c>
      <c r="FA736" s="1513"/>
      <c r="FB736" s="1513"/>
      <c r="FC736" s="1513"/>
      <c r="FD736" s="1514"/>
      <c r="FE736" s="1512" t="str">
        <f t="shared" si="32"/>
        <v/>
      </c>
      <c r="FF736" s="1513"/>
      <c r="FG736" s="1513"/>
      <c r="FH736" s="1513"/>
      <c r="FI736" s="1514"/>
      <c r="FJ736" s="1512" t="str">
        <f t="shared" si="33"/>
        <v/>
      </c>
      <c r="FK736" s="1513"/>
      <c r="FL736" s="1513"/>
      <c r="FM736" s="1513"/>
      <c r="FN736" s="1514"/>
      <c r="FO736" s="1512" t="str">
        <f t="shared" si="34"/>
        <v/>
      </c>
      <c r="FP736" s="1513"/>
      <c r="FQ736" s="1513"/>
      <c r="FR736" s="1513"/>
      <c r="FS736" s="1514"/>
      <c r="FT736" s="1512" t="str">
        <f t="shared" si="35"/>
        <v/>
      </c>
      <c r="FU736" s="1513"/>
      <c r="FV736" s="1513"/>
      <c r="FW736" s="1513"/>
      <c r="FX736" s="1514"/>
      <c r="FY736" s="1512" t="str">
        <f t="shared" si="36"/>
        <v/>
      </c>
      <c r="FZ736" s="1513"/>
      <c r="GA736" s="1513"/>
      <c r="GB736" s="1513"/>
      <c r="GC736" s="1514"/>
    </row>
    <row r="737" spans="1:185" ht="13.05" customHeight="1">
      <c r="B737" s="1383"/>
      <c r="C737" s="1384"/>
      <c r="D737" s="1384"/>
      <c r="E737" s="1384"/>
      <c r="F737" s="1385"/>
      <c r="G737" s="1366"/>
      <c r="H737" s="1367"/>
      <c r="I737" s="1367"/>
      <c r="J737" s="1368"/>
      <c r="K737" s="1363"/>
      <c r="L737" s="1364"/>
      <c r="M737" s="1364"/>
      <c r="N737" s="1365"/>
      <c r="O737" s="1392"/>
      <c r="P737" s="1393"/>
      <c r="Q737" s="1393"/>
      <c r="R737" s="1393"/>
      <c r="S737" s="1394"/>
      <c r="T737" s="1392"/>
      <c r="U737" s="1393"/>
      <c r="V737" s="1393"/>
      <c r="W737" s="1394"/>
      <c r="X737" s="1395">
        <f t="shared" si="9"/>
        <v>0</v>
      </c>
      <c r="Y737" s="1396"/>
      <c r="Z737" s="1396"/>
      <c r="AA737" s="1396"/>
      <c r="AB737" s="1397"/>
      <c r="AC737" s="1452"/>
      <c r="AD737" s="1453"/>
      <c r="AE737" s="1453"/>
      <c r="AF737" s="1453"/>
      <c r="AG737" s="1454"/>
      <c r="AH737" s="1401" t="str">
        <f t="shared" si="37"/>
        <v/>
      </c>
      <c r="AI737" s="1402"/>
      <c r="AJ737" s="1403"/>
      <c r="AK737" s="1383" t="s">
        <v>591</v>
      </c>
      <c r="AL737" s="1384"/>
      <c r="AM737" s="1384"/>
      <c r="AN737" s="1384"/>
      <c r="AO737" s="1385"/>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512">
        <f t="shared" si="38"/>
        <v>0</v>
      </c>
      <c r="CH737" s="1514"/>
      <c r="CI737" s="1518">
        <f t="shared" si="39"/>
        <v>0</v>
      </c>
      <c r="CJ737" s="1520"/>
      <c r="CK737" s="1512">
        <f t="shared" si="17"/>
        <v>0</v>
      </c>
      <c r="CL737" s="1514"/>
      <c r="CM737" s="1518">
        <f t="shared" si="18"/>
        <v>0</v>
      </c>
      <c r="CN737" s="1520"/>
      <c r="CO737" s="3"/>
      <c r="CP737" s="1515">
        <f t="shared" si="19"/>
        <v>0</v>
      </c>
      <c r="CQ737" s="1516"/>
      <c r="CR737" s="1516"/>
      <c r="CS737" s="1516"/>
      <c r="CT737" s="1517"/>
      <c r="CU737" s="1485">
        <f t="shared" si="20"/>
        <v>0</v>
      </c>
      <c r="CV737" s="1485"/>
      <c r="CW737" s="1485"/>
      <c r="CX737" s="1485"/>
      <c r="CY737" s="1485"/>
      <c r="CZ737" s="1485">
        <f t="shared" si="21"/>
        <v>0</v>
      </c>
      <c r="DA737" s="1485"/>
      <c r="DB737" s="1485"/>
      <c r="DC737" s="1485"/>
      <c r="DD737" s="1485"/>
      <c r="DE737" s="1485">
        <f t="shared" si="22"/>
        <v>0</v>
      </c>
      <c r="DF737" s="1485"/>
      <c r="DG737" s="1485"/>
      <c r="DH737" s="1485"/>
      <c r="DI737" s="1485"/>
      <c r="DJ737" s="1485">
        <f t="shared" si="23"/>
        <v>0</v>
      </c>
      <c r="DK737" s="1485"/>
      <c r="DL737" s="1485"/>
      <c r="DM737" s="1485"/>
      <c r="DN737" s="1485"/>
      <c r="DO737" s="1485">
        <f t="shared" si="24"/>
        <v>0</v>
      </c>
      <c r="DP737" s="1485"/>
      <c r="DQ737" s="1485"/>
      <c r="DR737" s="1485"/>
      <c r="DS737" s="1485"/>
      <c r="DT737" s="6"/>
      <c r="DU737" s="1486">
        <f t="shared" si="25"/>
        <v>0</v>
      </c>
      <c r="DV737" s="1486"/>
      <c r="DW737" s="1486"/>
      <c r="DX737" s="1486"/>
      <c r="DY737" s="1486"/>
      <c r="DZ737" s="1486">
        <f t="shared" si="26"/>
        <v>0</v>
      </c>
      <c r="EA737" s="1486"/>
      <c r="EB737" s="1486"/>
      <c r="EC737" s="1486"/>
      <c r="ED737" s="1486"/>
      <c r="EE737" s="1486">
        <f t="shared" si="27"/>
        <v>0</v>
      </c>
      <c r="EF737" s="1486"/>
      <c r="EG737" s="1486"/>
      <c r="EH737" s="1486"/>
      <c r="EI737" s="1486"/>
      <c r="EJ737" s="1486">
        <f t="shared" si="28"/>
        <v>0</v>
      </c>
      <c r="EK737" s="1486"/>
      <c r="EL737" s="1486"/>
      <c r="EM737" s="1486"/>
      <c r="EN737" s="1486"/>
      <c r="EO737" s="1486">
        <f t="shared" si="29"/>
        <v>0</v>
      </c>
      <c r="EP737" s="1486"/>
      <c r="EQ737" s="1486"/>
      <c r="ER737" s="1486"/>
      <c r="ES737" s="1486"/>
      <c r="ET737" s="1486">
        <f t="shared" si="30"/>
        <v>0</v>
      </c>
      <c r="EU737" s="1486"/>
      <c r="EV737" s="1486"/>
      <c r="EW737" s="1486"/>
      <c r="EX737" s="1486"/>
      <c r="EZ737" s="1512" t="str">
        <f t="shared" si="31"/>
        <v/>
      </c>
      <c r="FA737" s="1513"/>
      <c r="FB737" s="1513"/>
      <c r="FC737" s="1513"/>
      <c r="FD737" s="1514"/>
      <c r="FE737" s="1512" t="str">
        <f t="shared" si="32"/>
        <v/>
      </c>
      <c r="FF737" s="1513"/>
      <c r="FG737" s="1513"/>
      <c r="FH737" s="1513"/>
      <c r="FI737" s="1514"/>
      <c r="FJ737" s="1512" t="str">
        <f t="shared" si="33"/>
        <v/>
      </c>
      <c r="FK737" s="1513"/>
      <c r="FL737" s="1513"/>
      <c r="FM737" s="1513"/>
      <c r="FN737" s="1514"/>
      <c r="FO737" s="1512" t="str">
        <f t="shared" si="34"/>
        <v/>
      </c>
      <c r="FP737" s="1513"/>
      <c r="FQ737" s="1513"/>
      <c r="FR737" s="1513"/>
      <c r="FS737" s="1514"/>
      <c r="FT737" s="1512" t="str">
        <f t="shared" si="35"/>
        <v/>
      </c>
      <c r="FU737" s="1513"/>
      <c r="FV737" s="1513"/>
      <c r="FW737" s="1513"/>
      <c r="FX737" s="1514"/>
      <c r="FY737" s="1512" t="str">
        <f t="shared" si="36"/>
        <v/>
      </c>
      <c r="FZ737" s="1513"/>
      <c r="GA737" s="1513"/>
      <c r="GB737" s="1513"/>
      <c r="GC737" s="1514"/>
    </row>
    <row r="738" spans="1:185" ht="13.05" customHeight="1">
      <c r="B738" s="1383"/>
      <c r="C738" s="1384"/>
      <c r="D738" s="1384"/>
      <c r="E738" s="1384"/>
      <c r="F738" s="1385"/>
      <c r="G738" s="1366"/>
      <c r="H738" s="1367"/>
      <c r="I738" s="1367"/>
      <c r="J738" s="1368"/>
      <c r="K738" s="1363"/>
      <c r="L738" s="1364"/>
      <c r="M738" s="1364"/>
      <c r="N738" s="1365"/>
      <c r="O738" s="1392"/>
      <c r="P738" s="1393"/>
      <c r="Q738" s="1393"/>
      <c r="R738" s="1393"/>
      <c r="S738" s="1394"/>
      <c r="T738" s="1392"/>
      <c r="U738" s="1393"/>
      <c r="V738" s="1393"/>
      <c r="W738" s="1394"/>
      <c r="X738" s="1395">
        <f t="shared" si="9"/>
        <v>0</v>
      </c>
      <c r="Y738" s="1396"/>
      <c r="Z738" s="1396"/>
      <c r="AA738" s="1396"/>
      <c r="AB738" s="1397"/>
      <c r="AC738" s="1452"/>
      <c r="AD738" s="1453"/>
      <c r="AE738" s="1453"/>
      <c r="AF738" s="1453"/>
      <c r="AG738" s="1454"/>
      <c r="AH738" s="1401" t="str">
        <f t="shared" si="37"/>
        <v/>
      </c>
      <c r="AI738" s="1402"/>
      <c r="AJ738" s="1403"/>
      <c r="AK738" s="1383" t="s">
        <v>591</v>
      </c>
      <c r="AL738" s="1384"/>
      <c r="AM738" s="1384"/>
      <c r="AN738" s="1384"/>
      <c r="AO738" s="1385"/>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512">
        <f t="shared" si="38"/>
        <v>0</v>
      </c>
      <c r="CH738" s="1514"/>
      <c r="CI738" s="1518">
        <f t="shared" si="39"/>
        <v>0</v>
      </c>
      <c r="CJ738" s="1520"/>
      <c r="CK738" s="1512">
        <f t="shared" si="17"/>
        <v>0</v>
      </c>
      <c r="CL738" s="1514"/>
      <c r="CM738" s="1518">
        <f t="shared" si="18"/>
        <v>0</v>
      </c>
      <c r="CN738" s="1520"/>
      <c r="CO738" s="3"/>
      <c r="CP738" s="1515">
        <f t="shared" si="19"/>
        <v>0</v>
      </c>
      <c r="CQ738" s="1516"/>
      <c r="CR738" s="1516"/>
      <c r="CS738" s="1516"/>
      <c r="CT738" s="1517"/>
      <c r="CU738" s="1485">
        <f t="shared" si="20"/>
        <v>0</v>
      </c>
      <c r="CV738" s="1485"/>
      <c r="CW738" s="1485"/>
      <c r="CX738" s="1485"/>
      <c r="CY738" s="1485"/>
      <c r="CZ738" s="1485">
        <f t="shared" si="21"/>
        <v>0</v>
      </c>
      <c r="DA738" s="1485"/>
      <c r="DB738" s="1485"/>
      <c r="DC738" s="1485"/>
      <c r="DD738" s="1485"/>
      <c r="DE738" s="1485">
        <f t="shared" si="22"/>
        <v>0</v>
      </c>
      <c r="DF738" s="1485"/>
      <c r="DG738" s="1485"/>
      <c r="DH738" s="1485"/>
      <c r="DI738" s="1485"/>
      <c r="DJ738" s="1485">
        <f t="shared" si="23"/>
        <v>0</v>
      </c>
      <c r="DK738" s="1485"/>
      <c r="DL738" s="1485"/>
      <c r="DM738" s="1485"/>
      <c r="DN738" s="1485"/>
      <c r="DO738" s="1485">
        <f t="shared" si="24"/>
        <v>0</v>
      </c>
      <c r="DP738" s="1485"/>
      <c r="DQ738" s="1485"/>
      <c r="DR738" s="1485"/>
      <c r="DS738" s="1485"/>
      <c r="DT738" s="6"/>
      <c r="DU738" s="1486">
        <f t="shared" si="25"/>
        <v>0</v>
      </c>
      <c r="DV738" s="1486"/>
      <c r="DW738" s="1486"/>
      <c r="DX738" s="1486"/>
      <c r="DY738" s="1486"/>
      <c r="DZ738" s="1486">
        <f t="shared" si="26"/>
        <v>0</v>
      </c>
      <c r="EA738" s="1486"/>
      <c r="EB738" s="1486"/>
      <c r="EC738" s="1486"/>
      <c r="ED738" s="1486"/>
      <c r="EE738" s="1486">
        <f t="shared" si="27"/>
        <v>0</v>
      </c>
      <c r="EF738" s="1486"/>
      <c r="EG738" s="1486"/>
      <c r="EH738" s="1486"/>
      <c r="EI738" s="1486"/>
      <c r="EJ738" s="1486">
        <f t="shared" si="28"/>
        <v>0</v>
      </c>
      <c r="EK738" s="1486"/>
      <c r="EL738" s="1486"/>
      <c r="EM738" s="1486"/>
      <c r="EN738" s="1486"/>
      <c r="EO738" s="1486">
        <f t="shared" si="29"/>
        <v>0</v>
      </c>
      <c r="EP738" s="1486"/>
      <c r="EQ738" s="1486"/>
      <c r="ER738" s="1486"/>
      <c r="ES738" s="1486"/>
      <c r="ET738" s="1486">
        <f t="shared" si="30"/>
        <v>0</v>
      </c>
      <c r="EU738" s="1486"/>
      <c r="EV738" s="1486"/>
      <c r="EW738" s="1486"/>
      <c r="EX738" s="1486"/>
      <c r="EZ738" s="1512" t="str">
        <f t="shared" si="31"/>
        <v/>
      </c>
      <c r="FA738" s="1513"/>
      <c r="FB738" s="1513"/>
      <c r="FC738" s="1513"/>
      <c r="FD738" s="1514"/>
      <c r="FE738" s="1512" t="str">
        <f t="shared" si="32"/>
        <v/>
      </c>
      <c r="FF738" s="1513"/>
      <c r="FG738" s="1513"/>
      <c r="FH738" s="1513"/>
      <c r="FI738" s="1514"/>
      <c r="FJ738" s="1512" t="str">
        <f t="shared" si="33"/>
        <v/>
      </c>
      <c r="FK738" s="1513"/>
      <c r="FL738" s="1513"/>
      <c r="FM738" s="1513"/>
      <c r="FN738" s="1514"/>
      <c r="FO738" s="1512" t="str">
        <f t="shared" si="34"/>
        <v/>
      </c>
      <c r="FP738" s="1513"/>
      <c r="FQ738" s="1513"/>
      <c r="FR738" s="1513"/>
      <c r="FS738" s="1514"/>
      <c r="FT738" s="1512" t="str">
        <f t="shared" si="35"/>
        <v/>
      </c>
      <c r="FU738" s="1513"/>
      <c r="FV738" s="1513"/>
      <c r="FW738" s="1513"/>
      <c r="FX738" s="1514"/>
      <c r="FY738" s="1512" t="str">
        <f t="shared" si="36"/>
        <v/>
      </c>
      <c r="FZ738" s="1513"/>
      <c r="GA738" s="1513"/>
      <c r="GB738" s="1513"/>
      <c r="GC738" s="1514"/>
    </row>
    <row r="739" spans="1:185" ht="13.05" customHeight="1">
      <c r="B739" s="1383"/>
      <c r="C739" s="1384"/>
      <c r="D739" s="1384"/>
      <c r="E739" s="1384"/>
      <c r="F739" s="1385"/>
      <c r="G739" s="1366"/>
      <c r="H739" s="1367"/>
      <c r="I739" s="1367"/>
      <c r="J739" s="1368"/>
      <c r="K739" s="1363"/>
      <c r="L739" s="1364"/>
      <c r="M739" s="1364"/>
      <c r="N739" s="1365"/>
      <c r="O739" s="1392"/>
      <c r="P739" s="1393"/>
      <c r="Q739" s="1393"/>
      <c r="R739" s="1393"/>
      <c r="S739" s="1394"/>
      <c r="T739" s="1392"/>
      <c r="U739" s="1393"/>
      <c r="V739" s="1393"/>
      <c r="W739" s="1394"/>
      <c r="X739" s="1395">
        <f t="shared" si="9"/>
        <v>0</v>
      </c>
      <c r="Y739" s="1396"/>
      <c r="Z739" s="1396"/>
      <c r="AA739" s="1396"/>
      <c r="AB739" s="1397"/>
      <c r="AC739" s="1452"/>
      <c r="AD739" s="1453"/>
      <c r="AE739" s="1453"/>
      <c r="AF739" s="1453"/>
      <c r="AG739" s="1454"/>
      <c r="AH739" s="1401" t="str">
        <f t="shared" si="37"/>
        <v/>
      </c>
      <c r="AI739" s="1402"/>
      <c r="AJ739" s="1403"/>
      <c r="AK739" s="1383" t="s">
        <v>591</v>
      </c>
      <c r="AL739" s="1384"/>
      <c r="AM739" s="1384"/>
      <c r="AN739" s="1384"/>
      <c r="AO739" s="1385"/>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512">
        <f t="shared" si="38"/>
        <v>0</v>
      </c>
      <c r="CH739" s="1514"/>
      <c r="CI739" s="1518">
        <f t="shared" si="39"/>
        <v>0</v>
      </c>
      <c r="CJ739" s="1520"/>
      <c r="CK739" s="1512">
        <f t="shared" si="17"/>
        <v>0</v>
      </c>
      <c r="CL739" s="1514"/>
      <c r="CM739" s="1518">
        <f t="shared" si="18"/>
        <v>0</v>
      </c>
      <c r="CN739" s="1520"/>
      <c r="CO739" s="3"/>
      <c r="CP739" s="1515">
        <f t="shared" si="19"/>
        <v>0</v>
      </c>
      <c r="CQ739" s="1516"/>
      <c r="CR739" s="1516"/>
      <c r="CS739" s="1516"/>
      <c r="CT739" s="1517"/>
      <c r="CU739" s="1485">
        <f t="shared" si="20"/>
        <v>0</v>
      </c>
      <c r="CV739" s="1485"/>
      <c r="CW739" s="1485"/>
      <c r="CX739" s="1485"/>
      <c r="CY739" s="1485"/>
      <c r="CZ739" s="1485">
        <f t="shared" si="21"/>
        <v>0</v>
      </c>
      <c r="DA739" s="1485"/>
      <c r="DB739" s="1485"/>
      <c r="DC739" s="1485"/>
      <c r="DD739" s="1485"/>
      <c r="DE739" s="1485">
        <f t="shared" si="22"/>
        <v>0</v>
      </c>
      <c r="DF739" s="1485"/>
      <c r="DG739" s="1485"/>
      <c r="DH739" s="1485"/>
      <c r="DI739" s="1485"/>
      <c r="DJ739" s="1485">
        <f t="shared" si="23"/>
        <v>0</v>
      </c>
      <c r="DK739" s="1485"/>
      <c r="DL739" s="1485"/>
      <c r="DM739" s="1485"/>
      <c r="DN739" s="1485"/>
      <c r="DO739" s="1485">
        <f t="shared" si="24"/>
        <v>0</v>
      </c>
      <c r="DP739" s="1485"/>
      <c r="DQ739" s="1485"/>
      <c r="DR739" s="1485"/>
      <c r="DS739" s="1485"/>
      <c r="DT739" s="6"/>
      <c r="DU739" s="1486">
        <f t="shared" si="25"/>
        <v>0</v>
      </c>
      <c r="DV739" s="1486"/>
      <c r="DW739" s="1486"/>
      <c r="DX739" s="1486"/>
      <c r="DY739" s="1486"/>
      <c r="DZ739" s="1486">
        <f t="shared" si="26"/>
        <v>0</v>
      </c>
      <c r="EA739" s="1486"/>
      <c r="EB739" s="1486"/>
      <c r="EC739" s="1486"/>
      <c r="ED739" s="1486"/>
      <c r="EE739" s="1486">
        <f t="shared" si="27"/>
        <v>0</v>
      </c>
      <c r="EF739" s="1486"/>
      <c r="EG739" s="1486"/>
      <c r="EH739" s="1486"/>
      <c r="EI739" s="1486"/>
      <c r="EJ739" s="1486">
        <f t="shared" si="28"/>
        <v>0</v>
      </c>
      <c r="EK739" s="1486"/>
      <c r="EL739" s="1486"/>
      <c r="EM739" s="1486"/>
      <c r="EN739" s="1486"/>
      <c r="EO739" s="1486">
        <f t="shared" si="29"/>
        <v>0</v>
      </c>
      <c r="EP739" s="1486"/>
      <c r="EQ739" s="1486"/>
      <c r="ER739" s="1486"/>
      <c r="ES739" s="1486"/>
      <c r="ET739" s="1486">
        <f t="shared" si="30"/>
        <v>0</v>
      </c>
      <c r="EU739" s="1486"/>
      <c r="EV739" s="1486"/>
      <c r="EW739" s="1486"/>
      <c r="EX739" s="1486"/>
      <c r="EZ739" s="1512" t="str">
        <f t="shared" si="31"/>
        <v/>
      </c>
      <c r="FA739" s="1513"/>
      <c r="FB739" s="1513"/>
      <c r="FC739" s="1513"/>
      <c r="FD739" s="1514"/>
      <c r="FE739" s="1512" t="str">
        <f t="shared" si="32"/>
        <v/>
      </c>
      <c r="FF739" s="1513"/>
      <c r="FG739" s="1513"/>
      <c r="FH739" s="1513"/>
      <c r="FI739" s="1514"/>
      <c r="FJ739" s="1512" t="str">
        <f t="shared" si="33"/>
        <v/>
      </c>
      <c r="FK739" s="1513"/>
      <c r="FL739" s="1513"/>
      <c r="FM739" s="1513"/>
      <c r="FN739" s="1514"/>
      <c r="FO739" s="1512" t="str">
        <f t="shared" si="34"/>
        <v/>
      </c>
      <c r="FP739" s="1513"/>
      <c r="FQ739" s="1513"/>
      <c r="FR739" s="1513"/>
      <c r="FS739" s="1514"/>
      <c r="FT739" s="1512" t="str">
        <f t="shared" si="35"/>
        <v/>
      </c>
      <c r="FU739" s="1513"/>
      <c r="FV739" s="1513"/>
      <c r="FW739" s="1513"/>
      <c r="FX739" s="1514"/>
      <c r="FY739" s="1512" t="str">
        <f t="shared" si="36"/>
        <v/>
      </c>
      <c r="FZ739" s="1513"/>
      <c r="GA739" s="1513"/>
      <c r="GB739" s="1513"/>
      <c r="GC739" s="1514"/>
    </row>
    <row r="740" spans="1:185" ht="13.05" customHeight="1">
      <c r="B740" s="1383"/>
      <c r="C740" s="1384"/>
      <c r="D740" s="1384"/>
      <c r="E740" s="1384"/>
      <c r="F740" s="1385"/>
      <c r="G740" s="1366"/>
      <c r="H740" s="1367"/>
      <c r="I740" s="1367"/>
      <c r="J740" s="1368"/>
      <c r="K740" s="1363"/>
      <c r="L740" s="1364"/>
      <c r="M740" s="1364"/>
      <c r="N740" s="1365"/>
      <c r="O740" s="1392"/>
      <c r="P740" s="1393"/>
      <c r="Q740" s="1393"/>
      <c r="R740" s="1393"/>
      <c r="S740" s="1394"/>
      <c r="T740" s="1392"/>
      <c r="U740" s="1393"/>
      <c r="V740" s="1393"/>
      <c r="W740" s="1394"/>
      <c r="X740" s="1395">
        <f t="shared" si="9"/>
        <v>0</v>
      </c>
      <c r="Y740" s="1396"/>
      <c r="Z740" s="1396"/>
      <c r="AA740" s="1396"/>
      <c r="AB740" s="1397"/>
      <c r="AC740" s="1452"/>
      <c r="AD740" s="1453"/>
      <c r="AE740" s="1453"/>
      <c r="AF740" s="1453"/>
      <c r="AG740" s="1454"/>
      <c r="AH740" s="1401" t="str">
        <f t="shared" si="37"/>
        <v/>
      </c>
      <c r="AI740" s="1402"/>
      <c r="AJ740" s="1403"/>
      <c r="AK740" s="1383" t="s">
        <v>591</v>
      </c>
      <c r="AL740" s="1384"/>
      <c r="AM740" s="1384"/>
      <c r="AN740" s="1384"/>
      <c r="AO740" s="1385"/>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512">
        <f t="shared" si="38"/>
        <v>0</v>
      </c>
      <c r="CH740" s="1514"/>
      <c r="CI740" s="1518">
        <f t="shared" si="39"/>
        <v>0</v>
      </c>
      <c r="CJ740" s="1520"/>
      <c r="CK740" s="1512">
        <f t="shared" si="17"/>
        <v>0</v>
      </c>
      <c r="CL740" s="1514"/>
      <c r="CM740" s="1518">
        <f t="shared" si="18"/>
        <v>0</v>
      </c>
      <c r="CN740" s="1520"/>
      <c r="CO740" s="3"/>
      <c r="CP740" s="1515">
        <f t="shared" si="19"/>
        <v>0</v>
      </c>
      <c r="CQ740" s="1516"/>
      <c r="CR740" s="1516"/>
      <c r="CS740" s="1516"/>
      <c r="CT740" s="1517"/>
      <c r="CU740" s="1485">
        <f t="shared" si="20"/>
        <v>0</v>
      </c>
      <c r="CV740" s="1485"/>
      <c r="CW740" s="1485"/>
      <c r="CX740" s="1485"/>
      <c r="CY740" s="1485"/>
      <c r="CZ740" s="1485">
        <f t="shared" si="21"/>
        <v>0</v>
      </c>
      <c r="DA740" s="1485"/>
      <c r="DB740" s="1485"/>
      <c r="DC740" s="1485"/>
      <c r="DD740" s="1485"/>
      <c r="DE740" s="1485">
        <f t="shared" si="22"/>
        <v>0</v>
      </c>
      <c r="DF740" s="1485"/>
      <c r="DG740" s="1485"/>
      <c r="DH740" s="1485"/>
      <c r="DI740" s="1485"/>
      <c r="DJ740" s="1485">
        <f t="shared" si="23"/>
        <v>0</v>
      </c>
      <c r="DK740" s="1485"/>
      <c r="DL740" s="1485"/>
      <c r="DM740" s="1485"/>
      <c r="DN740" s="1485"/>
      <c r="DO740" s="1485">
        <f t="shared" si="24"/>
        <v>0</v>
      </c>
      <c r="DP740" s="1485"/>
      <c r="DQ740" s="1485"/>
      <c r="DR740" s="1485"/>
      <c r="DS740" s="1485"/>
      <c r="DT740" s="6"/>
      <c r="DU740" s="1486">
        <f t="shared" si="25"/>
        <v>0</v>
      </c>
      <c r="DV740" s="1486"/>
      <c r="DW740" s="1486"/>
      <c r="DX740" s="1486"/>
      <c r="DY740" s="1486"/>
      <c r="DZ740" s="1486">
        <f t="shared" si="26"/>
        <v>0</v>
      </c>
      <c r="EA740" s="1486"/>
      <c r="EB740" s="1486"/>
      <c r="EC740" s="1486"/>
      <c r="ED740" s="1486"/>
      <c r="EE740" s="1486">
        <f t="shared" si="27"/>
        <v>0</v>
      </c>
      <c r="EF740" s="1486"/>
      <c r="EG740" s="1486"/>
      <c r="EH740" s="1486"/>
      <c r="EI740" s="1486"/>
      <c r="EJ740" s="1486">
        <f t="shared" si="28"/>
        <v>0</v>
      </c>
      <c r="EK740" s="1486"/>
      <c r="EL740" s="1486"/>
      <c r="EM740" s="1486"/>
      <c r="EN740" s="1486"/>
      <c r="EO740" s="1486">
        <f t="shared" si="29"/>
        <v>0</v>
      </c>
      <c r="EP740" s="1486"/>
      <c r="EQ740" s="1486"/>
      <c r="ER740" s="1486"/>
      <c r="ES740" s="1486"/>
      <c r="ET740" s="1486">
        <f t="shared" si="30"/>
        <v>0</v>
      </c>
      <c r="EU740" s="1486"/>
      <c r="EV740" s="1486"/>
      <c r="EW740" s="1486"/>
      <c r="EX740" s="1486"/>
      <c r="EZ740" s="1512" t="str">
        <f t="shared" si="31"/>
        <v/>
      </c>
      <c r="FA740" s="1513"/>
      <c r="FB740" s="1513"/>
      <c r="FC740" s="1513"/>
      <c r="FD740" s="1514"/>
      <c r="FE740" s="1512" t="str">
        <f t="shared" si="32"/>
        <v/>
      </c>
      <c r="FF740" s="1513"/>
      <c r="FG740" s="1513"/>
      <c r="FH740" s="1513"/>
      <c r="FI740" s="1514"/>
      <c r="FJ740" s="1512" t="str">
        <f t="shared" si="33"/>
        <v/>
      </c>
      <c r="FK740" s="1513"/>
      <c r="FL740" s="1513"/>
      <c r="FM740" s="1513"/>
      <c r="FN740" s="1514"/>
      <c r="FO740" s="1512" t="str">
        <f t="shared" si="34"/>
        <v/>
      </c>
      <c r="FP740" s="1513"/>
      <c r="FQ740" s="1513"/>
      <c r="FR740" s="1513"/>
      <c r="FS740" s="1514"/>
      <c r="FT740" s="1512" t="str">
        <f t="shared" si="35"/>
        <v/>
      </c>
      <c r="FU740" s="1513"/>
      <c r="FV740" s="1513"/>
      <c r="FW740" s="1513"/>
      <c r="FX740" s="1514"/>
      <c r="FY740" s="1512" t="str">
        <f t="shared" si="36"/>
        <v/>
      </c>
      <c r="FZ740" s="1513"/>
      <c r="GA740" s="1513"/>
      <c r="GB740" s="1513"/>
      <c r="GC740" s="1514"/>
    </row>
    <row r="741" spans="1:185" ht="13.05" customHeight="1">
      <c r="B741" s="1383"/>
      <c r="C741" s="1384"/>
      <c r="D741" s="1384"/>
      <c r="E741" s="1384"/>
      <c r="F741" s="1385"/>
      <c r="G741" s="1366"/>
      <c r="H741" s="1367"/>
      <c r="I741" s="1367"/>
      <c r="J741" s="1368"/>
      <c r="K741" s="1363"/>
      <c r="L741" s="1364"/>
      <c r="M741" s="1364"/>
      <c r="N741" s="1365"/>
      <c r="O741" s="1392"/>
      <c r="P741" s="1393"/>
      <c r="Q741" s="1393"/>
      <c r="R741" s="1393"/>
      <c r="S741" s="1394"/>
      <c r="T741" s="1392"/>
      <c r="U741" s="1393"/>
      <c r="V741" s="1393"/>
      <c r="W741" s="1394"/>
      <c r="X741" s="1395">
        <f t="shared" si="9"/>
        <v>0</v>
      </c>
      <c r="Y741" s="1396"/>
      <c r="Z741" s="1396"/>
      <c r="AA741" s="1396"/>
      <c r="AB741" s="1397"/>
      <c r="AC741" s="1452"/>
      <c r="AD741" s="1453"/>
      <c r="AE741" s="1453"/>
      <c r="AF741" s="1453"/>
      <c r="AG741" s="1454"/>
      <c r="AH741" s="1401" t="str">
        <f t="shared" si="37"/>
        <v/>
      </c>
      <c r="AI741" s="1402"/>
      <c r="AJ741" s="1403"/>
      <c r="AK741" s="1383" t="s">
        <v>591</v>
      </c>
      <c r="AL741" s="1384"/>
      <c r="AM741" s="1384"/>
      <c r="AN741" s="1384"/>
      <c r="AO741" s="1385"/>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512">
        <f t="shared" si="38"/>
        <v>0</v>
      </c>
      <c r="CH741" s="1514"/>
      <c r="CI741" s="1518">
        <f t="shared" si="39"/>
        <v>0</v>
      </c>
      <c r="CJ741" s="1520"/>
      <c r="CK741" s="1512">
        <f t="shared" si="17"/>
        <v>0</v>
      </c>
      <c r="CL741" s="1514"/>
      <c r="CM741" s="1518">
        <f t="shared" si="18"/>
        <v>0</v>
      </c>
      <c r="CN741" s="1520"/>
      <c r="CO741" s="3"/>
      <c r="CP741" s="1515">
        <f t="shared" si="19"/>
        <v>0</v>
      </c>
      <c r="CQ741" s="1516"/>
      <c r="CR741" s="1516"/>
      <c r="CS741" s="1516"/>
      <c r="CT741" s="1517"/>
      <c r="CU741" s="1485">
        <f t="shared" si="20"/>
        <v>0</v>
      </c>
      <c r="CV741" s="1485"/>
      <c r="CW741" s="1485"/>
      <c r="CX741" s="1485"/>
      <c r="CY741" s="1485"/>
      <c r="CZ741" s="1485">
        <f t="shared" si="21"/>
        <v>0</v>
      </c>
      <c r="DA741" s="1485"/>
      <c r="DB741" s="1485"/>
      <c r="DC741" s="1485"/>
      <c r="DD741" s="1485"/>
      <c r="DE741" s="1485">
        <f t="shared" si="22"/>
        <v>0</v>
      </c>
      <c r="DF741" s="1485"/>
      <c r="DG741" s="1485"/>
      <c r="DH741" s="1485"/>
      <c r="DI741" s="1485"/>
      <c r="DJ741" s="1485">
        <f t="shared" si="23"/>
        <v>0</v>
      </c>
      <c r="DK741" s="1485"/>
      <c r="DL741" s="1485"/>
      <c r="DM741" s="1485"/>
      <c r="DN741" s="1485"/>
      <c r="DO741" s="1485">
        <f t="shared" si="24"/>
        <v>0</v>
      </c>
      <c r="DP741" s="1485"/>
      <c r="DQ741" s="1485"/>
      <c r="DR741" s="1485"/>
      <c r="DS741" s="1485"/>
      <c r="DT741" s="6"/>
      <c r="DU741" s="1486">
        <f t="shared" si="25"/>
        <v>0</v>
      </c>
      <c r="DV741" s="1486"/>
      <c r="DW741" s="1486"/>
      <c r="DX741" s="1486"/>
      <c r="DY741" s="1486"/>
      <c r="DZ741" s="1486">
        <f t="shared" si="26"/>
        <v>0</v>
      </c>
      <c r="EA741" s="1486"/>
      <c r="EB741" s="1486"/>
      <c r="EC741" s="1486"/>
      <c r="ED741" s="1486"/>
      <c r="EE741" s="1486">
        <f t="shared" si="27"/>
        <v>0</v>
      </c>
      <c r="EF741" s="1486"/>
      <c r="EG741" s="1486"/>
      <c r="EH741" s="1486"/>
      <c r="EI741" s="1486"/>
      <c r="EJ741" s="1486">
        <f t="shared" si="28"/>
        <v>0</v>
      </c>
      <c r="EK741" s="1486"/>
      <c r="EL741" s="1486"/>
      <c r="EM741" s="1486"/>
      <c r="EN741" s="1486"/>
      <c r="EO741" s="1486">
        <f t="shared" si="29"/>
        <v>0</v>
      </c>
      <c r="EP741" s="1486"/>
      <c r="EQ741" s="1486"/>
      <c r="ER741" s="1486"/>
      <c r="ES741" s="1486"/>
      <c r="ET741" s="1486">
        <f t="shared" si="30"/>
        <v>0</v>
      </c>
      <c r="EU741" s="1486"/>
      <c r="EV741" s="1486"/>
      <c r="EW741" s="1486"/>
      <c r="EX741" s="1486"/>
      <c r="EZ741" s="1512" t="str">
        <f t="shared" si="31"/>
        <v/>
      </c>
      <c r="FA741" s="1513"/>
      <c r="FB741" s="1513"/>
      <c r="FC741" s="1513"/>
      <c r="FD741" s="1514"/>
      <c r="FE741" s="1512" t="str">
        <f t="shared" si="32"/>
        <v/>
      </c>
      <c r="FF741" s="1513"/>
      <c r="FG741" s="1513"/>
      <c r="FH741" s="1513"/>
      <c r="FI741" s="1514"/>
      <c r="FJ741" s="1512" t="str">
        <f t="shared" si="33"/>
        <v/>
      </c>
      <c r="FK741" s="1513"/>
      <c r="FL741" s="1513"/>
      <c r="FM741" s="1513"/>
      <c r="FN741" s="1514"/>
      <c r="FO741" s="1512" t="str">
        <f t="shared" si="34"/>
        <v/>
      </c>
      <c r="FP741" s="1513"/>
      <c r="FQ741" s="1513"/>
      <c r="FR741" s="1513"/>
      <c r="FS741" s="1514"/>
      <c r="FT741" s="1512" t="str">
        <f t="shared" si="35"/>
        <v/>
      </c>
      <c r="FU741" s="1513"/>
      <c r="FV741" s="1513"/>
      <c r="FW741" s="1513"/>
      <c r="FX741" s="1514"/>
      <c r="FY741" s="1512" t="str">
        <f t="shared" si="36"/>
        <v/>
      </c>
      <c r="FZ741" s="1513"/>
      <c r="GA741" s="1513"/>
      <c r="GB741" s="1513"/>
      <c r="GC741" s="1514"/>
    </row>
    <row r="742" spans="1:185" ht="13.05" customHeight="1">
      <c r="B742" s="1383"/>
      <c r="C742" s="1384"/>
      <c r="D742" s="1384"/>
      <c r="E742" s="1384"/>
      <c r="F742" s="1385"/>
      <c r="G742" s="1366"/>
      <c r="H742" s="1367"/>
      <c r="I742" s="1367"/>
      <c r="J742" s="1368"/>
      <c r="K742" s="1363"/>
      <c r="L742" s="1364"/>
      <c r="M742" s="1364"/>
      <c r="N742" s="1365"/>
      <c r="O742" s="1392"/>
      <c r="P742" s="1393"/>
      <c r="Q742" s="1393"/>
      <c r="R742" s="1393"/>
      <c r="S742" s="1394"/>
      <c r="T742" s="1392"/>
      <c r="U742" s="1393"/>
      <c r="V742" s="1393"/>
      <c r="W742" s="1394"/>
      <c r="X742" s="1395">
        <f t="shared" ref="X742:X751" si="40">O742+T742</f>
        <v>0</v>
      </c>
      <c r="Y742" s="1396"/>
      <c r="Z742" s="1396"/>
      <c r="AA742" s="1396"/>
      <c r="AB742" s="1397"/>
      <c r="AC742" s="1452"/>
      <c r="AD742" s="1453"/>
      <c r="AE742" s="1453"/>
      <c r="AF742" s="1453"/>
      <c r="AG742" s="1454"/>
      <c r="AH742" s="1401" t="str">
        <f t="shared" si="37"/>
        <v/>
      </c>
      <c r="AI742" s="1402"/>
      <c r="AJ742" s="1403"/>
      <c r="AK742" s="1383" t="s">
        <v>591</v>
      </c>
      <c r="AL742" s="1384"/>
      <c r="AM742" s="1384"/>
      <c r="AN742" s="1384"/>
      <c r="AO742" s="1385"/>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512">
        <f t="shared" si="38"/>
        <v>0</v>
      </c>
      <c r="CH742" s="1514"/>
      <c r="CI742" s="1518">
        <f t="shared" si="39"/>
        <v>0</v>
      </c>
      <c r="CJ742" s="1520"/>
      <c r="CK742" s="1512">
        <f t="shared" si="17"/>
        <v>0</v>
      </c>
      <c r="CL742" s="1514"/>
      <c r="CM742" s="1518">
        <f t="shared" si="18"/>
        <v>0</v>
      </c>
      <c r="CN742" s="1520"/>
      <c r="CO742" s="3"/>
      <c r="CP742" s="1515">
        <f t="shared" si="19"/>
        <v>0</v>
      </c>
      <c r="CQ742" s="1516"/>
      <c r="CR742" s="1516"/>
      <c r="CS742" s="1516"/>
      <c r="CT742" s="1517"/>
      <c r="CU742" s="1485">
        <f t="shared" si="20"/>
        <v>0</v>
      </c>
      <c r="CV742" s="1485"/>
      <c r="CW742" s="1485"/>
      <c r="CX742" s="1485"/>
      <c r="CY742" s="1485"/>
      <c r="CZ742" s="1485">
        <f t="shared" si="21"/>
        <v>0</v>
      </c>
      <c r="DA742" s="1485"/>
      <c r="DB742" s="1485"/>
      <c r="DC742" s="1485"/>
      <c r="DD742" s="1485"/>
      <c r="DE742" s="1485">
        <f t="shared" si="22"/>
        <v>0</v>
      </c>
      <c r="DF742" s="1485"/>
      <c r="DG742" s="1485"/>
      <c r="DH742" s="1485"/>
      <c r="DI742" s="1485"/>
      <c r="DJ742" s="1485">
        <f t="shared" si="23"/>
        <v>0</v>
      </c>
      <c r="DK742" s="1485"/>
      <c r="DL742" s="1485"/>
      <c r="DM742" s="1485"/>
      <c r="DN742" s="1485"/>
      <c r="DO742" s="1485">
        <f t="shared" si="24"/>
        <v>0</v>
      </c>
      <c r="DP742" s="1485"/>
      <c r="DQ742" s="1485"/>
      <c r="DR742" s="1485"/>
      <c r="DS742" s="1485"/>
      <c r="DT742" s="6"/>
      <c r="DU742" s="1486">
        <f t="shared" si="25"/>
        <v>0</v>
      </c>
      <c r="DV742" s="1486"/>
      <c r="DW742" s="1486"/>
      <c r="DX742" s="1486"/>
      <c r="DY742" s="1486"/>
      <c r="DZ742" s="1486">
        <f t="shared" si="26"/>
        <v>0</v>
      </c>
      <c r="EA742" s="1486"/>
      <c r="EB742" s="1486"/>
      <c r="EC742" s="1486"/>
      <c r="ED742" s="1486"/>
      <c r="EE742" s="1486">
        <f t="shared" si="27"/>
        <v>0</v>
      </c>
      <c r="EF742" s="1486"/>
      <c r="EG742" s="1486"/>
      <c r="EH742" s="1486"/>
      <c r="EI742" s="1486"/>
      <c r="EJ742" s="1486">
        <f t="shared" si="28"/>
        <v>0</v>
      </c>
      <c r="EK742" s="1486"/>
      <c r="EL742" s="1486"/>
      <c r="EM742" s="1486"/>
      <c r="EN742" s="1486"/>
      <c r="EO742" s="1486">
        <f t="shared" si="29"/>
        <v>0</v>
      </c>
      <c r="EP742" s="1486"/>
      <c r="EQ742" s="1486"/>
      <c r="ER742" s="1486"/>
      <c r="ES742" s="1486"/>
      <c r="ET742" s="1486">
        <f t="shared" si="30"/>
        <v>0</v>
      </c>
      <c r="EU742" s="1486"/>
      <c r="EV742" s="1486"/>
      <c r="EW742" s="1486"/>
      <c r="EX742" s="1486"/>
      <c r="EZ742" s="1512" t="str">
        <f t="shared" si="31"/>
        <v/>
      </c>
      <c r="FA742" s="1513"/>
      <c r="FB742" s="1513"/>
      <c r="FC742" s="1513"/>
      <c r="FD742" s="1514"/>
      <c r="FE742" s="1512" t="str">
        <f t="shared" si="32"/>
        <v/>
      </c>
      <c r="FF742" s="1513"/>
      <c r="FG742" s="1513"/>
      <c r="FH742" s="1513"/>
      <c r="FI742" s="1514"/>
      <c r="FJ742" s="1512" t="str">
        <f t="shared" si="33"/>
        <v/>
      </c>
      <c r="FK742" s="1513"/>
      <c r="FL742" s="1513"/>
      <c r="FM742" s="1513"/>
      <c r="FN742" s="1514"/>
      <c r="FO742" s="1512" t="str">
        <f t="shared" si="34"/>
        <v/>
      </c>
      <c r="FP742" s="1513"/>
      <c r="FQ742" s="1513"/>
      <c r="FR742" s="1513"/>
      <c r="FS742" s="1514"/>
      <c r="FT742" s="1512" t="str">
        <f t="shared" si="35"/>
        <v/>
      </c>
      <c r="FU742" s="1513"/>
      <c r="FV742" s="1513"/>
      <c r="FW742" s="1513"/>
      <c r="FX742" s="1514"/>
      <c r="FY742" s="1512" t="str">
        <f t="shared" si="36"/>
        <v/>
      </c>
      <c r="FZ742" s="1513"/>
      <c r="GA742" s="1513"/>
      <c r="GB742" s="1513"/>
      <c r="GC742" s="1514"/>
    </row>
    <row r="743" spans="1:185" s="3" customFormat="1" ht="13.05" customHeight="1">
      <c r="A743"/>
      <c r="B743" s="1383"/>
      <c r="C743" s="1384"/>
      <c r="D743" s="1384"/>
      <c r="E743" s="1384"/>
      <c r="F743" s="1385"/>
      <c r="G743" s="1366"/>
      <c r="H743" s="1367"/>
      <c r="I743" s="1367"/>
      <c r="J743" s="1368"/>
      <c r="K743" s="1363"/>
      <c r="L743" s="1364"/>
      <c r="M743" s="1364"/>
      <c r="N743" s="1365"/>
      <c r="O743" s="1392"/>
      <c r="P743" s="1393"/>
      <c r="Q743" s="1393"/>
      <c r="R743" s="1393"/>
      <c r="S743" s="1394"/>
      <c r="T743" s="1392"/>
      <c r="U743" s="1393"/>
      <c r="V743" s="1393"/>
      <c r="W743" s="1394"/>
      <c r="X743" s="1395">
        <f t="shared" si="40"/>
        <v>0</v>
      </c>
      <c r="Y743" s="1396"/>
      <c r="Z743" s="1396"/>
      <c r="AA743" s="1396"/>
      <c r="AB743" s="1397"/>
      <c r="AC743" s="1452"/>
      <c r="AD743" s="1453"/>
      <c r="AE743" s="1453"/>
      <c r="AF743" s="1453"/>
      <c r="AG743" s="1454"/>
      <c r="AH743" s="1401" t="str">
        <f t="shared" si="37"/>
        <v/>
      </c>
      <c r="AI743" s="1402"/>
      <c r="AJ743" s="1403"/>
      <c r="AK743" s="1383" t="s">
        <v>591</v>
      </c>
      <c r="AL743" s="1384"/>
      <c r="AM743" s="1384"/>
      <c r="AN743" s="1384"/>
      <c r="AO743" s="1385"/>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512">
        <f t="shared" si="38"/>
        <v>0</v>
      </c>
      <c r="CH743" s="1514"/>
      <c r="CI743" s="1518">
        <f t="shared" si="39"/>
        <v>0</v>
      </c>
      <c r="CJ743" s="1520"/>
      <c r="CK743" s="1512">
        <f t="shared" si="17"/>
        <v>0</v>
      </c>
      <c r="CL743" s="1514"/>
      <c r="CM743" s="1518">
        <f t="shared" si="18"/>
        <v>0</v>
      </c>
      <c r="CN743" s="1520"/>
      <c r="CP743" s="1515">
        <f t="shared" si="19"/>
        <v>0</v>
      </c>
      <c r="CQ743" s="1516"/>
      <c r="CR743" s="1516"/>
      <c r="CS743" s="1516"/>
      <c r="CT743" s="1517"/>
      <c r="CU743" s="1485">
        <f t="shared" si="20"/>
        <v>0</v>
      </c>
      <c r="CV743" s="1485"/>
      <c r="CW743" s="1485"/>
      <c r="CX743" s="1485"/>
      <c r="CY743" s="1485"/>
      <c r="CZ743" s="1485">
        <f t="shared" si="21"/>
        <v>0</v>
      </c>
      <c r="DA743" s="1485"/>
      <c r="DB743" s="1485"/>
      <c r="DC743" s="1485"/>
      <c r="DD743" s="1485"/>
      <c r="DE743" s="1485">
        <f t="shared" si="22"/>
        <v>0</v>
      </c>
      <c r="DF743" s="1485"/>
      <c r="DG743" s="1485"/>
      <c r="DH743" s="1485"/>
      <c r="DI743" s="1485"/>
      <c r="DJ743" s="1485">
        <f t="shared" si="23"/>
        <v>0</v>
      </c>
      <c r="DK743" s="1485"/>
      <c r="DL743" s="1485"/>
      <c r="DM743" s="1485"/>
      <c r="DN743" s="1485"/>
      <c r="DO743" s="1485">
        <f t="shared" si="24"/>
        <v>0</v>
      </c>
      <c r="DP743" s="1485"/>
      <c r="DQ743" s="1485"/>
      <c r="DR743" s="1485"/>
      <c r="DS743" s="1485"/>
      <c r="DT743" s="6"/>
      <c r="DU743" s="1486">
        <f t="shared" si="25"/>
        <v>0</v>
      </c>
      <c r="DV743" s="1486"/>
      <c r="DW743" s="1486"/>
      <c r="DX743" s="1486"/>
      <c r="DY743" s="1486"/>
      <c r="DZ743" s="1486">
        <f t="shared" si="26"/>
        <v>0</v>
      </c>
      <c r="EA743" s="1486"/>
      <c r="EB743" s="1486"/>
      <c r="EC743" s="1486"/>
      <c r="ED743" s="1486"/>
      <c r="EE743" s="1486">
        <f t="shared" si="27"/>
        <v>0</v>
      </c>
      <c r="EF743" s="1486"/>
      <c r="EG743" s="1486"/>
      <c r="EH743" s="1486"/>
      <c r="EI743" s="1486"/>
      <c r="EJ743" s="1486">
        <f t="shared" si="28"/>
        <v>0</v>
      </c>
      <c r="EK743" s="1486"/>
      <c r="EL743" s="1486"/>
      <c r="EM743" s="1486"/>
      <c r="EN743" s="1486"/>
      <c r="EO743" s="1486">
        <f t="shared" si="29"/>
        <v>0</v>
      </c>
      <c r="EP743" s="1486"/>
      <c r="EQ743" s="1486"/>
      <c r="ER743" s="1486"/>
      <c r="ES743" s="1486"/>
      <c r="ET743" s="1486">
        <f t="shared" si="30"/>
        <v>0</v>
      </c>
      <c r="EU743" s="1486"/>
      <c r="EV743" s="1486"/>
      <c r="EW743" s="1486"/>
      <c r="EX743" s="1486"/>
      <c r="EY743"/>
      <c r="EZ743" s="1512" t="str">
        <f t="shared" si="31"/>
        <v/>
      </c>
      <c r="FA743" s="1513"/>
      <c r="FB743" s="1513"/>
      <c r="FC743" s="1513"/>
      <c r="FD743" s="1514"/>
      <c r="FE743" s="1512" t="str">
        <f t="shared" si="32"/>
        <v/>
      </c>
      <c r="FF743" s="1513"/>
      <c r="FG743" s="1513"/>
      <c r="FH743" s="1513"/>
      <c r="FI743" s="1514"/>
      <c r="FJ743" s="1512" t="str">
        <f t="shared" si="33"/>
        <v/>
      </c>
      <c r="FK743" s="1513"/>
      <c r="FL743" s="1513"/>
      <c r="FM743" s="1513"/>
      <c r="FN743" s="1514"/>
      <c r="FO743" s="1512" t="str">
        <f t="shared" si="34"/>
        <v/>
      </c>
      <c r="FP743" s="1513"/>
      <c r="FQ743" s="1513"/>
      <c r="FR743" s="1513"/>
      <c r="FS743" s="1514"/>
      <c r="FT743" s="1512" t="str">
        <f t="shared" si="35"/>
        <v/>
      </c>
      <c r="FU743" s="1513"/>
      <c r="FV743" s="1513"/>
      <c r="FW743" s="1513"/>
      <c r="FX743" s="1514"/>
      <c r="FY743" s="1512" t="str">
        <f t="shared" si="36"/>
        <v/>
      </c>
      <c r="FZ743" s="1513"/>
      <c r="GA743" s="1513"/>
      <c r="GB743" s="1513"/>
      <c r="GC743" s="1514"/>
    </row>
    <row r="744" spans="1:185" ht="13.05" customHeight="1">
      <c r="B744" s="1383"/>
      <c r="C744" s="1384"/>
      <c r="D744" s="1384"/>
      <c r="E744" s="1384"/>
      <c r="F744" s="1385"/>
      <c r="G744" s="1366"/>
      <c r="H744" s="1367"/>
      <c r="I744" s="1367"/>
      <c r="J744" s="1368"/>
      <c r="K744" s="1363"/>
      <c r="L744" s="1364"/>
      <c r="M744" s="1364"/>
      <c r="N744" s="1365"/>
      <c r="O744" s="1392"/>
      <c r="P744" s="1393"/>
      <c r="Q744" s="1393"/>
      <c r="R744" s="1393"/>
      <c r="S744" s="1394"/>
      <c r="T744" s="1392"/>
      <c r="U744" s="1393"/>
      <c r="V744" s="1393"/>
      <c r="W744" s="1394"/>
      <c r="X744" s="1395">
        <f t="shared" si="40"/>
        <v>0</v>
      </c>
      <c r="Y744" s="1396"/>
      <c r="Z744" s="1396"/>
      <c r="AA744" s="1396"/>
      <c r="AB744" s="1397"/>
      <c r="AC744" s="1452"/>
      <c r="AD744" s="1453"/>
      <c r="AE744" s="1453"/>
      <c r="AF744" s="1453"/>
      <c r="AG744" s="1454"/>
      <c r="AH744" s="1401" t="str">
        <f t="shared" si="37"/>
        <v/>
      </c>
      <c r="AI744" s="1402"/>
      <c r="AJ744" s="1403"/>
      <c r="AK744" s="1383" t="s">
        <v>591</v>
      </c>
      <c r="AL744" s="1384"/>
      <c r="AM744" s="1384"/>
      <c r="AN744" s="1384"/>
      <c r="AO744" s="1385"/>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512">
        <f t="shared" si="38"/>
        <v>0</v>
      </c>
      <c r="CH744" s="1514"/>
      <c r="CI744" s="1518">
        <f t="shared" si="39"/>
        <v>0</v>
      </c>
      <c r="CJ744" s="1520"/>
      <c r="CK744" s="1512">
        <f t="shared" si="17"/>
        <v>0</v>
      </c>
      <c r="CL744" s="1514"/>
      <c r="CM744" s="1518">
        <f t="shared" si="18"/>
        <v>0</v>
      </c>
      <c r="CN744" s="1520"/>
      <c r="CO744" s="3"/>
      <c r="CP744" s="1515">
        <f t="shared" si="19"/>
        <v>0</v>
      </c>
      <c r="CQ744" s="1516"/>
      <c r="CR744" s="1516"/>
      <c r="CS744" s="1516"/>
      <c r="CT744" s="1517"/>
      <c r="CU744" s="1485">
        <f t="shared" si="20"/>
        <v>0</v>
      </c>
      <c r="CV744" s="1485"/>
      <c r="CW744" s="1485"/>
      <c r="CX744" s="1485"/>
      <c r="CY744" s="1485"/>
      <c r="CZ744" s="1485">
        <f t="shared" si="21"/>
        <v>0</v>
      </c>
      <c r="DA744" s="1485"/>
      <c r="DB744" s="1485"/>
      <c r="DC744" s="1485"/>
      <c r="DD744" s="1485"/>
      <c r="DE744" s="1485">
        <f t="shared" si="22"/>
        <v>0</v>
      </c>
      <c r="DF744" s="1485"/>
      <c r="DG744" s="1485"/>
      <c r="DH744" s="1485"/>
      <c r="DI744" s="1485"/>
      <c r="DJ744" s="1485">
        <f t="shared" si="23"/>
        <v>0</v>
      </c>
      <c r="DK744" s="1485"/>
      <c r="DL744" s="1485"/>
      <c r="DM744" s="1485"/>
      <c r="DN744" s="1485"/>
      <c r="DO744" s="1485">
        <f t="shared" si="24"/>
        <v>0</v>
      </c>
      <c r="DP744" s="1485"/>
      <c r="DQ744" s="1485"/>
      <c r="DR744" s="1485"/>
      <c r="DS744" s="1485"/>
      <c r="DT744" s="6"/>
      <c r="DU744" s="1486">
        <f t="shared" si="25"/>
        <v>0</v>
      </c>
      <c r="DV744" s="1486"/>
      <c r="DW744" s="1486"/>
      <c r="DX744" s="1486"/>
      <c r="DY744" s="1486"/>
      <c r="DZ744" s="1486">
        <f t="shared" si="26"/>
        <v>0</v>
      </c>
      <c r="EA744" s="1486"/>
      <c r="EB744" s="1486"/>
      <c r="EC744" s="1486"/>
      <c r="ED744" s="1486"/>
      <c r="EE744" s="1486">
        <f t="shared" si="27"/>
        <v>0</v>
      </c>
      <c r="EF744" s="1486"/>
      <c r="EG744" s="1486"/>
      <c r="EH744" s="1486"/>
      <c r="EI744" s="1486"/>
      <c r="EJ744" s="1486">
        <f t="shared" si="28"/>
        <v>0</v>
      </c>
      <c r="EK744" s="1486"/>
      <c r="EL744" s="1486"/>
      <c r="EM744" s="1486"/>
      <c r="EN744" s="1486"/>
      <c r="EO744" s="1486">
        <f t="shared" si="29"/>
        <v>0</v>
      </c>
      <c r="EP744" s="1486"/>
      <c r="EQ744" s="1486"/>
      <c r="ER744" s="1486"/>
      <c r="ES744" s="1486"/>
      <c r="ET744" s="1486">
        <f t="shared" si="30"/>
        <v>0</v>
      </c>
      <c r="EU744" s="1486"/>
      <c r="EV744" s="1486"/>
      <c r="EW744" s="1486"/>
      <c r="EX744" s="1486"/>
      <c r="EZ744" s="1512" t="str">
        <f t="shared" si="31"/>
        <v/>
      </c>
      <c r="FA744" s="1513"/>
      <c r="FB744" s="1513"/>
      <c r="FC744" s="1513"/>
      <c r="FD744" s="1514"/>
      <c r="FE744" s="1512" t="str">
        <f t="shared" si="32"/>
        <v/>
      </c>
      <c r="FF744" s="1513"/>
      <c r="FG744" s="1513"/>
      <c r="FH744" s="1513"/>
      <c r="FI744" s="1514"/>
      <c r="FJ744" s="1512" t="str">
        <f t="shared" si="33"/>
        <v/>
      </c>
      <c r="FK744" s="1513"/>
      <c r="FL744" s="1513"/>
      <c r="FM744" s="1513"/>
      <c r="FN744" s="1514"/>
      <c r="FO744" s="1512" t="str">
        <f t="shared" si="34"/>
        <v/>
      </c>
      <c r="FP744" s="1513"/>
      <c r="FQ744" s="1513"/>
      <c r="FR744" s="1513"/>
      <c r="FS744" s="1514"/>
      <c r="FT744" s="1512" t="str">
        <f t="shared" si="35"/>
        <v/>
      </c>
      <c r="FU744" s="1513"/>
      <c r="FV744" s="1513"/>
      <c r="FW744" s="1513"/>
      <c r="FX744" s="1514"/>
      <c r="FY744" s="1512" t="str">
        <f t="shared" si="36"/>
        <v/>
      </c>
      <c r="FZ744" s="1513"/>
      <c r="GA744" s="1513"/>
      <c r="GB744" s="1513"/>
      <c r="GC744" s="1514"/>
    </row>
    <row r="745" spans="1:185" ht="13.05" customHeight="1">
      <c r="B745" s="1383"/>
      <c r="C745" s="1384"/>
      <c r="D745" s="1384"/>
      <c r="E745" s="1384"/>
      <c r="F745" s="1385"/>
      <c r="G745" s="1366"/>
      <c r="H745" s="1367"/>
      <c r="I745" s="1367"/>
      <c r="J745" s="1368"/>
      <c r="K745" s="1363"/>
      <c r="L745" s="1364"/>
      <c r="M745" s="1364"/>
      <c r="N745" s="1365"/>
      <c r="O745" s="1392"/>
      <c r="P745" s="1393"/>
      <c r="Q745" s="1393"/>
      <c r="R745" s="1393"/>
      <c r="S745" s="1394"/>
      <c r="T745" s="1392"/>
      <c r="U745" s="1393"/>
      <c r="V745" s="1393"/>
      <c r="W745" s="1394"/>
      <c r="X745" s="1395">
        <f t="shared" si="40"/>
        <v>0</v>
      </c>
      <c r="Y745" s="1396"/>
      <c r="Z745" s="1396"/>
      <c r="AA745" s="1396"/>
      <c r="AB745" s="1397"/>
      <c r="AC745" s="1452"/>
      <c r="AD745" s="1453"/>
      <c r="AE745" s="1453"/>
      <c r="AF745" s="1453"/>
      <c r="AG745" s="1454"/>
      <c r="AH745" s="1401" t="str">
        <f t="shared" si="37"/>
        <v/>
      </c>
      <c r="AI745" s="1402"/>
      <c r="AJ745" s="1403"/>
      <c r="AK745" s="1383" t="s">
        <v>591</v>
      </c>
      <c r="AL745" s="1384"/>
      <c r="AM745" s="1384"/>
      <c r="AN745" s="1384"/>
      <c r="AO745" s="1385"/>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512">
        <f t="shared" si="38"/>
        <v>0</v>
      </c>
      <c r="CH745" s="1514"/>
      <c r="CI745" s="1518">
        <f t="shared" si="39"/>
        <v>0</v>
      </c>
      <c r="CJ745" s="1520"/>
      <c r="CK745" s="1512">
        <f t="shared" si="17"/>
        <v>0</v>
      </c>
      <c r="CL745" s="1514"/>
      <c r="CM745" s="1518">
        <f t="shared" si="18"/>
        <v>0</v>
      </c>
      <c r="CN745" s="1520"/>
      <c r="CO745" s="3"/>
      <c r="CP745" s="1515">
        <f t="shared" si="19"/>
        <v>0</v>
      </c>
      <c r="CQ745" s="1516"/>
      <c r="CR745" s="1516"/>
      <c r="CS745" s="1516"/>
      <c r="CT745" s="1517"/>
      <c r="CU745" s="1485">
        <f t="shared" si="20"/>
        <v>0</v>
      </c>
      <c r="CV745" s="1485"/>
      <c r="CW745" s="1485"/>
      <c r="CX745" s="1485"/>
      <c r="CY745" s="1485"/>
      <c r="CZ745" s="1485">
        <f t="shared" si="21"/>
        <v>0</v>
      </c>
      <c r="DA745" s="1485"/>
      <c r="DB745" s="1485"/>
      <c r="DC745" s="1485"/>
      <c r="DD745" s="1485"/>
      <c r="DE745" s="1485">
        <f t="shared" si="22"/>
        <v>0</v>
      </c>
      <c r="DF745" s="1485"/>
      <c r="DG745" s="1485"/>
      <c r="DH745" s="1485"/>
      <c r="DI745" s="1485"/>
      <c r="DJ745" s="1485">
        <f t="shared" si="23"/>
        <v>0</v>
      </c>
      <c r="DK745" s="1485"/>
      <c r="DL745" s="1485"/>
      <c r="DM745" s="1485"/>
      <c r="DN745" s="1485"/>
      <c r="DO745" s="1485">
        <f t="shared" si="24"/>
        <v>0</v>
      </c>
      <c r="DP745" s="1485"/>
      <c r="DQ745" s="1485"/>
      <c r="DR745" s="1485"/>
      <c r="DS745" s="1485"/>
      <c r="DT745" s="6"/>
      <c r="DU745" s="1486">
        <f t="shared" si="25"/>
        <v>0</v>
      </c>
      <c r="DV745" s="1486"/>
      <c r="DW745" s="1486"/>
      <c r="DX745" s="1486"/>
      <c r="DY745" s="1486"/>
      <c r="DZ745" s="1486">
        <f t="shared" si="26"/>
        <v>0</v>
      </c>
      <c r="EA745" s="1486"/>
      <c r="EB745" s="1486"/>
      <c r="EC745" s="1486"/>
      <c r="ED745" s="1486"/>
      <c r="EE745" s="1486">
        <f t="shared" si="27"/>
        <v>0</v>
      </c>
      <c r="EF745" s="1486"/>
      <c r="EG745" s="1486"/>
      <c r="EH745" s="1486"/>
      <c r="EI745" s="1486"/>
      <c r="EJ745" s="1486">
        <f t="shared" si="28"/>
        <v>0</v>
      </c>
      <c r="EK745" s="1486"/>
      <c r="EL745" s="1486"/>
      <c r="EM745" s="1486"/>
      <c r="EN745" s="1486"/>
      <c r="EO745" s="1486">
        <f t="shared" si="29"/>
        <v>0</v>
      </c>
      <c r="EP745" s="1486"/>
      <c r="EQ745" s="1486"/>
      <c r="ER745" s="1486"/>
      <c r="ES745" s="1486"/>
      <c r="ET745" s="1486">
        <f t="shared" si="30"/>
        <v>0</v>
      </c>
      <c r="EU745" s="1486"/>
      <c r="EV745" s="1486"/>
      <c r="EW745" s="1486"/>
      <c r="EX745" s="1486"/>
      <c r="EZ745" s="1512" t="str">
        <f t="shared" si="31"/>
        <v/>
      </c>
      <c r="FA745" s="1513"/>
      <c r="FB745" s="1513"/>
      <c r="FC745" s="1513"/>
      <c r="FD745" s="1514"/>
      <c r="FE745" s="1512" t="str">
        <f t="shared" si="32"/>
        <v/>
      </c>
      <c r="FF745" s="1513"/>
      <c r="FG745" s="1513"/>
      <c r="FH745" s="1513"/>
      <c r="FI745" s="1514"/>
      <c r="FJ745" s="1512" t="str">
        <f t="shared" si="33"/>
        <v/>
      </c>
      <c r="FK745" s="1513"/>
      <c r="FL745" s="1513"/>
      <c r="FM745" s="1513"/>
      <c r="FN745" s="1514"/>
      <c r="FO745" s="1512" t="str">
        <f t="shared" si="34"/>
        <v/>
      </c>
      <c r="FP745" s="1513"/>
      <c r="FQ745" s="1513"/>
      <c r="FR745" s="1513"/>
      <c r="FS745" s="1514"/>
      <c r="FT745" s="1512" t="str">
        <f t="shared" si="35"/>
        <v/>
      </c>
      <c r="FU745" s="1513"/>
      <c r="FV745" s="1513"/>
      <c r="FW745" s="1513"/>
      <c r="FX745" s="1514"/>
      <c r="FY745" s="1512" t="str">
        <f t="shared" si="36"/>
        <v/>
      </c>
      <c r="FZ745" s="1513"/>
      <c r="GA745" s="1513"/>
      <c r="GB745" s="1513"/>
      <c r="GC745" s="1514"/>
    </row>
    <row r="746" spans="1:185" ht="13.05" customHeight="1">
      <c r="B746" s="1383"/>
      <c r="C746" s="1384"/>
      <c r="D746" s="1384"/>
      <c r="E746" s="1384"/>
      <c r="F746" s="1385"/>
      <c r="G746" s="1366"/>
      <c r="H746" s="1367"/>
      <c r="I746" s="1367"/>
      <c r="J746" s="1368"/>
      <c r="K746" s="1363"/>
      <c r="L746" s="1364"/>
      <c r="M746" s="1364"/>
      <c r="N746" s="1365"/>
      <c r="O746" s="1392"/>
      <c r="P746" s="1393"/>
      <c r="Q746" s="1393"/>
      <c r="R746" s="1393"/>
      <c r="S746" s="1394"/>
      <c r="T746" s="1392"/>
      <c r="U746" s="1393"/>
      <c r="V746" s="1393"/>
      <c r="W746" s="1394"/>
      <c r="X746" s="1395">
        <f t="shared" si="40"/>
        <v>0</v>
      </c>
      <c r="Y746" s="1396"/>
      <c r="Z746" s="1396"/>
      <c r="AA746" s="1396"/>
      <c r="AB746" s="1397"/>
      <c r="AC746" s="1452"/>
      <c r="AD746" s="1453"/>
      <c r="AE746" s="1453"/>
      <c r="AF746" s="1453"/>
      <c r="AG746" s="1454"/>
      <c r="AH746" s="1401" t="str">
        <f t="shared" si="37"/>
        <v/>
      </c>
      <c r="AI746" s="1402"/>
      <c r="AJ746" s="1403"/>
      <c r="AK746" s="1383" t="s">
        <v>591</v>
      </c>
      <c r="AL746" s="1384"/>
      <c r="AM746" s="1384"/>
      <c r="AN746" s="1384"/>
      <c r="AO746" s="1385"/>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512">
        <f t="shared" si="38"/>
        <v>0</v>
      </c>
      <c r="CH746" s="1514"/>
      <c r="CI746" s="1518">
        <f t="shared" si="39"/>
        <v>0</v>
      </c>
      <c r="CJ746" s="1520"/>
      <c r="CK746" s="1512">
        <f t="shared" si="17"/>
        <v>0</v>
      </c>
      <c r="CL746" s="1514"/>
      <c r="CM746" s="1518">
        <f t="shared" si="18"/>
        <v>0</v>
      </c>
      <c r="CN746" s="1520"/>
      <c r="CO746" s="3"/>
      <c r="CP746" s="1515">
        <f t="shared" si="19"/>
        <v>0</v>
      </c>
      <c r="CQ746" s="1516"/>
      <c r="CR746" s="1516"/>
      <c r="CS746" s="1516"/>
      <c r="CT746" s="1517"/>
      <c r="CU746" s="1485">
        <f t="shared" si="20"/>
        <v>0</v>
      </c>
      <c r="CV746" s="1485"/>
      <c r="CW746" s="1485"/>
      <c r="CX746" s="1485"/>
      <c r="CY746" s="1485"/>
      <c r="CZ746" s="1485">
        <f t="shared" si="21"/>
        <v>0</v>
      </c>
      <c r="DA746" s="1485"/>
      <c r="DB746" s="1485"/>
      <c r="DC746" s="1485"/>
      <c r="DD746" s="1485"/>
      <c r="DE746" s="1485">
        <f t="shared" si="22"/>
        <v>0</v>
      </c>
      <c r="DF746" s="1485"/>
      <c r="DG746" s="1485"/>
      <c r="DH746" s="1485"/>
      <c r="DI746" s="1485"/>
      <c r="DJ746" s="1485">
        <f t="shared" si="23"/>
        <v>0</v>
      </c>
      <c r="DK746" s="1485"/>
      <c r="DL746" s="1485"/>
      <c r="DM746" s="1485"/>
      <c r="DN746" s="1485"/>
      <c r="DO746" s="1485">
        <f t="shared" si="24"/>
        <v>0</v>
      </c>
      <c r="DP746" s="1485"/>
      <c r="DQ746" s="1485"/>
      <c r="DR746" s="1485"/>
      <c r="DS746" s="1485"/>
      <c r="DT746" s="6"/>
      <c r="DU746" s="1486">
        <f t="shared" si="25"/>
        <v>0</v>
      </c>
      <c r="DV746" s="1486"/>
      <c r="DW746" s="1486"/>
      <c r="DX746" s="1486"/>
      <c r="DY746" s="1486"/>
      <c r="DZ746" s="1486">
        <f t="shared" si="26"/>
        <v>0</v>
      </c>
      <c r="EA746" s="1486"/>
      <c r="EB746" s="1486"/>
      <c r="EC746" s="1486"/>
      <c r="ED746" s="1486"/>
      <c r="EE746" s="1486">
        <f t="shared" si="27"/>
        <v>0</v>
      </c>
      <c r="EF746" s="1486"/>
      <c r="EG746" s="1486"/>
      <c r="EH746" s="1486"/>
      <c r="EI746" s="1486"/>
      <c r="EJ746" s="1486">
        <f t="shared" si="28"/>
        <v>0</v>
      </c>
      <c r="EK746" s="1486"/>
      <c r="EL746" s="1486"/>
      <c r="EM746" s="1486"/>
      <c r="EN746" s="1486"/>
      <c r="EO746" s="1486">
        <f t="shared" si="29"/>
        <v>0</v>
      </c>
      <c r="EP746" s="1486"/>
      <c r="EQ746" s="1486"/>
      <c r="ER746" s="1486"/>
      <c r="ES746" s="1486"/>
      <c r="ET746" s="1486">
        <f t="shared" si="30"/>
        <v>0</v>
      </c>
      <c r="EU746" s="1486"/>
      <c r="EV746" s="1486"/>
      <c r="EW746" s="1486"/>
      <c r="EX746" s="1486"/>
      <c r="EZ746" s="1512" t="str">
        <f t="shared" si="31"/>
        <v/>
      </c>
      <c r="FA746" s="1513"/>
      <c r="FB746" s="1513"/>
      <c r="FC746" s="1513"/>
      <c r="FD746" s="1514"/>
      <c r="FE746" s="1512" t="str">
        <f t="shared" si="32"/>
        <v/>
      </c>
      <c r="FF746" s="1513"/>
      <c r="FG746" s="1513"/>
      <c r="FH746" s="1513"/>
      <c r="FI746" s="1514"/>
      <c r="FJ746" s="1512" t="str">
        <f t="shared" si="33"/>
        <v/>
      </c>
      <c r="FK746" s="1513"/>
      <c r="FL746" s="1513"/>
      <c r="FM746" s="1513"/>
      <c r="FN746" s="1514"/>
      <c r="FO746" s="1512" t="str">
        <f t="shared" si="34"/>
        <v/>
      </c>
      <c r="FP746" s="1513"/>
      <c r="FQ746" s="1513"/>
      <c r="FR746" s="1513"/>
      <c r="FS746" s="1514"/>
      <c r="FT746" s="1512" t="str">
        <f t="shared" si="35"/>
        <v/>
      </c>
      <c r="FU746" s="1513"/>
      <c r="FV746" s="1513"/>
      <c r="FW746" s="1513"/>
      <c r="FX746" s="1514"/>
      <c r="FY746" s="1512" t="str">
        <f t="shared" si="36"/>
        <v/>
      </c>
      <c r="FZ746" s="1513"/>
      <c r="GA746" s="1513"/>
      <c r="GB746" s="1513"/>
      <c r="GC746" s="1514"/>
    </row>
    <row r="747" spans="1:185" ht="13.05" customHeight="1">
      <c r="B747" s="1383"/>
      <c r="C747" s="1384"/>
      <c r="D747" s="1384"/>
      <c r="E747" s="1384"/>
      <c r="F747" s="1385"/>
      <c r="G747" s="1366"/>
      <c r="H747" s="1367"/>
      <c r="I747" s="1367"/>
      <c r="J747" s="1368"/>
      <c r="K747" s="1363"/>
      <c r="L747" s="1364"/>
      <c r="M747" s="1364"/>
      <c r="N747" s="1365"/>
      <c r="O747" s="1392"/>
      <c r="P747" s="1393"/>
      <c r="Q747" s="1393"/>
      <c r="R747" s="1393"/>
      <c r="S747" s="1394"/>
      <c r="T747" s="1392"/>
      <c r="U747" s="1393"/>
      <c r="V747" s="1393"/>
      <c r="W747" s="1394"/>
      <c r="X747" s="1395">
        <f t="shared" si="40"/>
        <v>0</v>
      </c>
      <c r="Y747" s="1396"/>
      <c r="Z747" s="1396"/>
      <c r="AA747" s="1396"/>
      <c r="AB747" s="1397"/>
      <c r="AC747" s="1452"/>
      <c r="AD747" s="1453"/>
      <c r="AE747" s="1453"/>
      <c r="AF747" s="1453"/>
      <c r="AG747" s="1454"/>
      <c r="AH747" s="1401" t="str">
        <f t="shared" si="37"/>
        <v/>
      </c>
      <c r="AI747" s="1402"/>
      <c r="AJ747" s="1403"/>
      <c r="AK747" s="1383" t="s">
        <v>591</v>
      </c>
      <c r="AL747" s="1384"/>
      <c r="AM747" s="1384"/>
      <c r="AN747" s="1384"/>
      <c r="AO747" s="1385"/>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512">
        <f t="shared" si="38"/>
        <v>0</v>
      </c>
      <c r="CH747" s="1514"/>
      <c r="CI747" s="1518">
        <f t="shared" si="39"/>
        <v>0</v>
      </c>
      <c r="CJ747" s="1520"/>
      <c r="CK747" s="1512">
        <f t="shared" si="17"/>
        <v>0</v>
      </c>
      <c r="CL747" s="1514"/>
      <c r="CM747" s="1518">
        <f t="shared" si="18"/>
        <v>0</v>
      </c>
      <c r="CN747" s="1520"/>
      <c r="CO747" s="3"/>
      <c r="CP747" s="1515">
        <f t="shared" si="19"/>
        <v>0</v>
      </c>
      <c r="CQ747" s="1516"/>
      <c r="CR747" s="1516"/>
      <c r="CS747" s="1516"/>
      <c r="CT747" s="1517"/>
      <c r="CU747" s="1485">
        <f t="shared" si="20"/>
        <v>0</v>
      </c>
      <c r="CV747" s="1485"/>
      <c r="CW747" s="1485"/>
      <c r="CX747" s="1485"/>
      <c r="CY747" s="1485"/>
      <c r="CZ747" s="1485">
        <f t="shared" si="21"/>
        <v>0</v>
      </c>
      <c r="DA747" s="1485"/>
      <c r="DB747" s="1485"/>
      <c r="DC747" s="1485"/>
      <c r="DD747" s="1485"/>
      <c r="DE747" s="1485">
        <f t="shared" si="22"/>
        <v>0</v>
      </c>
      <c r="DF747" s="1485"/>
      <c r="DG747" s="1485"/>
      <c r="DH747" s="1485"/>
      <c r="DI747" s="1485"/>
      <c r="DJ747" s="1485">
        <f t="shared" si="23"/>
        <v>0</v>
      </c>
      <c r="DK747" s="1485"/>
      <c r="DL747" s="1485"/>
      <c r="DM747" s="1485"/>
      <c r="DN747" s="1485"/>
      <c r="DO747" s="1485">
        <f t="shared" si="24"/>
        <v>0</v>
      </c>
      <c r="DP747" s="1485"/>
      <c r="DQ747" s="1485"/>
      <c r="DR747" s="1485"/>
      <c r="DS747" s="1485"/>
      <c r="DT747" s="6"/>
      <c r="DU747" s="1486">
        <f t="shared" si="25"/>
        <v>0</v>
      </c>
      <c r="DV747" s="1486"/>
      <c r="DW747" s="1486"/>
      <c r="DX747" s="1486"/>
      <c r="DY747" s="1486"/>
      <c r="DZ747" s="1486">
        <f t="shared" si="26"/>
        <v>0</v>
      </c>
      <c r="EA747" s="1486"/>
      <c r="EB747" s="1486"/>
      <c r="EC747" s="1486"/>
      <c r="ED747" s="1486"/>
      <c r="EE747" s="1486">
        <f t="shared" si="27"/>
        <v>0</v>
      </c>
      <c r="EF747" s="1486"/>
      <c r="EG747" s="1486"/>
      <c r="EH747" s="1486"/>
      <c r="EI747" s="1486"/>
      <c r="EJ747" s="1486">
        <f t="shared" si="28"/>
        <v>0</v>
      </c>
      <c r="EK747" s="1486"/>
      <c r="EL747" s="1486"/>
      <c r="EM747" s="1486"/>
      <c r="EN747" s="1486"/>
      <c r="EO747" s="1486">
        <f t="shared" si="29"/>
        <v>0</v>
      </c>
      <c r="EP747" s="1486"/>
      <c r="EQ747" s="1486"/>
      <c r="ER747" s="1486"/>
      <c r="ES747" s="1486"/>
      <c r="ET747" s="1486">
        <f t="shared" si="30"/>
        <v>0</v>
      </c>
      <c r="EU747" s="1486"/>
      <c r="EV747" s="1486"/>
      <c r="EW747" s="1486"/>
      <c r="EX747" s="1486"/>
      <c r="EZ747" s="1512" t="str">
        <f t="shared" si="31"/>
        <v/>
      </c>
      <c r="FA747" s="1513"/>
      <c r="FB747" s="1513"/>
      <c r="FC747" s="1513"/>
      <c r="FD747" s="1514"/>
      <c r="FE747" s="1512" t="str">
        <f t="shared" si="32"/>
        <v/>
      </c>
      <c r="FF747" s="1513"/>
      <c r="FG747" s="1513"/>
      <c r="FH747" s="1513"/>
      <c r="FI747" s="1514"/>
      <c r="FJ747" s="1512" t="str">
        <f t="shared" si="33"/>
        <v/>
      </c>
      <c r="FK747" s="1513"/>
      <c r="FL747" s="1513"/>
      <c r="FM747" s="1513"/>
      <c r="FN747" s="1514"/>
      <c r="FO747" s="1512" t="str">
        <f t="shared" si="34"/>
        <v/>
      </c>
      <c r="FP747" s="1513"/>
      <c r="FQ747" s="1513"/>
      <c r="FR747" s="1513"/>
      <c r="FS747" s="1514"/>
      <c r="FT747" s="1512" t="str">
        <f t="shared" si="35"/>
        <v/>
      </c>
      <c r="FU747" s="1513"/>
      <c r="FV747" s="1513"/>
      <c r="FW747" s="1513"/>
      <c r="FX747" s="1514"/>
      <c r="FY747" s="1512" t="str">
        <f t="shared" si="36"/>
        <v/>
      </c>
      <c r="FZ747" s="1513"/>
      <c r="GA747" s="1513"/>
      <c r="GB747" s="1513"/>
      <c r="GC747" s="1514"/>
    </row>
    <row r="748" spans="1:185" s="3" customFormat="1" ht="13.05" customHeight="1">
      <c r="A748"/>
      <c r="B748" s="1383"/>
      <c r="C748" s="1384"/>
      <c r="D748" s="1384"/>
      <c r="E748" s="1384"/>
      <c r="F748" s="1385"/>
      <c r="G748" s="1366"/>
      <c r="H748" s="1367"/>
      <c r="I748" s="1367"/>
      <c r="J748" s="1368"/>
      <c r="K748" s="1363"/>
      <c r="L748" s="1364"/>
      <c r="M748" s="1364"/>
      <c r="N748" s="1365"/>
      <c r="O748" s="1392"/>
      <c r="P748" s="1393"/>
      <c r="Q748" s="1393"/>
      <c r="R748" s="1393"/>
      <c r="S748" s="1394"/>
      <c r="T748" s="1392"/>
      <c r="U748" s="1393"/>
      <c r="V748" s="1393"/>
      <c r="W748" s="1394"/>
      <c r="X748" s="1395">
        <f t="shared" si="40"/>
        <v>0</v>
      </c>
      <c r="Y748" s="1396"/>
      <c r="Z748" s="1396"/>
      <c r="AA748" s="1396"/>
      <c r="AB748" s="1397"/>
      <c r="AC748" s="1452"/>
      <c r="AD748" s="1453"/>
      <c r="AE748" s="1453"/>
      <c r="AF748" s="1453"/>
      <c r="AG748" s="1454"/>
      <c r="AH748" s="1401" t="str">
        <f t="shared" si="37"/>
        <v/>
      </c>
      <c r="AI748" s="1402"/>
      <c r="AJ748" s="1403"/>
      <c r="AK748" s="1383" t="s">
        <v>591</v>
      </c>
      <c r="AL748" s="1384"/>
      <c r="AM748" s="1384"/>
      <c r="AN748" s="1384"/>
      <c r="AO748" s="1385"/>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512">
        <f t="shared" si="38"/>
        <v>0</v>
      </c>
      <c r="CH748" s="1514"/>
      <c r="CI748" s="1518">
        <f t="shared" si="39"/>
        <v>0</v>
      </c>
      <c r="CJ748" s="1520"/>
      <c r="CK748" s="1512">
        <f t="shared" si="17"/>
        <v>0</v>
      </c>
      <c r="CL748" s="1514"/>
      <c r="CM748" s="1518">
        <f t="shared" si="18"/>
        <v>0</v>
      </c>
      <c r="CN748" s="1520"/>
      <c r="CP748" s="1515">
        <f t="shared" si="19"/>
        <v>0</v>
      </c>
      <c r="CQ748" s="1516"/>
      <c r="CR748" s="1516"/>
      <c r="CS748" s="1516"/>
      <c r="CT748" s="1517"/>
      <c r="CU748" s="1485">
        <f t="shared" si="20"/>
        <v>0</v>
      </c>
      <c r="CV748" s="1485"/>
      <c r="CW748" s="1485"/>
      <c r="CX748" s="1485"/>
      <c r="CY748" s="1485"/>
      <c r="CZ748" s="1485">
        <f t="shared" si="21"/>
        <v>0</v>
      </c>
      <c r="DA748" s="1485"/>
      <c r="DB748" s="1485"/>
      <c r="DC748" s="1485"/>
      <c r="DD748" s="1485"/>
      <c r="DE748" s="1485">
        <f t="shared" si="22"/>
        <v>0</v>
      </c>
      <c r="DF748" s="1485"/>
      <c r="DG748" s="1485"/>
      <c r="DH748" s="1485"/>
      <c r="DI748" s="1485"/>
      <c r="DJ748" s="1485">
        <f t="shared" si="23"/>
        <v>0</v>
      </c>
      <c r="DK748" s="1485"/>
      <c r="DL748" s="1485"/>
      <c r="DM748" s="1485"/>
      <c r="DN748" s="1485"/>
      <c r="DO748" s="1485">
        <f t="shared" si="24"/>
        <v>0</v>
      </c>
      <c r="DP748" s="1485"/>
      <c r="DQ748" s="1485"/>
      <c r="DR748" s="1485"/>
      <c r="DS748" s="1485"/>
      <c r="DT748" s="6"/>
      <c r="DU748" s="1486">
        <f t="shared" si="25"/>
        <v>0</v>
      </c>
      <c r="DV748" s="1486"/>
      <c r="DW748" s="1486"/>
      <c r="DX748" s="1486"/>
      <c r="DY748" s="1486"/>
      <c r="DZ748" s="1486">
        <f t="shared" si="26"/>
        <v>0</v>
      </c>
      <c r="EA748" s="1486"/>
      <c r="EB748" s="1486"/>
      <c r="EC748" s="1486"/>
      <c r="ED748" s="1486"/>
      <c r="EE748" s="1486">
        <f t="shared" si="27"/>
        <v>0</v>
      </c>
      <c r="EF748" s="1486"/>
      <c r="EG748" s="1486"/>
      <c r="EH748" s="1486"/>
      <c r="EI748" s="1486"/>
      <c r="EJ748" s="1486">
        <f t="shared" si="28"/>
        <v>0</v>
      </c>
      <c r="EK748" s="1486"/>
      <c r="EL748" s="1486"/>
      <c r="EM748" s="1486"/>
      <c r="EN748" s="1486"/>
      <c r="EO748" s="1486">
        <f t="shared" si="29"/>
        <v>0</v>
      </c>
      <c r="EP748" s="1486"/>
      <c r="EQ748" s="1486"/>
      <c r="ER748" s="1486"/>
      <c r="ES748" s="1486"/>
      <c r="ET748" s="1486">
        <f t="shared" si="30"/>
        <v>0</v>
      </c>
      <c r="EU748" s="1486"/>
      <c r="EV748" s="1486"/>
      <c r="EW748" s="1486"/>
      <c r="EX748" s="1486"/>
      <c r="EY748"/>
      <c r="EZ748" s="1512" t="str">
        <f t="shared" si="31"/>
        <v/>
      </c>
      <c r="FA748" s="1513"/>
      <c r="FB748" s="1513"/>
      <c r="FC748" s="1513"/>
      <c r="FD748" s="1514"/>
      <c r="FE748" s="1512" t="str">
        <f t="shared" si="32"/>
        <v/>
      </c>
      <c r="FF748" s="1513"/>
      <c r="FG748" s="1513"/>
      <c r="FH748" s="1513"/>
      <c r="FI748" s="1514"/>
      <c r="FJ748" s="1512" t="str">
        <f t="shared" si="33"/>
        <v/>
      </c>
      <c r="FK748" s="1513"/>
      <c r="FL748" s="1513"/>
      <c r="FM748" s="1513"/>
      <c r="FN748" s="1514"/>
      <c r="FO748" s="1512" t="str">
        <f t="shared" si="34"/>
        <v/>
      </c>
      <c r="FP748" s="1513"/>
      <c r="FQ748" s="1513"/>
      <c r="FR748" s="1513"/>
      <c r="FS748" s="1514"/>
      <c r="FT748" s="1512" t="str">
        <f t="shared" si="35"/>
        <v/>
      </c>
      <c r="FU748" s="1513"/>
      <c r="FV748" s="1513"/>
      <c r="FW748" s="1513"/>
      <c r="FX748" s="1514"/>
      <c r="FY748" s="1512" t="str">
        <f t="shared" si="36"/>
        <v/>
      </c>
      <c r="FZ748" s="1513"/>
      <c r="GA748" s="1513"/>
      <c r="GB748" s="1513"/>
      <c r="GC748" s="1514"/>
    </row>
    <row r="749" spans="1:185" s="3" customFormat="1" ht="13.05" customHeight="1">
      <c r="A749"/>
      <c r="B749" s="1383"/>
      <c r="C749" s="1384"/>
      <c r="D749" s="1384"/>
      <c r="E749" s="1384"/>
      <c r="F749" s="1385"/>
      <c r="G749" s="1366"/>
      <c r="H749" s="1367"/>
      <c r="I749" s="1367"/>
      <c r="J749" s="1368"/>
      <c r="K749" s="1363"/>
      <c r="L749" s="1364"/>
      <c r="M749" s="1364"/>
      <c r="N749" s="1365"/>
      <c r="O749" s="1392"/>
      <c r="P749" s="1393"/>
      <c r="Q749" s="1393"/>
      <c r="R749" s="1393"/>
      <c r="S749" s="1394"/>
      <c r="T749" s="1392"/>
      <c r="U749" s="1393"/>
      <c r="V749" s="1393"/>
      <c r="W749" s="1394"/>
      <c r="X749" s="1395">
        <f t="shared" si="40"/>
        <v>0</v>
      </c>
      <c r="Y749" s="1396"/>
      <c r="Z749" s="1396"/>
      <c r="AA749" s="1396"/>
      <c r="AB749" s="1397"/>
      <c r="AC749" s="1452"/>
      <c r="AD749" s="1453"/>
      <c r="AE749" s="1453"/>
      <c r="AF749" s="1453"/>
      <c r="AG749" s="1454"/>
      <c r="AH749" s="1401" t="str">
        <f t="shared" si="37"/>
        <v/>
      </c>
      <c r="AI749" s="1402"/>
      <c r="AJ749" s="1403"/>
      <c r="AK749" s="1383" t="s">
        <v>591</v>
      </c>
      <c r="AL749" s="1384"/>
      <c r="AM749" s="1384"/>
      <c r="AN749" s="1384"/>
      <c r="AO749" s="1385"/>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512">
        <f t="shared" si="38"/>
        <v>0</v>
      </c>
      <c r="CH749" s="1514"/>
      <c r="CI749" s="1518">
        <f t="shared" si="39"/>
        <v>0</v>
      </c>
      <c r="CJ749" s="1520"/>
      <c r="CK749" s="1512">
        <f t="shared" si="17"/>
        <v>0</v>
      </c>
      <c r="CL749" s="1514"/>
      <c r="CM749" s="1518">
        <f t="shared" si="18"/>
        <v>0</v>
      </c>
      <c r="CN749" s="1520"/>
      <c r="CP749" s="1515">
        <f t="shared" si="19"/>
        <v>0</v>
      </c>
      <c r="CQ749" s="1516"/>
      <c r="CR749" s="1516"/>
      <c r="CS749" s="1516"/>
      <c r="CT749" s="1517"/>
      <c r="CU749" s="1485">
        <f t="shared" si="20"/>
        <v>0</v>
      </c>
      <c r="CV749" s="1485"/>
      <c r="CW749" s="1485"/>
      <c r="CX749" s="1485"/>
      <c r="CY749" s="1485"/>
      <c r="CZ749" s="1485">
        <f t="shared" si="21"/>
        <v>0</v>
      </c>
      <c r="DA749" s="1485"/>
      <c r="DB749" s="1485"/>
      <c r="DC749" s="1485"/>
      <c r="DD749" s="1485"/>
      <c r="DE749" s="1485">
        <f t="shared" si="22"/>
        <v>0</v>
      </c>
      <c r="DF749" s="1485"/>
      <c r="DG749" s="1485"/>
      <c r="DH749" s="1485"/>
      <c r="DI749" s="1485"/>
      <c r="DJ749" s="1485">
        <f t="shared" si="23"/>
        <v>0</v>
      </c>
      <c r="DK749" s="1485"/>
      <c r="DL749" s="1485"/>
      <c r="DM749" s="1485"/>
      <c r="DN749" s="1485"/>
      <c r="DO749" s="1485">
        <f t="shared" si="24"/>
        <v>0</v>
      </c>
      <c r="DP749" s="1485"/>
      <c r="DQ749" s="1485"/>
      <c r="DR749" s="1485"/>
      <c r="DS749" s="1485"/>
      <c r="DT749" s="6"/>
      <c r="DU749" s="1486">
        <f t="shared" si="25"/>
        <v>0</v>
      </c>
      <c r="DV749" s="1486"/>
      <c r="DW749" s="1486"/>
      <c r="DX749" s="1486"/>
      <c r="DY749" s="1486"/>
      <c r="DZ749" s="1486">
        <f t="shared" si="26"/>
        <v>0</v>
      </c>
      <c r="EA749" s="1486"/>
      <c r="EB749" s="1486"/>
      <c r="EC749" s="1486"/>
      <c r="ED749" s="1486"/>
      <c r="EE749" s="1486">
        <f t="shared" si="27"/>
        <v>0</v>
      </c>
      <c r="EF749" s="1486"/>
      <c r="EG749" s="1486"/>
      <c r="EH749" s="1486"/>
      <c r="EI749" s="1486"/>
      <c r="EJ749" s="1486">
        <f t="shared" si="28"/>
        <v>0</v>
      </c>
      <c r="EK749" s="1486"/>
      <c r="EL749" s="1486"/>
      <c r="EM749" s="1486"/>
      <c r="EN749" s="1486"/>
      <c r="EO749" s="1486">
        <f t="shared" si="29"/>
        <v>0</v>
      </c>
      <c r="EP749" s="1486"/>
      <c r="EQ749" s="1486"/>
      <c r="ER749" s="1486"/>
      <c r="ES749" s="1486"/>
      <c r="ET749" s="1486">
        <f t="shared" si="30"/>
        <v>0</v>
      </c>
      <c r="EU749" s="1486"/>
      <c r="EV749" s="1486"/>
      <c r="EW749" s="1486"/>
      <c r="EX749" s="1486"/>
      <c r="EY749"/>
      <c r="EZ749" s="1512" t="str">
        <f t="shared" si="31"/>
        <v/>
      </c>
      <c r="FA749" s="1513"/>
      <c r="FB749" s="1513"/>
      <c r="FC749" s="1513"/>
      <c r="FD749" s="1514"/>
      <c r="FE749" s="1512" t="str">
        <f t="shared" si="32"/>
        <v/>
      </c>
      <c r="FF749" s="1513"/>
      <c r="FG749" s="1513"/>
      <c r="FH749" s="1513"/>
      <c r="FI749" s="1514"/>
      <c r="FJ749" s="1512" t="str">
        <f t="shared" si="33"/>
        <v/>
      </c>
      <c r="FK749" s="1513"/>
      <c r="FL749" s="1513"/>
      <c r="FM749" s="1513"/>
      <c r="FN749" s="1514"/>
      <c r="FO749" s="1512" t="str">
        <f t="shared" si="34"/>
        <v/>
      </c>
      <c r="FP749" s="1513"/>
      <c r="FQ749" s="1513"/>
      <c r="FR749" s="1513"/>
      <c r="FS749" s="1514"/>
      <c r="FT749" s="1512" t="str">
        <f t="shared" si="35"/>
        <v/>
      </c>
      <c r="FU749" s="1513"/>
      <c r="FV749" s="1513"/>
      <c r="FW749" s="1513"/>
      <c r="FX749" s="1514"/>
      <c r="FY749" s="1512" t="str">
        <f t="shared" si="36"/>
        <v/>
      </c>
      <c r="FZ749" s="1513"/>
      <c r="GA749" s="1513"/>
      <c r="GB749" s="1513"/>
      <c r="GC749" s="1514"/>
    </row>
    <row r="750" spans="1:185" s="3" customFormat="1" ht="13.05" customHeight="1">
      <c r="A750"/>
      <c r="B750" s="1383"/>
      <c r="C750" s="1384"/>
      <c r="D750" s="1384"/>
      <c r="E750" s="1384"/>
      <c r="F750" s="1385"/>
      <c r="G750" s="1366"/>
      <c r="H750" s="1367"/>
      <c r="I750" s="1367"/>
      <c r="J750" s="1368"/>
      <c r="K750" s="1363"/>
      <c r="L750" s="1364"/>
      <c r="M750" s="1364"/>
      <c r="N750" s="1365"/>
      <c r="O750" s="1392"/>
      <c r="P750" s="1393"/>
      <c r="Q750" s="1393"/>
      <c r="R750" s="1393"/>
      <c r="S750" s="1394"/>
      <c r="T750" s="1392"/>
      <c r="U750" s="1393"/>
      <c r="V750" s="1393"/>
      <c r="W750" s="1394"/>
      <c r="X750" s="1395">
        <f t="shared" si="40"/>
        <v>0</v>
      </c>
      <c r="Y750" s="1396"/>
      <c r="Z750" s="1396"/>
      <c r="AA750" s="1396"/>
      <c r="AB750" s="1397"/>
      <c r="AC750" s="1452"/>
      <c r="AD750" s="1453"/>
      <c r="AE750" s="1453"/>
      <c r="AF750" s="1453"/>
      <c r="AG750" s="1454"/>
      <c r="AH750" s="1401" t="str">
        <f t="shared" si="37"/>
        <v/>
      </c>
      <c r="AI750" s="1402"/>
      <c r="AJ750" s="1403"/>
      <c r="AK750" s="1383" t="s">
        <v>591</v>
      </c>
      <c r="AL750" s="1384"/>
      <c r="AM750" s="1384"/>
      <c r="AN750" s="1384"/>
      <c r="AO750" s="1385"/>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512">
        <f t="shared" si="38"/>
        <v>0</v>
      </c>
      <c r="CH750" s="1514"/>
      <c r="CI750" s="1518">
        <f t="shared" si="39"/>
        <v>0</v>
      </c>
      <c r="CJ750" s="1520"/>
      <c r="CK750" s="1512">
        <f t="shared" si="17"/>
        <v>0</v>
      </c>
      <c r="CL750" s="1514"/>
      <c r="CM750" s="1518">
        <f t="shared" si="18"/>
        <v>0</v>
      </c>
      <c r="CN750" s="1520"/>
      <c r="CP750" s="1515">
        <f t="shared" si="19"/>
        <v>0</v>
      </c>
      <c r="CQ750" s="1516"/>
      <c r="CR750" s="1516"/>
      <c r="CS750" s="1516"/>
      <c r="CT750" s="1517"/>
      <c r="CU750" s="1485">
        <f t="shared" si="20"/>
        <v>0</v>
      </c>
      <c r="CV750" s="1485"/>
      <c r="CW750" s="1485"/>
      <c r="CX750" s="1485"/>
      <c r="CY750" s="1485"/>
      <c r="CZ750" s="1485">
        <f t="shared" si="21"/>
        <v>0</v>
      </c>
      <c r="DA750" s="1485"/>
      <c r="DB750" s="1485"/>
      <c r="DC750" s="1485"/>
      <c r="DD750" s="1485"/>
      <c r="DE750" s="1485">
        <f t="shared" si="22"/>
        <v>0</v>
      </c>
      <c r="DF750" s="1485"/>
      <c r="DG750" s="1485"/>
      <c r="DH750" s="1485"/>
      <c r="DI750" s="1485"/>
      <c r="DJ750" s="1485">
        <f t="shared" si="23"/>
        <v>0</v>
      </c>
      <c r="DK750" s="1485"/>
      <c r="DL750" s="1485"/>
      <c r="DM750" s="1485"/>
      <c r="DN750" s="1485"/>
      <c r="DO750" s="1485">
        <f t="shared" si="24"/>
        <v>0</v>
      </c>
      <c r="DP750" s="1485"/>
      <c r="DQ750" s="1485"/>
      <c r="DR750" s="1485"/>
      <c r="DS750" s="1485"/>
      <c r="DT750" s="6"/>
      <c r="DU750" s="1486">
        <f t="shared" si="25"/>
        <v>0</v>
      </c>
      <c r="DV750" s="1486"/>
      <c r="DW750" s="1486"/>
      <c r="DX750" s="1486"/>
      <c r="DY750" s="1486"/>
      <c r="DZ750" s="1486">
        <f t="shared" si="26"/>
        <v>0</v>
      </c>
      <c r="EA750" s="1486"/>
      <c r="EB750" s="1486"/>
      <c r="EC750" s="1486"/>
      <c r="ED750" s="1486"/>
      <c r="EE750" s="1486">
        <f t="shared" si="27"/>
        <v>0</v>
      </c>
      <c r="EF750" s="1486"/>
      <c r="EG750" s="1486"/>
      <c r="EH750" s="1486"/>
      <c r="EI750" s="1486"/>
      <c r="EJ750" s="1486">
        <f t="shared" si="28"/>
        <v>0</v>
      </c>
      <c r="EK750" s="1486"/>
      <c r="EL750" s="1486"/>
      <c r="EM750" s="1486"/>
      <c r="EN750" s="1486"/>
      <c r="EO750" s="1486">
        <f t="shared" si="29"/>
        <v>0</v>
      </c>
      <c r="EP750" s="1486"/>
      <c r="EQ750" s="1486"/>
      <c r="ER750" s="1486"/>
      <c r="ES750" s="1486"/>
      <c r="ET750" s="1486">
        <f t="shared" si="30"/>
        <v>0</v>
      </c>
      <c r="EU750" s="1486"/>
      <c r="EV750" s="1486"/>
      <c r="EW750" s="1486"/>
      <c r="EX750" s="1486"/>
      <c r="EY750"/>
      <c r="EZ750" s="1512" t="str">
        <f t="shared" si="31"/>
        <v/>
      </c>
      <c r="FA750" s="1513"/>
      <c r="FB750" s="1513"/>
      <c r="FC750" s="1513"/>
      <c r="FD750" s="1514"/>
      <c r="FE750" s="1512" t="str">
        <f t="shared" si="32"/>
        <v/>
      </c>
      <c r="FF750" s="1513"/>
      <c r="FG750" s="1513"/>
      <c r="FH750" s="1513"/>
      <c r="FI750" s="1514"/>
      <c r="FJ750" s="1512" t="str">
        <f t="shared" si="33"/>
        <v/>
      </c>
      <c r="FK750" s="1513"/>
      <c r="FL750" s="1513"/>
      <c r="FM750" s="1513"/>
      <c r="FN750" s="1514"/>
      <c r="FO750" s="1512" t="str">
        <f t="shared" si="34"/>
        <v/>
      </c>
      <c r="FP750" s="1513"/>
      <c r="FQ750" s="1513"/>
      <c r="FR750" s="1513"/>
      <c r="FS750" s="1514"/>
      <c r="FT750" s="1512" t="str">
        <f t="shared" si="35"/>
        <v/>
      </c>
      <c r="FU750" s="1513"/>
      <c r="FV750" s="1513"/>
      <c r="FW750" s="1513"/>
      <c r="FX750" s="1514"/>
      <c r="FY750" s="1512" t="str">
        <f t="shared" si="36"/>
        <v/>
      </c>
      <c r="FZ750" s="1513"/>
      <c r="GA750" s="1513"/>
      <c r="GB750" s="1513"/>
      <c r="GC750" s="1514"/>
    </row>
    <row r="751" spans="1:185" s="3" customFormat="1" ht="13.05" customHeight="1">
      <c r="A751"/>
      <c r="B751" s="1383"/>
      <c r="C751" s="1384"/>
      <c r="D751" s="1384"/>
      <c r="E751" s="1384"/>
      <c r="F751" s="1385"/>
      <c r="G751" s="1366"/>
      <c r="H751" s="1367"/>
      <c r="I751" s="1367"/>
      <c r="J751" s="1368"/>
      <c r="K751" s="1363"/>
      <c r="L751" s="1364"/>
      <c r="M751" s="1364"/>
      <c r="N751" s="1365"/>
      <c r="O751" s="1392"/>
      <c r="P751" s="1393"/>
      <c r="Q751" s="1393"/>
      <c r="R751" s="1393"/>
      <c r="S751" s="1394"/>
      <c r="T751" s="1392"/>
      <c r="U751" s="1393"/>
      <c r="V751" s="1393"/>
      <c r="W751" s="1394"/>
      <c r="X751" s="1395">
        <f t="shared" si="40"/>
        <v>0</v>
      </c>
      <c r="Y751" s="1396"/>
      <c r="Z751" s="1396"/>
      <c r="AA751" s="1396"/>
      <c r="AB751" s="1397"/>
      <c r="AC751" s="1452"/>
      <c r="AD751" s="1453"/>
      <c r="AE751" s="1453"/>
      <c r="AF751" s="1453"/>
      <c r="AG751" s="1454"/>
      <c r="AH751" s="1401" t="str">
        <f t="shared" si="37"/>
        <v/>
      </c>
      <c r="AI751" s="1402"/>
      <c r="AJ751" s="1403"/>
      <c r="AK751" s="1383" t="s">
        <v>591</v>
      </c>
      <c r="AL751" s="1384"/>
      <c r="AM751" s="1384"/>
      <c r="AN751" s="1384"/>
      <c r="AO751" s="1385"/>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512">
        <f t="shared" si="38"/>
        <v>0</v>
      </c>
      <c r="CH751" s="1514"/>
      <c r="CI751" s="1518">
        <f t="shared" si="39"/>
        <v>0</v>
      </c>
      <c r="CJ751" s="1520"/>
      <c r="CK751" s="1512">
        <f t="shared" si="17"/>
        <v>0</v>
      </c>
      <c r="CL751" s="1514"/>
      <c r="CM751" s="1518">
        <f t="shared" si="18"/>
        <v>0</v>
      </c>
      <c r="CN751" s="1520"/>
      <c r="CP751" s="1515">
        <f t="shared" si="19"/>
        <v>0</v>
      </c>
      <c r="CQ751" s="1516"/>
      <c r="CR751" s="1516"/>
      <c r="CS751" s="1516"/>
      <c r="CT751" s="1517"/>
      <c r="CU751" s="1485">
        <f t="shared" si="20"/>
        <v>0</v>
      </c>
      <c r="CV751" s="1485"/>
      <c r="CW751" s="1485"/>
      <c r="CX751" s="1485"/>
      <c r="CY751" s="1485"/>
      <c r="CZ751" s="1485">
        <f t="shared" si="21"/>
        <v>0</v>
      </c>
      <c r="DA751" s="1485"/>
      <c r="DB751" s="1485"/>
      <c r="DC751" s="1485"/>
      <c r="DD751" s="1485"/>
      <c r="DE751" s="1485">
        <f t="shared" si="22"/>
        <v>0</v>
      </c>
      <c r="DF751" s="1485"/>
      <c r="DG751" s="1485"/>
      <c r="DH751" s="1485"/>
      <c r="DI751" s="1485"/>
      <c r="DJ751" s="1485">
        <f t="shared" si="23"/>
        <v>0</v>
      </c>
      <c r="DK751" s="1485"/>
      <c r="DL751" s="1485"/>
      <c r="DM751" s="1485"/>
      <c r="DN751" s="1485"/>
      <c r="DO751" s="1485">
        <f t="shared" si="24"/>
        <v>0</v>
      </c>
      <c r="DP751" s="1485"/>
      <c r="DQ751" s="1485"/>
      <c r="DR751" s="1485"/>
      <c r="DS751" s="1485"/>
      <c r="DT751" s="6"/>
      <c r="DU751" s="1486">
        <f t="shared" si="25"/>
        <v>0</v>
      </c>
      <c r="DV751" s="1486"/>
      <c r="DW751" s="1486"/>
      <c r="DX751" s="1486"/>
      <c r="DY751" s="1486"/>
      <c r="DZ751" s="1486">
        <f t="shared" si="26"/>
        <v>0</v>
      </c>
      <c r="EA751" s="1486"/>
      <c r="EB751" s="1486"/>
      <c r="EC751" s="1486"/>
      <c r="ED751" s="1486"/>
      <c r="EE751" s="1486">
        <f t="shared" si="27"/>
        <v>0</v>
      </c>
      <c r="EF751" s="1486"/>
      <c r="EG751" s="1486"/>
      <c r="EH751" s="1486"/>
      <c r="EI751" s="1486"/>
      <c r="EJ751" s="1486">
        <f t="shared" si="28"/>
        <v>0</v>
      </c>
      <c r="EK751" s="1486"/>
      <c r="EL751" s="1486"/>
      <c r="EM751" s="1486"/>
      <c r="EN751" s="1486"/>
      <c r="EO751" s="1486">
        <f t="shared" si="29"/>
        <v>0</v>
      </c>
      <c r="EP751" s="1486"/>
      <c r="EQ751" s="1486"/>
      <c r="ER751" s="1486"/>
      <c r="ES751" s="1486"/>
      <c r="ET751" s="1486">
        <f t="shared" si="30"/>
        <v>0</v>
      </c>
      <c r="EU751" s="1486"/>
      <c r="EV751" s="1486"/>
      <c r="EW751" s="1486"/>
      <c r="EX751" s="1486"/>
      <c r="EY751"/>
      <c r="EZ751" s="1512" t="str">
        <f t="shared" si="31"/>
        <v/>
      </c>
      <c r="FA751" s="1513"/>
      <c r="FB751" s="1513"/>
      <c r="FC751" s="1513"/>
      <c r="FD751" s="1514"/>
      <c r="FE751" s="1512" t="str">
        <f t="shared" si="32"/>
        <v/>
      </c>
      <c r="FF751" s="1513"/>
      <c r="FG751" s="1513"/>
      <c r="FH751" s="1513"/>
      <c r="FI751" s="1514"/>
      <c r="FJ751" s="1512" t="str">
        <f t="shared" si="33"/>
        <v/>
      </c>
      <c r="FK751" s="1513"/>
      <c r="FL751" s="1513"/>
      <c r="FM751" s="1513"/>
      <c r="FN751" s="1514"/>
      <c r="FO751" s="1512" t="str">
        <f t="shared" si="34"/>
        <v/>
      </c>
      <c r="FP751" s="1513"/>
      <c r="FQ751" s="1513"/>
      <c r="FR751" s="1513"/>
      <c r="FS751" s="1514"/>
      <c r="FT751" s="1512" t="str">
        <f t="shared" si="35"/>
        <v/>
      </c>
      <c r="FU751" s="1513"/>
      <c r="FV751" s="1513"/>
      <c r="FW751" s="1513"/>
      <c r="FX751" s="1514"/>
      <c r="FY751" s="1512" t="str">
        <f t="shared" si="36"/>
        <v/>
      </c>
      <c r="FZ751" s="1513"/>
      <c r="GA751" s="1513"/>
      <c r="GB751" s="1513"/>
      <c r="GC751" s="1514"/>
    </row>
    <row r="752" spans="1:185" s="3" customFormat="1" ht="13.05" customHeight="1">
      <c r="A752"/>
      <c r="B752" s="1383"/>
      <c r="C752" s="1384"/>
      <c r="D752" s="1384"/>
      <c r="E752" s="1384"/>
      <c r="F752" s="1385"/>
      <c r="G752" s="1366"/>
      <c r="H752" s="1367"/>
      <c r="I752" s="1367"/>
      <c r="J752" s="1368"/>
      <c r="K752" s="1363"/>
      <c r="L752" s="1364"/>
      <c r="M752" s="1364"/>
      <c r="N752" s="1365"/>
      <c r="O752" s="1392"/>
      <c r="P752" s="1393"/>
      <c r="Q752" s="1393"/>
      <c r="R752" s="1393"/>
      <c r="S752" s="1394"/>
      <c r="T752" s="1392"/>
      <c r="U752" s="1393"/>
      <c r="V752" s="1393"/>
      <c r="W752" s="1394"/>
      <c r="X752" s="1395">
        <f>O752+T752</f>
        <v>0</v>
      </c>
      <c r="Y752" s="1396"/>
      <c r="Z752" s="1396"/>
      <c r="AA752" s="1396"/>
      <c r="AB752" s="1397"/>
      <c r="AC752" s="1452"/>
      <c r="AD752" s="1453"/>
      <c r="AE752" s="1453"/>
      <c r="AF752" s="1453"/>
      <c r="AG752" s="1454"/>
      <c r="AH752" s="1401" t="str">
        <f t="shared" si="37"/>
        <v/>
      </c>
      <c r="AI752" s="1402"/>
      <c r="AJ752" s="1403"/>
      <c r="AK752" s="1383" t="s">
        <v>591</v>
      </c>
      <c r="AL752" s="1384"/>
      <c r="AM752" s="1384"/>
      <c r="AN752" s="1384"/>
      <c r="AO752" s="1385"/>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512">
        <f t="shared" si="38"/>
        <v>0</v>
      </c>
      <c r="CH752" s="1514"/>
      <c r="CI752" s="1518">
        <f t="shared" si="39"/>
        <v>0</v>
      </c>
      <c r="CJ752" s="1520"/>
      <c r="CK752" s="1512">
        <f t="shared" si="17"/>
        <v>0</v>
      </c>
      <c r="CL752" s="1514"/>
      <c r="CM752" s="1518">
        <f t="shared" si="18"/>
        <v>0</v>
      </c>
      <c r="CN752" s="1520"/>
      <c r="CP752" s="1515">
        <f t="shared" si="19"/>
        <v>0</v>
      </c>
      <c r="CQ752" s="1516"/>
      <c r="CR752" s="1516"/>
      <c r="CS752" s="1516"/>
      <c r="CT752" s="1517"/>
      <c r="CU752" s="1485">
        <f t="shared" si="20"/>
        <v>0</v>
      </c>
      <c r="CV752" s="1485"/>
      <c r="CW752" s="1485"/>
      <c r="CX752" s="1485"/>
      <c r="CY752" s="1485"/>
      <c r="CZ752" s="1485">
        <f t="shared" si="21"/>
        <v>0</v>
      </c>
      <c r="DA752" s="1485"/>
      <c r="DB752" s="1485"/>
      <c r="DC752" s="1485"/>
      <c r="DD752" s="1485"/>
      <c r="DE752" s="1485">
        <f t="shared" si="22"/>
        <v>0</v>
      </c>
      <c r="DF752" s="1485"/>
      <c r="DG752" s="1485"/>
      <c r="DH752" s="1485"/>
      <c r="DI752" s="1485"/>
      <c r="DJ752" s="1485">
        <f t="shared" si="23"/>
        <v>0</v>
      </c>
      <c r="DK752" s="1485"/>
      <c r="DL752" s="1485"/>
      <c r="DM752" s="1485"/>
      <c r="DN752" s="1485"/>
      <c r="DO752" s="1485">
        <f t="shared" si="24"/>
        <v>0</v>
      </c>
      <c r="DP752" s="1485"/>
      <c r="DQ752" s="1485"/>
      <c r="DR752" s="1485"/>
      <c r="DS752" s="1485"/>
      <c r="DT752" s="6"/>
      <c r="DU752" s="1486">
        <f t="shared" si="25"/>
        <v>0</v>
      </c>
      <c r="DV752" s="1486"/>
      <c r="DW752" s="1486"/>
      <c r="DX752" s="1486"/>
      <c r="DY752" s="1486"/>
      <c r="DZ752" s="1486">
        <f t="shared" si="26"/>
        <v>0</v>
      </c>
      <c r="EA752" s="1486"/>
      <c r="EB752" s="1486"/>
      <c r="EC752" s="1486"/>
      <c r="ED752" s="1486"/>
      <c r="EE752" s="1486">
        <f t="shared" si="27"/>
        <v>0</v>
      </c>
      <c r="EF752" s="1486"/>
      <c r="EG752" s="1486"/>
      <c r="EH752" s="1486"/>
      <c r="EI752" s="1486"/>
      <c r="EJ752" s="1486">
        <f t="shared" si="28"/>
        <v>0</v>
      </c>
      <c r="EK752" s="1486"/>
      <c r="EL752" s="1486"/>
      <c r="EM752" s="1486"/>
      <c r="EN752" s="1486"/>
      <c r="EO752" s="1486">
        <f t="shared" si="29"/>
        <v>0</v>
      </c>
      <c r="EP752" s="1486"/>
      <c r="EQ752" s="1486"/>
      <c r="ER752" s="1486"/>
      <c r="ES752" s="1486"/>
      <c r="ET752" s="1486">
        <f t="shared" si="30"/>
        <v>0</v>
      </c>
      <c r="EU752" s="1486"/>
      <c r="EV752" s="1486"/>
      <c r="EW752" s="1486"/>
      <c r="EX752" s="1486"/>
      <c r="EY752"/>
      <c r="EZ752" s="1512" t="str">
        <f t="shared" si="31"/>
        <v/>
      </c>
      <c r="FA752" s="1513"/>
      <c r="FB752" s="1513"/>
      <c r="FC752" s="1513"/>
      <c r="FD752" s="1514"/>
      <c r="FE752" s="1512" t="str">
        <f t="shared" si="32"/>
        <v/>
      </c>
      <c r="FF752" s="1513"/>
      <c r="FG752" s="1513"/>
      <c r="FH752" s="1513"/>
      <c r="FI752" s="1514"/>
      <c r="FJ752" s="1512" t="str">
        <f t="shared" si="33"/>
        <v/>
      </c>
      <c r="FK752" s="1513"/>
      <c r="FL752" s="1513"/>
      <c r="FM752" s="1513"/>
      <c r="FN752" s="1514"/>
      <c r="FO752" s="1512" t="str">
        <f t="shared" si="34"/>
        <v/>
      </c>
      <c r="FP752" s="1513"/>
      <c r="FQ752" s="1513"/>
      <c r="FR752" s="1513"/>
      <c r="FS752" s="1514"/>
      <c r="FT752" s="1512" t="str">
        <f t="shared" si="35"/>
        <v/>
      </c>
      <c r="FU752" s="1513"/>
      <c r="FV752" s="1513"/>
      <c r="FW752" s="1513"/>
      <c r="FX752" s="1514"/>
      <c r="FY752" s="1512" t="str">
        <f t="shared" si="36"/>
        <v/>
      </c>
      <c r="FZ752" s="1513"/>
      <c r="GA752" s="1513"/>
      <c r="GB752" s="1513"/>
      <c r="GC752" s="1514"/>
    </row>
    <row r="753" spans="1:185" s="3" customFormat="1" ht="13.05" customHeight="1">
      <c r="A753"/>
      <c r="B753" s="1502" t="s">
        <v>125</v>
      </c>
      <c r="C753" s="1503"/>
      <c r="D753" s="1503"/>
      <c r="E753" s="1503"/>
      <c r="F753" s="1504"/>
      <c r="G753" s="1404">
        <f>SUM(G718:G752)</f>
        <v>45</v>
      </c>
      <c r="H753" s="1405"/>
      <c r="I753" s="1405"/>
      <c r="J753" s="1406"/>
      <c r="K753" s="902" t="s">
        <v>124</v>
      </c>
      <c r="L753" s="5"/>
      <c r="M753" s="5"/>
      <c r="N753" s="46"/>
      <c r="O753" s="1395">
        <f>SUMPRODUCT(G718:G752,O718:O752)</f>
        <v>44930</v>
      </c>
      <c r="P753" s="1396"/>
      <c r="Q753" s="1396"/>
      <c r="R753" s="1396"/>
      <c r="S753" s="1397"/>
      <c r="T753"/>
      <c r="U753"/>
      <c r="V753"/>
      <c r="W753"/>
      <c r="X753" s="904" t="s">
        <v>900</v>
      </c>
      <c r="Y753" s="903"/>
      <c r="Z753" s="903"/>
      <c r="AA753" s="903"/>
      <c r="AB753" s="905"/>
      <c r="AC753" s="1398">
        <f>BH753</f>
        <v>0.49777777777777771</v>
      </c>
      <c r="AD753" s="1399"/>
      <c r="AE753" s="1399"/>
      <c r="AF753" s="1399"/>
      <c r="AG753" s="1400"/>
      <c r="AH753" s="1398">
        <f>IFERROR(BU753,"")</f>
        <v>0.49778193492846662</v>
      </c>
      <c r="AI753" s="1399"/>
      <c r="AJ753" s="1400"/>
      <c r="AK753"/>
      <c r="AL753"/>
      <c r="AM753"/>
      <c r="AN753"/>
      <c r="AO753"/>
      <c r="AP753" s="205"/>
      <c r="AQ753" s="205"/>
      <c r="AR753" s="205"/>
      <c r="AS753" s="205"/>
      <c r="AT753"/>
      <c r="AU753"/>
      <c r="AV753"/>
      <c r="AW753"/>
      <c r="AX753"/>
      <c r="AY753"/>
      <c r="AZ753" s="34"/>
      <c r="BA753" s="34"/>
      <c r="BB753" s="34"/>
      <c r="BC753" s="34"/>
      <c r="BE753" s="290" t="s">
        <v>899</v>
      </c>
      <c r="BF753" s="299">
        <f>SUM(BF718:BF752)</f>
        <v>45</v>
      </c>
      <c r="BG753" s="300">
        <f>SUM(BG718:BG752)</f>
        <v>0.99999999999999989</v>
      </c>
      <c r="BH753" s="300">
        <f>SUM(BH718:BH752)</f>
        <v>0.49777777777777771</v>
      </c>
      <c r="BI753"/>
      <c r="BJ753"/>
      <c r="BK753"/>
      <c r="BL753"/>
      <c r="BO753"/>
      <c r="BP753"/>
      <c r="BQ753"/>
      <c r="BR753"/>
      <c r="BS753" s="859">
        <f>SUM(BS718:BS752)</f>
        <v>45</v>
      </c>
      <c r="BT753" s="300">
        <f>SUM(BT718:BT752)</f>
        <v>0.99999999999999989</v>
      </c>
      <c r="BU753" s="300">
        <f>SUM(BU718:BU752)</f>
        <v>0.49778193492846662</v>
      </c>
      <c r="CI753" s="1512">
        <f>SUM(CI718:CJ752)</f>
        <v>28</v>
      </c>
      <c r="CJ753" s="1514"/>
      <c r="CM753" s="1512">
        <f>SUM(CM718:CN752)</f>
        <v>6</v>
      </c>
      <c r="CN753" s="1514"/>
      <c r="CP753" s="1512">
        <f>SUM(CP718:CT752)</f>
        <v>0</v>
      </c>
      <c r="CQ753" s="1513"/>
      <c r="CR753" s="1513"/>
      <c r="CS753" s="1513"/>
      <c r="CT753" s="1514"/>
      <c r="CU753" s="1487">
        <f>SUM(CU718:CY752)</f>
        <v>12</v>
      </c>
      <c r="CV753" s="1487"/>
      <c r="CW753" s="1487"/>
      <c r="CX753" s="1487"/>
      <c r="CY753" s="1487"/>
      <c r="CZ753" s="1487">
        <f>SUM(CZ718:DD752)</f>
        <v>18</v>
      </c>
      <c r="DA753" s="1487"/>
      <c r="DB753" s="1487"/>
      <c r="DC753" s="1487"/>
      <c r="DD753" s="1487"/>
      <c r="DE753" s="1487">
        <f>SUM(DE718:DI752)</f>
        <v>15</v>
      </c>
      <c r="DF753" s="1487"/>
      <c r="DG753" s="1487"/>
      <c r="DH753" s="1487"/>
      <c r="DI753" s="1487"/>
      <c r="DJ753" s="1487">
        <f>SUM(DJ718:DN752)</f>
        <v>0</v>
      </c>
      <c r="DK753" s="1487"/>
      <c r="DL753" s="1487"/>
      <c r="DM753" s="1487"/>
      <c r="DN753" s="1487"/>
      <c r="DO753" s="1487">
        <f>SUM(DO718:DS752)</f>
        <v>0</v>
      </c>
      <c r="DP753" s="1487"/>
      <c r="DQ753" s="1487"/>
      <c r="DR753" s="1487"/>
      <c r="DS753" s="1487"/>
      <c r="DT753" s="354"/>
      <c r="DU753" s="1487">
        <f>SUM(DU718:DY752)</f>
        <v>0</v>
      </c>
      <c r="DV753" s="1487"/>
      <c r="DW753" s="1487"/>
      <c r="DX753" s="1487"/>
      <c r="DY753" s="1487"/>
      <c r="DZ753" s="1487">
        <f>SUM(DZ718:ED752)</f>
        <v>2</v>
      </c>
      <c r="EA753" s="1487"/>
      <c r="EB753" s="1487"/>
      <c r="EC753" s="1487"/>
      <c r="ED753" s="1487"/>
      <c r="EE753" s="1487">
        <f>SUM(EE718:EI752)</f>
        <v>2</v>
      </c>
      <c r="EF753" s="1487"/>
      <c r="EG753" s="1487"/>
      <c r="EH753" s="1487"/>
      <c r="EI753" s="1487"/>
      <c r="EJ753" s="1487">
        <f>SUM(EJ718:EN752)</f>
        <v>2</v>
      </c>
      <c r="EK753" s="1487"/>
      <c r="EL753" s="1487"/>
      <c r="EM753" s="1487"/>
      <c r="EN753" s="1487"/>
      <c r="EO753" s="1487">
        <f>SUM(EO718:ES752)</f>
        <v>0</v>
      </c>
      <c r="EP753" s="1487"/>
      <c r="EQ753" s="1487"/>
      <c r="ER753" s="1487"/>
      <c r="ES753" s="1487"/>
      <c r="ET753" s="1487">
        <f>SUM(ET718:EX752)</f>
        <v>0</v>
      </c>
      <c r="EU753" s="1487"/>
      <c r="EV753" s="1487"/>
      <c r="EW753" s="1487"/>
      <c r="EX753" s="1487"/>
      <c r="EY753"/>
      <c r="EZ753" s="1487">
        <f>SUM(EZ718:FD752)</f>
        <v>0</v>
      </c>
      <c r="FA753" s="1487"/>
      <c r="FB753" s="1487"/>
      <c r="FC753" s="1487"/>
      <c r="FD753" s="1487"/>
      <c r="FE753" s="1487">
        <f>SUM(FE718:FI752)</f>
        <v>2350</v>
      </c>
      <c r="FF753" s="1487"/>
      <c r="FG753" s="1487"/>
      <c r="FH753" s="1487"/>
      <c r="FI753" s="1487"/>
      <c r="FJ753" s="1487">
        <f>SUM(FJ718:FN752)</f>
        <v>2759</v>
      </c>
      <c r="FK753" s="1487"/>
      <c r="FL753" s="1487"/>
      <c r="FM753" s="1487"/>
      <c r="FN753" s="1487"/>
      <c r="FO753" s="1487">
        <f>SUM(FO718:FS752)</f>
        <v>3130</v>
      </c>
      <c r="FP753" s="1487"/>
      <c r="FQ753" s="1487"/>
      <c r="FR753" s="1487"/>
      <c r="FS753" s="1487"/>
      <c r="FT753" s="1487">
        <f>SUM(FT718:FX752)</f>
        <v>0</v>
      </c>
      <c r="FU753" s="1487"/>
      <c r="FV753" s="1487"/>
      <c r="FW753" s="1487"/>
      <c r="FX753" s="1487"/>
      <c r="FY753" s="1487">
        <f>SUM(FY718:GC752)</f>
        <v>0</v>
      </c>
      <c r="FZ753" s="1487"/>
      <c r="GA753" s="1487"/>
      <c r="GB753" s="1487"/>
      <c r="GC753" s="1487"/>
    </row>
    <row r="754" spans="1:185" s="3" customFormat="1" ht="13.05" customHeight="1">
      <c r="A754"/>
      <c r="B754" s="1641" t="s">
        <v>1893</v>
      </c>
      <c r="C754" s="1641"/>
      <c r="D754" s="1641"/>
      <c r="E754" s="1641"/>
      <c r="F754" s="1641"/>
      <c r="G754" s="1641"/>
      <c r="H754" s="1641"/>
      <c r="I754" s="1641"/>
      <c r="J754" s="1641"/>
      <c r="K754" s="1641"/>
      <c r="L754" s="1641"/>
      <c r="M754" s="1641"/>
      <c r="N754" s="1641"/>
      <c r="O754" s="1641"/>
      <c r="P754" s="1641"/>
      <c r="Q754" s="1641"/>
      <c r="R754" s="1641"/>
      <c r="S754" s="1641"/>
      <c r="T754" s="1641"/>
      <c r="U754" s="1641"/>
      <c r="V754" s="1641"/>
      <c r="W754" s="1641"/>
      <c r="X754" s="1641"/>
      <c r="Y754" s="1641"/>
      <c r="Z754" s="1641"/>
      <c r="AA754" s="1641"/>
      <c r="AB754" s="1641"/>
      <c r="AC754" s="1641"/>
      <c r="AD754" s="1641"/>
      <c r="AE754" s="1641"/>
      <c r="AF754" s="1641"/>
      <c r="AG754" s="1641"/>
      <c r="AH754" s="1641"/>
      <c r="AI754"/>
      <c r="AJ754"/>
      <c r="AK754"/>
      <c r="AT754"/>
      <c r="AU754"/>
      <c r="AV754"/>
      <c r="AW754"/>
      <c r="AX754"/>
      <c r="AY754"/>
      <c r="CD754"/>
      <c r="DN754" s="56" t="s">
        <v>1860</v>
      </c>
      <c r="DO754" s="1512">
        <f>CP753+CU753+CZ753+DE753+DJ753+DO753</f>
        <v>45</v>
      </c>
      <c r="DP754" s="1513"/>
      <c r="DQ754" s="1513"/>
      <c r="DR754" s="1513"/>
      <c r="DS754" s="151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41"/>
      <c r="C755" s="1641"/>
      <c r="D755" s="1641"/>
      <c r="E755" s="1641"/>
      <c r="F755" s="1641"/>
      <c r="G755" s="1641"/>
      <c r="H755" s="1641"/>
      <c r="I755" s="1641"/>
      <c r="J755" s="1641"/>
      <c r="K755" s="1641"/>
      <c r="L755" s="1641"/>
      <c r="M755" s="1641"/>
      <c r="N755" s="1641"/>
      <c r="O755" s="1641"/>
      <c r="P755" s="1641"/>
      <c r="Q755" s="1641"/>
      <c r="R755" s="1641"/>
      <c r="S755" s="1641"/>
      <c r="T755" s="1641"/>
      <c r="U755" s="1641"/>
      <c r="V755" s="1641"/>
      <c r="W755" s="1641"/>
      <c r="X755" s="1641"/>
      <c r="Y755" s="1641"/>
      <c r="Z755" s="1641"/>
      <c r="AA755" s="1641"/>
      <c r="AB755" s="1641"/>
      <c r="AC755" s="1641"/>
      <c r="AD755" s="1641"/>
      <c r="AE755" s="1641"/>
      <c r="AF755" s="1641"/>
      <c r="AG755" s="1641"/>
      <c r="AH755" s="164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12</v>
      </c>
      <c r="CZ755" s="3"/>
      <c r="DA755" s="3"/>
      <c r="DB755" s="3"/>
      <c r="DC755" s="3"/>
      <c r="DD755" s="861">
        <f>CZ753*2</f>
        <v>36</v>
      </c>
      <c r="DE755" s="3"/>
      <c r="DF755" s="3"/>
      <c r="DG755" s="3"/>
      <c r="DH755" s="3"/>
      <c r="DI755" s="861">
        <f>DE753*3</f>
        <v>45</v>
      </c>
      <c r="DJ755" s="3"/>
      <c r="DK755" s="3"/>
      <c r="DL755" s="3"/>
      <c r="DM755" s="3"/>
      <c r="DN755" s="861">
        <f>DJ753*4</f>
        <v>0</v>
      </c>
      <c r="DO755" s="3"/>
      <c r="DP755" s="3"/>
      <c r="DQ755" s="3"/>
      <c r="DR755" s="3"/>
      <c r="DS755" s="861">
        <f>DO753*5</f>
        <v>0</v>
      </c>
      <c r="DU755" s="861">
        <f>CT755+CY755+DD755+DI755+DN755+DS755</f>
        <v>93</v>
      </c>
      <c r="DV755" s="57" t="s">
        <v>1862</v>
      </c>
      <c r="DW755" s="3"/>
      <c r="DX755" s="3"/>
      <c r="DY755" s="3"/>
      <c r="DZ755" s="3"/>
      <c r="EA755" s="3"/>
      <c r="EB755" s="3"/>
      <c r="EC755" s="3"/>
      <c r="ED755" s="3"/>
      <c r="EE755" s="3"/>
      <c r="EF755" s="3"/>
      <c r="EG755" s="3"/>
      <c r="EH755" s="3"/>
    </row>
    <row r="756" spans="1:185" ht="13.05" customHeight="1">
      <c r="A756" s="3"/>
      <c r="B756" s="3"/>
      <c r="C756" s="118" t="s">
        <v>1891</v>
      </c>
      <c r="D756" s="1032"/>
      <c r="E756" s="1032"/>
      <c r="F756" s="1032"/>
      <c r="G756" s="1033"/>
      <c r="H756" s="1033"/>
      <c r="I756" s="1033"/>
      <c r="J756" s="1033"/>
      <c r="K756" s="1032"/>
      <c r="L756" s="1032"/>
      <c r="M756" s="1032"/>
      <c r="N756" s="1032"/>
      <c r="O756" s="1487">
        <f>DU755</f>
        <v>93</v>
      </c>
      <c r="P756" s="1487"/>
      <c r="Q756" s="1487"/>
      <c r="R756" s="1487"/>
      <c r="S756" s="969"/>
      <c r="T756" s="969"/>
      <c r="U756" s="118" t="s">
        <v>1892</v>
      </c>
      <c r="V756" s="1032"/>
      <c r="W756" s="1032"/>
      <c r="X756" s="1032"/>
      <c r="Y756" s="1033"/>
      <c r="Z756" s="1033"/>
      <c r="AA756" s="1033"/>
      <c r="AB756" s="1033"/>
      <c r="AC756" s="1032"/>
      <c r="AD756" s="1032"/>
      <c r="AE756" s="1032"/>
      <c r="AF756" s="1032"/>
      <c r="AG756" s="1731"/>
      <c r="AH756" s="1731"/>
      <c r="AI756" s="1731"/>
      <c r="AJ756" s="17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05" customHeight="1">
      <c r="B757" s="57"/>
      <c r="C757" s="1382" t="str">
        <f>IF(G753&lt;&gt;AG440,"! Total Low-Income Units in the Unit Mix Table above does not match the number of Total Low-Income Units on row #"&amp;TEXT(ROW(D440),"#"),"")</f>
        <v/>
      </c>
      <c r="D757" s="1382"/>
      <c r="E757" s="1382"/>
      <c r="F757" s="1382"/>
      <c r="G757" s="1382"/>
      <c r="H757" s="1382"/>
      <c r="I757" s="1382"/>
      <c r="J757" s="1382"/>
      <c r="K757" s="1382"/>
      <c r="L757" s="1382"/>
      <c r="M757" s="1382"/>
      <c r="N757" s="1382"/>
      <c r="O757" s="1382"/>
      <c r="P757" s="1382"/>
      <c r="Q757" s="1382"/>
      <c r="R757" s="1382"/>
      <c r="S757" s="1382"/>
      <c r="T757" s="1382"/>
      <c r="U757" s="1382"/>
      <c r="V757" s="1382"/>
      <c r="W757" s="1382"/>
      <c r="X757" s="1382"/>
      <c r="Y757" s="1382"/>
      <c r="Z757" s="1382"/>
      <c r="AA757" s="1382"/>
      <c r="AB757" s="1382"/>
      <c r="AC757" s="1382"/>
      <c r="AD757" s="1382"/>
      <c r="AE757" s="1382"/>
      <c r="AF757" s="1382"/>
      <c r="AG757" s="1382"/>
      <c r="AH757" s="1382"/>
      <c r="AI757" s="1382"/>
      <c r="AJ757" s="1382"/>
      <c r="AK757" s="1382"/>
      <c r="AL757" s="1382"/>
      <c r="AM757" s="138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2"/>
      <c r="D758" s="1382"/>
      <c r="E758" s="1382"/>
      <c r="F758" s="1382"/>
      <c r="G758" s="1382"/>
      <c r="H758" s="1382"/>
      <c r="I758" s="1382"/>
      <c r="J758" s="1382"/>
      <c r="K758" s="1382"/>
      <c r="L758" s="1382"/>
      <c r="M758" s="1382"/>
      <c r="N758" s="1382"/>
      <c r="O758" s="1382"/>
      <c r="P758" s="1382"/>
      <c r="Q758" s="1382"/>
      <c r="R758" s="1382"/>
      <c r="S758" s="1382"/>
      <c r="T758" s="1382"/>
      <c r="U758" s="1382"/>
      <c r="V758" s="1382"/>
      <c r="W758" s="1382"/>
      <c r="X758" s="1382"/>
      <c r="Y758" s="1382"/>
      <c r="Z758" s="1382"/>
      <c r="AA758" s="1382"/>
      <c r="AB758" s="1382"/>
      <c r="AC758" s="1382"/>
      <c r="AD758" s="1382"/>
      <c r="AE758" s="1382"/>
      <c r="AF758" s="1382"/>
      <c r="AG758" s="1382"/>
      <c r="AH758" s="1382"/>
      <c r="AI758" s="1382"/>
      <c r="AJ758" s="1382"/>
      <c r="AK758" s="1382"/>
      <c r="AL758" s="1382"/>
      <c r="AM758" s="138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438" t="s">
        <v>591</v>
      </c>
      <c r="AE759" s="1438"/>
      <c r="AF759" s="143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0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657" t="s">
        <v>389</v>
      </c>
      <c r="K769" s="1648"/>
      <c r="L769" s="1648"/>
      <c r="M769" s="1648"/>
      <c r="N769" s="1649"/>
      <c r="O769" s="1733" t="s">
        <v>285</v>
      </c>
      <c r="P769" s="1733"/>
      <c r="Q769" s="1733"/>
      <c r="R769" s="1733"/>
      <c r="S769" s="1733"/>
      <c r="T769" s="1658" t="s">
        <v>1679</v>
      </c>
      <c r="U769" s="1659"/>
      <c r="V769" s="1659"/>
      <c r="W769" s="1660"/>
      <c r="X769" s="1657" t="s">
        <v>447</v>
      </c>
      <c r="Y769" s="1648"/>
      <c r="Z769" s="1648"/>
      <c r="AA769" s="1648"/>
      <c r="AB769" s="1649"/>
      <c r="AC769" s="1657" t="s">
        <v>286</v>
      </c>
      <c r="AD769" s="1648"/>
      <c r="AE769" s="1648"/>
      <c r="AF769" s="1648"/>
      <c r="AG769" s="164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650"/>
      <c r="K770" s="1651"/>
      <c r="L770" s="1651"/>
      <c r="M770" s="1651"/>
      <c r="N770" s="1652"/>
      <c r="O770" s="1733"/>
      <c r="P770" s="1733"/>
      <c r="Q770" s="1733"/>
      <c r="R770" s="1733"/>
      <c r="S770" s="1733"/>
      <c r="T770" s="1661"/>
      <c r="U770" s="1662"/>
      <c r="V770" s="1662"/>
      <c r="W770" s="1663"/>
      <c r="X770" s="1650"/>
      <c r="Y770" s="1651"/>
      <c r="Z770" s="1651"/>
      <c r="AA770" s="1651"/>
      <c r="AB770" s="1652"/>
      <c r="AC770" s="1650"/>
      <c r="AD770" s="1651"/>
      <c r="AE770" s="1651"/>
      <c r="AF770" s="1651"/>
      <c r="AG770" s="165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650"/>
      <c r="K771" s="1651"/>
      <c r="L771" s="1651"/>
      <c r="M771" s="1651"/>
      <c r="N771" s="1652"/>
      <c r="O771" s="1733"/>
      <c r="P771" s="1733"/>
      <c r="Q771" s="1733"/>
      <c r="R771" s="1733"/>
      <c r="S771" s="1733"/>
      <c r="T771" s="1661"/>
      <c r="U771" s="1662"/>
      <c r="V771" s="1662"/>
      <c r="W771" s="1663"/>
      <c r="X771" s="1650"/>
      <c r="Y771" s="1651"/>
      <c r="Z771" s="1651"/>
      <c r="AA771" s="1651"/>
      <c r="AB771" s="1652"/>
      <c r="AC771" s="1650"/>
      <c r="AD771" s="1651"/>
      <c r="AE771" s="1651"/>
      <c r="AF771" s="1651"/>
      <c r="AG771" s="165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653"/>
      <c r="K772" s="1654"/>
      <c r="L772" s="1654"/>
      <c r="M772" s="1654"/>
      <c r="N772" s="1655"/>
      <c r="O772" s="1733"/>
      <c r="P772" s="1733"/>
      <c r="Q772" s="1733"/>
      <c r="R772" s="1733"/>
      <c r="S772" s="1733"/>
      <c r="T772" s="1664"/>
      <c r="U772" s="1665"/>
      <c r="V772" s="1665"/>
      <c r="W772" s="1666"/>
      <c r="X772" s="1653"/>
      <c r="Y772" s="1654"/>
      <c r="Z772" s="1654"/>
      <c r="AA772" s="1654"/>
      <c r="AB772" s="1655"/>
      <c r="AC772" s="1653"/>
      <c r="AD772" s="1654"/>
      <c r="AE772" s="1654"/>
      <c r="AF772" s="1654"/>
      <c r="AG772" s="165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83" t="s">
        <v>164</v>
      </c>
      <c r="K773" s="1384"/>
      <c r="L773" s="1384"/>
      <c r="M773" s="1384"/>
      <c r="N773" s="1385"/>
      <c r="O773" s="1613">
        <v>1</v>
      </c>
      <c r="P773" s="1613"/>
      <c r="Q773" s="1613"/>
      <c r="R773" s="1613"/>
      <c r="S773" s="1613"/>
      <c r="T773" s="1363">
        <v>985</v>
      </c>
      <c r="U773" s="1364"/>
      <c r="V773" s="1364"/>
      <c r="W773" s="1365"/>
      <c r="X773" s="1392"/>
      <c r="Y773" s="1393"/>
      <c r="Z773" s="1393"/>
      <c r="AA773" s="1393"/>
      <c r="AB773" s="1394"/>
      <c r="AC773" s="1395">
        <f>X773*O773</f>
        <v>0</v>
      </c>
      <c r="AD773" s="1396"/>
      <c r="AE773" s="1396"/>
      <c r="AF773" s="1396"/>
      <c r="AG773" s="139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15">
        <f>IF(J773="SRO/Studio",O773,0)</f>
        <v>0</v>
      </c>
      <c r="CQ773" s="1516"/>
      <c r="CR773" s="1516"/>
      <c r="CS773" s="1516"/>
      <c r="CT773" s="1517"/>
      <c r="CU773" s="1485">
        <f>IF(J773="1 Bedroom",O773,0)</f>
        <v>0</v>
      </c>
      <c r="CV773" s="1485"/>
      <c r="CW773" s="1485"/>
      <c r="CX773" s="1485"/>
      <c r="CY773" s="1485"/>
      <c r="CZ773" s="1485">
        <f>IF(J773="2 Bedrooms",O773,0)</f>
        <v>0</v>
      </c>
      <c r="DA773" s="1485"/>
      <c r="DB773" s="1485"/>
      <c r="DC773" s="1485"/>
      <c r="DD773" s="1485"/>
      <c r="DE773" s="1485">
        <f>IF(J773="3 Bedrooms",O773,0)</f>
        <v>1</v>
      </c>
      <c r="DF773" s="1485"/>
      <c r="DG773" s="1485"/>
      <c r="DH773" s="1485"/>
      <c r="DI773" s="1485"/>
      <c r="DJ773" s="1485">
        <f>IF(J773="4 Bedrooms",O773,0)</f>
        <v>0</v>
      </c>
      <c r="DK773" s="1485"/>
      <c r="DL773" s="1485"/>
      <c r="DM773" s="1485"/>
      <c r="DN773" s="1485"/>
      <c r="DO773" s="1485">
        <f>IF(J773="5 Bedrooms",O773,0)</f>
        <v>0</v>
      </c>
      <c r="DP773" s="1485"/>
      <c r="DQ773" s="1485"/>
      <c r="DR773" s="1485"/>
      <c r="DS773" s="1485"/>
      <c r="DT773" s="6"/>
      <c r="DU773" s="3"/>
      <c r="DV773" s="3"/>
    </row>
    <row r="774" spans="1:126" ht="13.05" customHeight="1">
      <c r="J774" s="1383"/>
      <c r="K774" s="1384"/>
      <c r="L774" s="1384"/>
      <c r="M774" s="1384"/>
      <c r="N774" s="1385"/>
      <c r="O774" s="1613"/>
      <c r="P774" s="1613"/>
      <c r="Q774" s="1613"/>
      <c r="R774" s="1613"/>
      <c r="S774" s="1613"/>
      <c r="T774" s="1363"/>
      <c r="U774" s="1364"/>
      <c r="V774" s="1364"/>
      <c r="W774" s="1365"/>
      <c r="X774" s="1392"/>
      <c r="Y774" s="1393"/>
      <c r="Z774" s="1393"/>
      <c r="AA774" s="1393"/>
      <c r="AB774" s="1394"/>
      <c r="AC774" s="1395">
        <f>X774*O774</f>
        <v>0</v>
      </c>
      <c r="AD774" s="1396"/>
      <c r="AE774" s="1396"/>
      <c r="AF774" s="1396"/>
      <c r="AG774" s="139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15">
        <f>IF(J774="SRO/Studio",O774,0)</f>
        <v>0</v>
      </c>
      <c r="CQ774" s="1516"/>
      <c r="CR774" s="1516"/>
      <c r="CS774" s="1516"/>
      <c r="CT774" s="1517"/>
      <c r="CU774" s="1485">
        <f>IF(J774="1 Bedroom",O774,0)</f>
        <v>0</v>
      </c>
      <c r="CV774" s="1485"/>
      <c r="CW774" s="1485"/>
      <c r="CX774" s="1485"/>
      <c r="CY774" s="1485"/>
      <c r="CZ774" s="1485">
        <f>IF(J774="2 Bedrooms",O774,0)</f>
        <v>0</v>
      </c>
      <c r="DA774" s="1485"/>
      <c r="DB774" s="1485"/>
      <c r="DC774" s="1485"/>
      <c r="DD774" s="1485"/>
      <c r="DE774" s="1485">
        <f>IF(J774="3 Bedrooms",O774,0)</f>
        <v>0</v>
      </c>
      <c r="DF774" s="1485"/>
      <c r="DG774" s="1485"/>
      <c r="DH774" s="1485"/>
      <c r="DI774" s="1485"/>
      <c r="DJ774" s="1485">
        <f>IF(J774="4 Bedrooms",O774,0)</f>
        <v>0</v>
      </c>
      <c r="DK774" s="1485"/>
      <c r="DL774" s="1485"/>
      <c r="DM774" s="1485"/>
      <c r="DN774" s="1485"/>
      <c r="DO774" s="1485">
        <f>IF(J774="5 Bedrooms",O774,0)</f>
        <v>0</v>
      </c>
      <c r="DP774" s="1485"/>
      <c r="DQ774" s="1485"/>
      <c r="DR774" s="1485"/>
      <c r="DS774" s="1485"/>
      <c r="DT774" s="6"/>
      <c r="DU774" s="3"/>
      <c r="DV774" s="3"/>
    </row>
    <row r="775" spans="1:126" ht="13.05" customHeight="1">
      <c r="J775" s="1383"/>
      <c r="K775" s="1384"/>
      <c r="L775" s="1384"/>
      <c r="M775" s="1384"/>
      <c r="N775" s="1385"/>
      <c r="O775" s="1613"/>
      <c r="P775" s="1613"/>
      <c r="Q775" s="1613"/>
      <c r="R775" s="1613"/>
      <c r="S775" s="1613"/>
      <c r="T775" s="1363"/>
      <c r="U775" s="1364"/>
      <c r="V775" s="1364"/>
      <c r="W775" s="1365"/>
      <c r="X775" s="1392"/>
      <c r="Y775" s="1393"/>
      <c r="Z775" s="1393"/>
      <c r="AA775" s="1393"/>
      <c r="AB775" s="1394"/>
      <c r="AC775" s="1395">
        <f>X775*O775</f>
        <v>0</v>
      </c>
      <c r="AD775" s="1396"/>
      <c r="AE775" s="1396"/>
      <c r="AF775" s="1396"/>
      <c r="AG775" s="139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15">
        <f>IF(J775="SRO/Studio",O775,0)</f>
        <v>0</v>
      </c>
      <c r="CQ775" s="1516"/>
      <c r="CR775" s="1516"/>
      <c r="CS775" s="1516"/>
      <c r="CT775" s="1517"/>
      <c r="CU775" s="1485">
        <f>IF(J775="1 Bedroom",O775,0)</f>
        <v>0</v>
      </c>
      <c r="CV775" s="1485"/>
      <c r="CW775" s="1485"/>
      <c r="CX775" s="1485"/>
      <c r="CY775" s="1485"/>
      <c r="CZ775" s="1485">
        <f>IF(J775="2 Bedrooms",O775,0)</f>
        <v>0</v>
      </c>
      <c r="DA775" s="1485"/>
      <c r="DB775" s="1485"/>
      <c r="DC775" s="1485"/>
      <c r="DD775" s="1485"/>
      <c r="DE775" s="1485">
        <f>IF(J775="3 Bedrooms",O775,0)</f>
        <v>0</v>
      </c>
      <c r="DF775" s="1485"/>
      <c r="DG775" s="1485"/>
      <c r="DH775" s="1485"/>
      <c r="DI775" s="1485"/>
      <c r="DJ775" s="1485">
        <f>IF(J775="4 Bedrooms",O775,0)</f>
        <v>0</v>
      </c>
      <c r="DK775" s="1485"/>
      <c r="DL775" s="1485"/>
      <c r="DM775" s="1485"/>
      <c r="DN775" s="1485"/>
      <c r="DO775" s="1485">
        <f>IF(J775="5 Bedrooms",O775,0)</f>
        <v>0</v>
      </c>
      <c r="DP775" s="1485"/>
      <c r="DQ775" s="1485"/>
      <c r="DR775" s="1485"/>
      <c r="DS775" s="1485"/>
      <c r="DT775" s="1012"/>
    </row>
    <row r="776" spans="1:126" ht="13.05" customHeight="1">
      <c r="J776" s="1383"/>
      <c r="K776" s="1384"/>
      <c r="L776" s="1384"/>
      <c r="M776" s="1384"/>
      <c r="N776" s="1385"/>
      <c r="O776" s="1613"/>
      <c r="P776" s="1613"/>
      <c r="Q776" s="1613"/>
      <c r="R776" s="1613"/>
      <c r="S776" s="1613"/>
      <c r="T776" s="1363"/>
      <c r="U776" s="1364"/>
      <c r="V776" s="1364"/>
      <c r="W776" s="1365"/>
      <c r="X776" s="1392"/>
      <c r="Y776" s="1393"/>
      <c r="Z776" s="1393"/>
      <c r="AA776" s="1393"/>
      <c r="AB776" s="1394"/>
      <c r="AC776" s="1395">
        <f>X776*O776</f>
        <v>0</v>
      </c>
      <c r="AD776" s="1396"/>
      <c r="AE776" s="1396"/>
      <c r="AF776" s="1396"/>
      <c r="AG776" s="139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15">
        <f>IF(J776="SRO/Studio",O776,0)</f>
        <v>0</v>
      </c>
      <c r="CQ776" s="1516"/>
      <c r="CR776" s="1516"/>
      <c r="CS776" s="1516"/>
      <c r="CT776" s="1517"/>
      <c r="CU776" s="1485">
        <f>IF(J776="1 Bedroom",O776,0)</f>
        <v>0</v>
      </c>
      <c r="CV776" s="1485"/>
      <c r="CW776" s="1485"/>
      <c r="CX776" s="1485"/>
      <c r="CY776" s="1485"/>
      <c r="CZ776" s="1485">
        <f>IF(J776="2 Bedrooms",O776,0)</f>
        <v>0</v>
      </c>
      <c r="DA776" s="1485"/>
      <c r="DB776" s="1485"/>
      <c r="DC776" s="1485"/>
      <c r="DD776" s="1485"/>
      <c r="DE776" s="1485">
        <f>IF(J776="3 Bedrooms",O776,0)</f>
        <v>0</v>
      </c>
      <c r="DF776" s="1485"/>
      <c r="DG776" s="1485"/>
      <c r="DH776" s="1485"/>
      <c r="DI776" s="1485"/>
      <c r="DJ776" s="1485">
        <f>IF(J776="4 Bedrooms",O776,0)</f>
        <v>0</v>
      </c>
      <c r="DK776" s="1485"/>
      <c r="DL776" s="1485"/>
      <c r="DM776" s="1485"/>
      <c r="DN776" s="1485"/>
      <c r="DO776" s="1485">
        <f>IF(J776="5 Bedrooms",O776,0)</f>
        <v>0</v>
      </c>
      <c r="DP776" s="1485"/>
      <c r="DQ776" s="1485"/>
      <c r="DR776" s="1485"/>
      <c r="DS776" s="1485"/>
    </row>
    <row r="777" spans="1:126" ht="13.05" customHeight="1">
      <c r="J777" s="1502" t="s">
        <v>125</v>
      </c>
      <c r="K777" s="1503"/>
      <c r="L777" s="1503"/>
      <c r="M777" s="1503"/>
      <c r="N777" s="1504"/>
      <c r="O777" s="1518">
        <f>SUM(O773:S776)</f>
        <v>1</v>
      </c>
      <c r="P777" s="1519"/>
      <c r="Q777" s="1519"/>
      <c r="R777" s="1519"/>
      <c r="S777" s="1520"/>
      <c r="X777" s="1502" t="s">
        <v>124</v>
      </c>
      <c r="Y777" s="1503"/>
      <c r="Z777" s="1503"/>
      <c r="AA777" s="1503"/>
      <c r="AB777" s="1504"/>
      <c r="AC777" s="1395">
        <f>SUM(AC773:AG776)</f>
        <v>0</v>
      </c>
      <c r="AD777" s="1396"/>
      <c r="AE777" s="1396"/>
      <c r="AF777" s="1396"/>
      <c r="AG777" s="139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18">
        <f>SUM(CP773:CT776)</f>
        <v>0</v>
      </c>
      <c r="CQ777" s="1519"/>
      <c r="CR777" s="1519"/>
      <c r="CS777" s="1519"/>
      <c r="CT777" s="1520"/>
      <c r="CU777" s="1521">
        <f>SUM(CU773:CY776)</f>
        <v>0</v>
      </c>
      <c r="CV777" s="1522"/>
      <c r="CW777" s="1522"/>
      <c r="CX777" s="1522"/>
      <c r="CY777" s="1523"/>
      <c r="CZ777" s="1521">
        <f>SUM(CZ773:DD776)</f>
        <v>0</v>
      </c>
      <c r="DA777" s="1522"/>
      <c r="DB777" s="1522"/>
      <c r="DC777" s="1522"/>
      <c r="DD777" s="1523"/>
      <c r="DE777" s="1521">
        <f>SUM(DE773:DI776)</f>
        <v>1</v>
      </c>
      <c r="DF777" s="1522"/>
      <c r="DG777" s="1522"/>
      <c r="DH777" s="1522"/>
      <c r="DI777" s="1523"/>
      <c r="DJ777" s="1521">
        <f>SUM(DJ773:DN776)</f>
        <v>0</v>
      </c>
      <c r="DK777" s="1522"/>
      <c r="DL777" s="1522"/>
      <c r="DM777" s="1522"/>
      <c r="DN777" s="1523"/>
      <c r="DO777" s="1521">
        <f>SUM(DO773:DS776)</f>
        <v>0</v>
      </c>
      <c r="DP777" s="1522"/>
      <c r="DQ777" s="1522"/>
      <c r="DR777" s="1522"/>
      <c r="DS777" s="1523"/>
      <c r="DU777" s="861">
        <f>CP777+CU777+CZ777+DE777+DJ777+DO777</f>
        <v>1</v>
      </c>
      <c r="DV777" s="57" t="s">
        <v>1859</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3.05" customHeight="1">
      <c r="B779" s="56"/>
      <c r="C779" s="56"/>
      <c r="D779" s="56"/>
      <c r="E779" s="56"/>
      <c r="F779" s="56"/>
      <c r="G779" s="6"/>
      <c r="H779" s="6"/>
      <c r="I779" s="6"/>
      <c r="J779" s="1598" t="s">
        <v>669</v>
      </c>
      <c r="K779" s="1598"/>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657" t="s">
        <v>389</v>
      </c>
      <c r="K783" s="1648"/>
      <c r="L783" s="1648"/>
      <c r="M783" s="1648"/>
      <c r="N783" s="1649"/>
      <c r="O783" s="1733" t="s">
        <v>285</v>
      </c>
      <c r="P783" s="1733"/>
      <c r="Q783" s="1733"/>
      <c r="R783" s="1733"/>
      <c r="S783" s="1733"/>
      <c r="T783" s="1658" t="s">
        <v>1679</v>
      </c>
      <c r="U783" s="1659"/>
      <c r="V783" s="1659"/>
      <c r="W783" s="1660"/>
      <c r="X783" s="1657" t="s">
        <v>447</v>
      </c>
      <c r="Y783" s="1648"/>
      <c r="Z783" s="1648"/>
      <c r="AA783" s="1648"/>
      <c r="AB783" s="1649"/>
      <c r="AC783" s="1657" t="s">
        <v>286</v>
      </c>
      <c r="AD783" s="1648"/>
      <c r="AE783" s="1648"/>
      <c r="AF783" s="1648"/>
      <c r="AG783" s="164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650"/>
      <c r="K784" s="1651"/>
      <c r="L784" s="1651"/>
      <c r="M784" s="1651"/>
      <c r="N784" s="1652"/>
      <c r="O784" s="1733"/>
      <c r="P784" s="1733"/>
      <c r="Q784" s="1733"/>
      <c r="R784" s="1733"/>
      <c r="S784" s="1733"/>
      <c r="T784" s="1661"/>
      <c r="U784" s="1662"/>
      <c r="V784" s="1662"/>
      <c r="W784" s="1663"/>
      <c r="X784" s="1650"/>
      <c r="Y784" s="1651"/>
      <c r="Z784" s="1651"/>
      <c r="AA784" s="1651"/>
      <c r="AB784" s="1652"/>
      <c r="AC784" s="1650"/>
      <c r="AD784" s="1651"/>
      <c r="AE784" s="1651"/>
      <c r="AF784" s="1651"/>
      <c r="AG784" s="165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650"/>
      <c r="K785" s="1651"/>
      <c r="L785" s="1651"/>
      <c r="M785" s="1651"/>
      <c r="N785" s="1652"/>
      <c r="O785" s="1733"/>
      <c r="P785" s="1733"/>
      <c r="Q785" s="1733"/>
      <c r="R785" s="1733"/>
      <c r="S785" s="1733"/>
      <c r="T785" s="1661"/>
      <c r="U785" s="1662"/>
      <c r="V785" s="1662"/>
      <c r="W785" s="1663"/>
      <c r="X785" s="1650"/>
      <c r="Y785" s="1651"/>
      <c r="Z785" s="1651"/>
      <c r="AA785" s="1651"/>
      <c r="AB785" s="1652"/>
      <c r="AC785" s="1650"/>
      <c r="AD785" s="1651"/>
      <c r="AE785" s="1651"/>
      <c r="AF785" s="1651"/>
      <c r="AG785" s="165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653"/>
      <c r="K786" s="1654"/>
      <c r="L786" s="1654"/>
      <c r="M786" s="1654"/>
      <c r="N786" s="1655"/>
      <c r="O786" s="1733"/>
      <c r="P786" s="1733"/>
      <c r="Q786" s="1733"/>
      <c r="R786" s="1733"/>
      <c r="S786" s="1733"/>
      <c r="T786" s="1664"/>
      <c r="U786" s="1665"/>
      <c r="V786" s="1665"/>
      <c r="W786" s="1666"/>
      <c r="X786" s="1653"/>
      <c r="Y786" s="1654"/>
      <c r="Z786" s="1654"/>
      <c r="AA786" s="1654"/>
      <c r="AB786" s="1655"/>
      <c r="AC786" s="1653"/>
      <c r="AD786" s="1654"/>
      <c r="AE786" s="1654"/>
      <c r="AF786" s="1654"/>
      <c r="AG786" s="165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05" customHeight="1">
      <c r="J787" s="1383"/>
      <c r="K787" s="1384"/>
      <c r="L787" s="1384"/>
      <c r="M787" s="1384"/>
      <c r="N787" s="1385"/>
      <c r="O787" s="1613"/>
      <c r="P787" s="1613"/>
      <c r="Q787" s="1613"/>
      <c r="R787" s="1613"/>
      <c r="S787" s="1613"/>
      <c r="T787" s="1363"/>
      <c r="U787" s="1364"/>
      <c r="V787" s="1364"/>
      <c r="W787" s="1365"/>
      <c r="X787" s="1392"/>
      <c r="Y787" s="1393"/>
      <c r="Z787" s="1393"/>
      <c r="AA787" s="1393"/>
      <c r="AB787" s="1394"/>
      <c r="AC787" s="1395">
        <f t="shared" ref="AC787:AC796" si="41">X787*O787</f>
        <v>0</v>
      </c>
      <c r="AD787" s="1396"/>
      <c r="AE787" s="1396"/>
      <c r="AF787" s="1396"/>
      <c r="AG787" s="139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15">
        <f t="shared" ref="CP787:CP796" si="42">IF(J787="SRO/Studio",O787,0)</f>
        <v>0</v>
      </c>
      <c r="CQ787" s="1516"/>
      <c r="CR787" s="1516"/>
      <c r="CS787" s="1516"/>
      <c r="CT787" s="1517"/>
      <c r="CU787" s="1515">
        <f t="shared" ref="CU787:CU796" si="43">IF(J787="1 Bedroom",O787,0)</f>
        <v>0</v>
      </c>
      <c r="CV787" s="1516"/>
      <c r="CW787" s="1516"/>
      <c r="CX787" s="1516"/>
      <c r="CY787" s="1517"/>
      <c r="CZ787" s="1515">
        <f t="shared" ref="CZ787:CZ796" si="44">IF(J787="2 Bedrooms",O787,0)</f>
        <v>0</v>
      </c>
      <c r="DA787" s="1516"/>
      <c r="DB787" s="1516"/>
      <c r="DC787" s="1516"/>
      <c r="DD787" s="1517"/>
      <c r="DE787" s="1515">
        <f t="shared" ref="DE787:DE796" si="45">IF(J787="3 Bedrooms",O787,0)</f>
        <v>0</v>
      </c>
      <c r="DF787" s="1516"/>
      <c r="DG787" s="1516"/>
      <c r="DH787" s="1516"/>
      <c r="DI787" s="1517"/>
      <c r="DJ787" s="1515">
        <f t="shared" ref="DJ787:DJ796" si="46">IF(J787="4 Bedrooms",O787,0)</f>
        <v>0</v>
      </c>
      <c r="DK787" s="1516"/>
      <c r="DL787" s="1516"/>
      <c r="DM787" s="1516"/>
      <c r="DN787" s="1517"/>
      <c r="DO787" s="1515">
        <f t="shared" ref="DO787:DO796" si="47">IF(J787="5 Bedrooms",O787,0)</f>
        <v>0</v>
      </c>
      <c r="DP787" s="1516"/>
      <c r="DQ787" s="1516"/>
      <c r="DR787" s="1516"/>
      <c r="DS787" s="1517"/>
      <c r="DT787" s="6"/>
      <c r="DU787" s="1515">
        <f t="shared" ref="DU787:DU796" si="48">IF(AND(CP787&gt;=1,AH787&gt;=0.1,AH787&lt;=1),O787,0)</f>
        <v>0</v>
      </c>
      <c r="DV787" s="1516"/>
      <c r="DW787" s="1516"/>
      <c r="DX787" s="1516"/>
      <c r="DY787" s="1517"/>
      <c r="DZ787" s="1515">
        <f t="shared" ref="DZ787:DZ796" si="49">IF(AND(CU787&gt;=1,AH787&gt;=0.1,AH787&lt;=1),O787,0)</f>
        <v>0</v>
      </c>
      <c r="EA787" s="1516"/>
      <c r="EB787" s="1516"/>
      <c r="EC787" s="1516"/>
      <c r="ED787" s="1517"/>
      <c r="EE787" s="1515">
        <f t="shared" ref="EE787:EE796" si="50">IF(AND(CZ787&gt;=1,AH787&gt;=0.1,AH787&lt;=1),O787,0)</f>
        <v>0</v>
      </c>
      <c r="EF787" s="1516"/>
      <c r="EG787" s="1516"/>
      <c r="EH787" s="1516"/>
      <c r="EI787" s="1517"/>
      <c r="EJ787" s="1515">
        <f t="shared" ref="EJ787:EJ796" si="51">IF(AND(DE787&gt;=1,AH787&gt;=0.1,AH787&lt;=1),O787,0)</f>
        <v>0</v>
      </c>
      <c r="EK787" s="1516"/>
      <c r="EL787" s="1516"/>
      <c r="EM787" s="1516"/>
      <c r="EN787" s="1517"/>
      <c r="EO787" s="1515">
        <f t="shared" ref="EO787:EO796" si="52">IF(AND(DJ787&gt;=1,AH787&gt;=0.1,AH787&lt;=1),O787,0)</f>
        <v>0</v>
      </c>
      <c r="EP787" s="1516"/>
      <c r="EQ787" s="1516"/>
      <c r="ER787" s="1516"/>
      <c r="ES787" s="1517"/>
      <c r="ET787" s="1515">
        <f t="shared" ref="ET787:ET796" si="53">IF(AND(DO787&gt;=1,AH787&gt;=0.1,AH787&lt;=1),O787,0)</f>
        <v>0</v>
      </c>
      <c r="EU787" s="1516"/>
      <c r="EV787" s="1516"/>
      <c r="EW787" s="1516"/>
      <c r="EX787" s="1517"/>
    </row>
    <row r="788" spans="1:154" s="14" customFormat="1" ht="13.05" customHeight="1">
      <c r="A788"/>
      <c r="B788"/>
      <c r="C788"/>
      <c r="D788"/>
      <c r="E788"/>
      <c r="F788"/>
      <c r="G788"/>
      <c r="H788"/>
      <c r="I788"/>
      <c r="J788" s="1383"/>
      <c r="K788" s="1384"/>
      <c r="L788" s="1384"/>
      <c r="M788" s="1384"/>
      <c r="N788" s="1385"/>
      <c r="O788" s="1613"/>
      <c r="P788" s="1613"/>
      <c r="Q788" s="1613"/>
      <c r="R788" s="1613"/>
      <c r="S788" s="1613"/>
      <c r="T788" s="1363"/>
      <c r="U788" s="1364"/>
      <c r="V788" s="1364"/>
      <c r="W788" s="1365"/>
      <c r="X788" s="1392"/>
      <c r="Y788" s="1393"/>
      <c r="Z788" s="1393"/>
      <c r="AA788" s="1393"/>
      <c r="AB788" s="1394"/>
      <c r="AC788" s="1395">
        <f t="shared" si="41"/>
        <v>0</v>
      </c>
      <c r="AD788" s="1396"/>
      <c r="AE788" s="1396"/>
      <c r="AF788" s="1396"/>
      <c r="AG788" s="139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15">
        <f t="shared" si="42"/>
        <v>0</v>
      </c>
      <c r="CQ788" s="1516"/>
      <c r="CR788" s="1516"/>
      <c r="CS788" s="1516"/>
      <c r="CT788" s="1517"/>
      <c r="CU788" s="1515">
        <f t="shared" si="43"/>
        <v>0</v>
      </c>
      <c r="CV788" s="1516"/>
      <c r="CW788" s="1516"/>
      <c r="CX788" s="1516"/>
      <c r="CY788" s="1517"/>
      <c r="CZ788" s="1515">
        <f t="shared" si="44"/>
        <v>0</v>
      </c>
      <c r="DA788" s="1516"/>
      <c r="DB788" s="1516"/>
      <c r="DC788" s="1516"/>
      <c r="DD788" s="1517"/>
      <c r="DE788" s="1515">
        <f t="shared" si="45"/>
        <v>0</v>
      </c>
      <c r="DF788" s="1516"/>
      <c r="DG788" s="1516"/>
      <c r="DH788" s="1516"/>
      <c r="DI788" s="1517"/>
      <c r="DJ788" s="1515">
        <f t="shared" si="46"/>
        <v>0</v>
      </c>
      <c r="DK788" s="1516"/>
      <c r="DL788" s="1516"/>
      <c r="DM788" s="1516"/>
      <c r="DN788" s="1517"/>
      <c r="DO788" s="1515">
        <f t="shared" si="47"/>
        <v>0</v>
      </c>
      <c r="DP788" s="1516"/>
      <c r="DQ788" s="1516"/>
      <c r="DR788" s="1516"/>
      <c r="DS788" s="1517"/>
      <c r="DT788" s="6"/>
      <c r="DU788" s="1515">
        <f t="shared" si="48"/>
        <v>0</v>
      </c>
      <c r="DV788" s="1516"/>
      <c r="DW788" s="1516"/>
      <c r="DX788" s="1516"/>
      <c r="DY788" s="1517"/>
      <c r="DZ788" s="1515">
        <f t="shared" si="49"/>
        <v>0</v>
      </c>
      <c r="EA788" s="1516"/>
      <c r="EB788" s="1516"/>
      <c r="EC788" s="1516"/>
      <c r="ED788" s="1517"/>
      <c r="EE788" s="1515">
        <f t="shared" si="50"/>
        <v>0</v>
      </c>
      <c r="EF788" s="1516"/>
      <c r="EG788" s="1516"/>
      <c r="EH788" s="1516"/>
      <c r="EI788" s="1517"/>
      <c r="EJ788" s="1515">
        <f t="shared" si="51"/>
        <v>0</v>
      </c>
      <c r="EK788" s="1516"/>
      <c r="EL788" s="1516"/>
      <c r="EM788" s="1516"/>
      <c r="EN788" s="1517"/>
      <c r="EO788" s="1515">
        <f t="shared" si="52"/>
        <v>0</v>
      </c>
      <c r="EP788" s="1516"/>
      <c r="EQ788" s="1516"/>
      <c r="ER788" s="1516"/>
      <c r="ES788" s="1517"/>
      <c r="ET788" s="1515">
        <f t="shared" si="53"/>
        <v>0</v>
      </c>
      <c r="EU788" s="1516"/>
      <c r="EV788" s="1516"/>
      <c r="EW788" s="1516"/>
      <c r="EX788" s="1517"/>
    </row>
    <row r="789" spans="1:154" s="14" customFormat="1" ht="13.05" customHeight="1">
      <c r="A789"/>
      <c r="B789"/>
      <c r="C789"/>
      <c r="D789"/>
      <c r="E789"/>
      <c r="F789"/>
      <c r="G789"/>
      <c r="H789"/>
      <c r="I789"/>
      <c r="J789" s="1383"/>
      <c r="K789" s="1384"/>
      <c r="L789" s="1384"/>
      <c r="M789" s="1384"/>
      <c r="N789" s="1385"/>
      <c r="O789" s="1613"/>
      <c r="P789" s="1613"/>
      <c r="Q789" s="1613"/>
      <c r="R789" s="1613"/>
      <c r="S789" s="1613"/>
      <c r="T789" s="1363"/>
      <c r="U789" s="1364"/>
      <c r="V789" s="1364"/>
      <c r="W789" s="1365"/>
      <c r="X789" s="1392"/>
      <c r="Y789" s="1393"/>
      <c r="Z789" s="1393"/>
      <c r="AA789" s="1393"/>
      <c r="AB789" s="1394"/>
      <c r="AC789" s="1395">
        <f t="shared" si="41"/>
        <v>0</v>
      </c>
      <c r="AD789" s="1396"/>
      <c r="AE789" s="1396"/>
      <c r="AF789" s="1396"/>
      <c r="AG789" s="139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15">
        <f t="shared" si="42"/>
        <v>0</v>
      </c>
      <c r="CQ789" s="1516"/>
      <c r="CR789" s="1516"/>
      <c r="CS789" s="1516"/>
      <c r="CT789" s="1517"/>
      <c r="CU789" s="1515">
        <f t="shared" si="43"/>
        <v>0</v>
      </c>
      <c r="CV789" s="1516"/>
      <c r="CW789" s="1516"/>
      <c r="CX789" s="1516"/>
      <c r="CY789" s="1517"/>
      <c r="CZ789" s="1515">
        <f t="shared" si="44"/>
        <v>0</v>
      </c>
      <c r="DA789" s="1516"/>
      <c r="DB789" s="1516"/>
      <c r="DC789" s="1516"/>
      <c r="DD789" s="1517"/>
      <c r="DE789" s="1515">
        <f t="shared" si="45"/>
        <v>0</v>
      </c>
      <c r="DF789" s="1516"/>
      <c r="DG789" s="1516"/>
      <c r="DH789" s="1516"/>
      <c r="DI789" s="1517"/>
      <c r="DJ789" s="1515">
        <f t="shared" si="46"/>
        <v>0</v>
      </c>
      <c r="DK789" s="1516"/>
      <c r="DL789" s="1516"/>
      <c r="DM789" s="1516"/>
      <c r="DN789" s="1517"/>
      <c r="DO789" s="1515">
        <f t="shared" si="47"/>
        <v>0</v>
      </c>
      <c r="DP789" s="1516"/>
      <c r="DQ789" s="1516"/>
      <c r="DR789" s="1516"/>
      <c r="DS789" s="1517"/>
      <c r="DT789" s="6"/>
      <c r="DU789" s="1515">
        <f t="shared" si="48"/>
        <v>0</v>
      </c>
      <c r="DV789" s="1516"/>
      <c r="DW789" s="1516"/>
      <c r="DX789" s="1516"/>
      <c r="DY789" s="1517"/>
      <c r="DZ789" s="1515">
        <f t="shared" si="49"/>
        <v>0</v>
      </c>
      <c r="EA789" s="1516"/>
      <c r="EB789" s="1516"/>
      <c r="EC789" s="1516"/>
      <c r="ED789" s="1517"/>
      <c r="EE789" s="1515">
        <f t="shared" si="50"/>
        <v>0</v>
      </c>
      <c r="EF789" s="1516"/>
      <c r="EG789" s="1516"/>
      <c r="EH789" s="1516"/>
      <c r="EI789" s="1517"/>
      <c r="EJ789" s="1515">
        <f t="shared" si="51"/>
        <v>0</v>
      </c>
      <c r="EK789" s="1516"/>
      <c r="EL789" s="1516"/>
      <c r="EM789" s="1516"/>
      <c r="EN789" s="1517"/>
      <c r="EO789" s="1515">
        <f t="shared" si="52"/>
        <v>0</v>
      </c>
      <c r="EP789" s="1516"/>
      <c r="EQ789" s="1516"/>
      <c r="ER789" s="1516"/>
      <c r="ES789" s="1517"/>
      <c r="ET789" s="1515">
        <f t="shared" si="53"/>
        <v>0</v>
      </c>
      <c r="EU789" s="1516"/>
      <c r="EV789" s="1516"/>
      <c r="EW789" s="1516"/>
      <c r="EX789" s="1517"/>
    </row>
    <row r="790" spans="1:154" s="14" customFormat="1" ht="13.05" customHeight="1">
      <c r="A790"/>
      <c r="B790"/>
      <c r="C790"/>
      <c r="D790"/>
      <c r="E790"/>
      <c r="F790"/>
      <c r="G790"/>
      <c r="H790"/>
      <c r="I790"/>
      <c r="J790" s="1383"/>
      <c r="K790" s="1384"/>
      <c r="L790" s="1384"/>
      <c r="M790" s="1384"/>
      <c r="N790" s="1385"/>
      <c r="O790" s="1613"/>
      <c r="P790" s="1613"/>
      <c r="Q790" s="1613"/>
      <c r="R790" s="1613"/>
      <c r="S790" s="1613"/>
      <c r="T790" s="1363"/>
      <c r="U790" s="1364"/>
      <c r="V790" s="1364"/>
      <c r="W790" s="1365"/>
      <c r="X790" s="1392"/>
      <c r="Y790" s="1393"/>
      <c r="Z790" s="1393"/>
      <c r="AA790" s="1393"/>
      <c r="AB790" s="1394"/>
      <c r="AC790" s="1395">
        <f t="shared" si="41"/>
        <v>0</v>
      </c>
      <c r="AD790" s="1396"/>
      <c r="AE790" s="1396"/>
      <c r="AF790" s="1396"/>
      <c r="AG790" s="139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15">
        <f t="shared" si="42"/>
        <v>0</v>
      </c>
      <c r="CQ790" s="1516"/>
      <c r="CR790" s="1516"/>
      <c r="CS790" s="1516"/>
      <c r="CT790" s="1517"/>
      <c r="CU790" s="1515">
        <f t="shared" si="43"/>
        <v>0</v>
      </c>
      <c r="CV790" s="1516"/>
      <c r="CW790" s="1516"/>
      <c r="CX790" s="1516"/>
      <c r="CY790" s="1517"/>
      <c r="CZ790" s="1515">
        <f t="shared" si="44"/>
        <v>0</v>
      </c>
      <c r="DA790" s="1516"/>
      <c r="DB790" s="1516"/>
      <c r="DC790" s="1516"/>
      <c r="DD790" s="1517"/>
      <c r="DE790" s="1515">
        <f t="shared" si="45"/>
        <v>0</v>
      </c>
      <c r="DF790" s="1516"/>
      <c r="DG790" s="1516"/>
      <c r="DH790" s="1516"/>
      <c r="DI790" s="1517"/>
      <c r="DJ790" s="1515">
        <f t="shared" si="46"/>
        <v>0</v>
      </c>
      <c r="DK790" s="1516"/>
      <c r="DL790" s="1516"/>
      <c r="DM790" s="1516"/>
      <c r="DN790" s="1517"/>
      <c r="DO790" s="1515">
        <f t="shared" si="47"/>
        <v>0</v>
      </c>
      <c r="DP790" s="1516"/>
      <c r="DQ790" s="1516"/>
      <c r="DR790" s="1516"/>
      <c r="DS790" s="1517"/>
      <c r="DT790" s="6"/>
      <c r="DU790" s="1515">
        <f t="shared" si="48"/>
        <v>0</v>
      </c>
      <c r="DV790" s="1516"/>
      <c r="DW790" s="1516"/>
      <c r="DX790" s="1516"/>
      <c r="DY790" s="1517"/>
      <c r="DZ790" s="1515">
        <f t="shared" si="49"/>
        <v>0</v>
      </c>
      <c r="EA790" s="1516"/>
      <c r="EB790" s="1516"/>
      <c r="EC790" s="1516"/>
      <c r="ED790" s="1517"/>
      <c r="EE790" s="1515">
        <f t="shared" si="50"/>
        <v>0</v>
      </c>
      <c r="EF790" s="1516"/>
      <c r="EG790" s="1516"/>
      <c r="EH790" s="1516"/>
      <c r="EI790" s="1517"/>
      <c r="EJ790" s="1515">
        <f t="shared" si="51"/>
        <v>0</v>
      </c>
      <c r="EK790" s="1516"/>
      <c r="EL790" s="1516"/>
      <c r="EM790" s="1516"/>
      <c r="EN790" s="1517"/>
      <c r="EO790" s="1515">
        <f t="shared" si="52"/>
        <v>0</v>
      </c>
      <c r="EP790" s="1516"/>
      <c r="EQ790" s="1516"/>
      <c r="ER790" s="1516"/>
      <c r="ES790" s="1517"/>
      <c r="ET790" s="1515">
        <f t="shared" si="53"/>
        <v>0</v>
      </c>
      <c r="EU790" s="1516"/>
      <c r="EV790" s="1516"/>
      <c r="EW790" s="1516"/>
      <c r="EX790" s="1517"/>
    </row>
    <row r="791" spans="1:154" s="14" customFormat="1" ht="13.05" customHeight="1">
      <c r="A791"/>
      <c r="B791"/>
      <c r="C791"/>
      <c r="D791"/>
      <c r="E791"/>
      <c r="F791"/>
      <c r="G791"/>
      <c r="H791"/>
      <c r="I791"/>
      <c r="J791" s="1383"/>
      <c r="K791" s="1384"/>
      <c r="L791" s="1384"/>
      <c r="M791" s="1384"/>
      <c r="N791" s="1385"/>
      <c r="O791" s="1613"/>
      <c r="P791" s="1613"/>
      <c r="Q791" s="1613"/>
      <c r="R791" s="1613"/>
      <c r="S791" s="1613"/>
      <c r="T791" s="1363"/>
      <c r="U791" s="1364"/>
      <c r="V791" s="1364"/>
      <c r="W791" s="1365"/>
      <c r="X791" s="1392"/>
      <c r="Y791" s="1393"/>
      <c r="Z791" s="1393"/>
      <c r="AA791" s="1393"/>
      <c r="AB791" s="1394"/>
      <c r="AC791" s="1395">
        <f t="shared" si="41"/>
        <v>0</v>
      </c>
      <c r="AD791" s="1396"/>
      <c r="AE791" s="1396"/>
      <c r="AF791" s="1396"/>
      <c r="AG791" s="139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15">
        <f t="shared" si="42"/>
        <v>0</v>
      </c>
      <c r="CQ791" s="1516"/>
      <c r="CR791" s="1516"/>
      <c r="CS791" s="1516"/>
      <c r="CT791" s="1517"/>
      <c r="CU791" s="1515">
        <f t="shared" si="43"/>
        <v>0</v>
      </c>
      <c r="CV791" s="1516"/>
      <c r="CW791" s="1516"/>
      <c r="CX791" s="1516"/>
      <c r="CY791" s="1517"/>
      <c r="CZ791" s="1515">
        <f t="shared" si="44"/>
        <v>0</v>
      </c>
      <c r="DA791" s="1516"/>
      <c r="DB791" s="1516"/>
      <c r="DC791" s="1516"/>
      <c r="DD791" s="1517"/>
      <c r="DE791" s="1515">
        <f t="shared" si="45"/>
        <v>0</v>
      </c>
      <c r="DF791" s="1516"/>
      <c r="DG791" s="1516"/>
      <c r="DH791" s="1516"/>
      <c r="DI791" s="1517"/>
      <c r="DJ791" s="1515">
        <f t="shared" si="46"/>
        <v>0</v>
      </c>
      <c r="DK791" s="1516"/>
      <c r="DL791" s="1516"/>
      <c r="DM791" s="1516"/>
      <c r="DN791" s="1517"/>
      <c r="DO791" s="1515">
        <f t="shared" si="47"/>
        <v>0</v>
      </c>
      <c r="DP791" s="1516"/>
      <c r="DQ791" s="1516"/>
      <c r="DR791" s="1516"/>
      <c r="DS791" s="1517"/>
      <c r="DT791" s="6"/>
      <c r="DU791" s="1515">
        <f t="shared" si="48"/>
        <v>0</v>
      </c>
      <c r="DV791" s="1516"/>
      <c r="DW791" s="1516"/>
      <c r="DX791" s="1516"/>
      <c r="DY791" s="1517"/>
      <c r="DZ791" s="1515">
        <f t="shared" si="49"/>
        <v>0</v>
      </c>
      <c r="EA791" s="1516"/>
      <c r="EB791" s="1516"/>
      <c r="EC791" s="1516"/>
      <c r="ED791" s="1517"/>
      <c r="EE791" s="1515">
        <f t="shared" si="50"/>
        <v>0</v>
      </c>
      <c r="EF791" s="1516"/>
      <c r="EG791" s="1516"/>
      <c r="EH791" s="1516"/>
      <c r="EI791" s="1517"/>
      <c r="EJ791" s="1515">
        <f t="shared" si="51"/>
        <v>0</v>
      </c>
      <c r="EK791" s="1516"/>
      <c r="EL791" s="1516"/>
      <c r="EM791" s="1516"/>
      <c r="EN791" s="1517"/>
      <c r="EO791" s="1515">
        <f t="shared" si="52"/>
        <v>0</v>
      </c>
      <c r="EP791" s="1516"/>
      <c r="EQ791" s="1516"/>
      <c r="ER791" s="1516"/>
      <c r="ES791" s="1517"/>
      <c r="ET791" s="1515">
        <f t="shared" si="53"/>
        <v>0</v>
      </c>
      <c r="EU791" s="1516"/>
      <c r="EV791" s="1516"/>
      <c r="EW791" s="1516"/>
      <c r="EX791" s="1517"/>
    </row>
    <row r="792" spans="1:154" s="14" customFormat="1" ht="13.05" customHeight="1">
      <c r="A792"/>
      <c r="B792"/>
      <c r="C792"/>
      <c r="D792"/>
      <c r="E792"/>
      <c r="F792"/>
      <c r="G792"/>
      <c r="H792"/>
      <c r="I792"/>
      <c r="J792" s="1383"/>
      <c r="K792" s="1384"/>
      <c r="L792" s="1384"/>
      <c r="M792" s="1384"/>
      <c r="N792" s="1385"/>
      <c r="O792" s="1613"/>
      <c r="P792" s="1613"/>
      <c r="Q792" s="1613"/>
      <c r="R792" s="1613"/>
      <c r="S792" s="1613"/>
      <c r="T792" s="1363"/>
      <c r="U792" s="1364"/>
      <c r="V792" s="1364"/>
      <c r="W792" s="1365"/>
      <c r="X792" s="1392"/>
      <c r="Y792" s="1393"/>
      <c r="Z792" s="1393"/>
      <c r="AA792" s="1393"/>
      <c r="AB792" s="1394"/>
      <c r="AC792" s="1395">
        <f t="shared" si="41"/>
        <v>0</v>
      </c>
      <c r="AD792" s="1396"/>
      <c r="AE792" s="1396"/>
      <c r="AF792" s="1396"/>
      <c r="AG792" s="139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15">
        <f t="shared" si="42"/>
        <v>0</v>
      </c>
      <c r="CQ792" s="1516"/>
      <c r="CR792" s="1516"/>
      <c r="CS792" s="1516"/>
      <c r="CT792" s="1517"/>
      <c r="CU792" s="1515">
        <f t="shared" si="43"/>
        <v>0</v>
      </c>
      <c r="CV792" s="1516"/>
      <c r="CW792" s="1516"/>
      <c r="CX792" s="1516"/>
      <c r="CY792" s="1517"/>
      <c r="CZ792" s="1515">
        <f t="shared" si="44"/>
        <v>0</v>
      </c>
      <c r="DA792" s="1516"/>
      <c r="DB792" s="1516"/>
      <c r="DC792" s="1516"/>
      <c r="DD792" s="1517"/>
      <c r="DE792" s="1515">
        <f t="shared" si="45"/>
        <v>0</v>
      </c>
      <c r="DF792" s="1516"/>
      <c r="DG792" s="1516"/>
      <c r="DH792" s="1516"/>
      <c r="DI792" s="1517"/>
      <c r="DJ792" s="1515">
        <f t="shared" si="46"/>
        <v>0</v>
      </c>
      <c r="DK792" s="1516"/>
      <c r="DL792" s="1516"/>
      <c r="DM792" s="1516"/>
      <c r="DN792" s="1517"/>
      <c r="DO792" s="1515">
        <f t="shared" si="47"/>
        <v>0</v>
      </c>
      <c r="DP792" s="1516"/>
      <c r="DQ792" s="1516"/>
      <c r="DR792" s="1516"/>
      <c r="DS792" s="1517"/>
      <c r="DT792" s="6"/>
      <c r="DU792" s="1515">
        <f t="shared" si="48"/>
        <v>0</v>
      </c>
      <c r="DV792" s="1516"/>
      <c r="DW792" s="1516"/>
      <c r="DX792" s="1516"/>
      <c r="DY792" s="1517"/>
      <c r="DZ792" s="1515">
        <f t="shared" si="49"/>
        <v>0</v>
      </c>
      <c r="EA792" s="1516"/>
      <c r="EB792" s="1516"/>
      <c r="EC792" s="1516"/>
      <c r="ED792" s="1517"/>
      <c r="EE792" s="1515">
        <f t="shared" si="50"/>
        <v>0</v>
      </c>
      <c r="EF792" s="1516"/>
      <c r="EG792" s="1516"/>
      <c r="EH792" s="1516"/>
      <c r="EI792" s="1517"/>
      <c r="EJ792" s="1515">
        <f t="shared" si="51"/>
        <v>0</v>
      </c>
      <c r="EK792" s="1516"/>
      <c r="EL792" s="1516"/>
      <c r="EM792" s="1516"/>
      <c r="EN792" s="1517"/>
      <c r="EO792" s="1515">
        <f t="shared" si="52"/>
        <v>0</v>
      </c>
      <c r="EP792" s="1516"/>
      <c r="EQ792" s="1516"/>
      <c r="ER792" s="1516"/>
      <c r="ES792" s="1517"/>
      <c r="ET792" s="1515">
        <f t="shared" si="53"/>
        <v>0</v>
      </c>
      <c r="EU792" s="1516"/>
      <c r="EV792" s="1516"/>
      <c r="EW792" s="1516"/>
      <c r="EX792" s="1517"/>
    </row>
    <row r="793" spans="1:154" s="14" customFormat="1" ht="13.05" customHeight="1">
      <c r="A793"/>
      <c r="B793"/>
      <c r="C793"/>
      <c r="D793"/>
      <c r="E793"/>
      <c r="F793"/>
      <c r="G793"/>
      <c r="H793"/>
      <c r="I793"/>
      <c r="J793" s="1383"/>
      <c r="K793" s="1384"/>
      <c r="L793" s="1384"/>
      <c r="M793" s="1384"/>
      <c r="N793" s="1385"/>
      <c r="O793" s="1613"/>
      <c r="P793" s="1613"/>
      <c r="Q793" s="1613"/>
      <c r="R793" s="1613"/>
      <c r="S793" s="1613"/>
      <c r="T793" s="1363"/>
      <c r="U793" s="1364"/>
      <c r="V793" s="1364"/>
      <c r="W793" s="1365"/>
      <c r="X793" s="1392"/>
      <c r="Y793" s="1393"/>
      <c r="Z793" s="1393"/>
      <c r="AA793" s="1393"/>
      <c r="AB793" s="1394"/>
      <c r="AC793" s="1395">
        <f t="shared" si="41"/>
        <v>0</v>
      </c>
      <c r="AD793" s="1396"/>
      <c r="AE793" s="1396"/>
      <c r="AF793" s="1396"/>
      <c r="AG793" s="139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15">
        <f t="shared" si="42"/>
        <v>0</v>
      </c>
      <c r="CQ793" s="1516"/>
      <c r="CR793" s="1516"/>
      <c r="CS793" s="1516"/>
      <c r="CT793" s="1517"/>
      <c r="CU793" s="1515">
        <f t="shared" si="43"/>
        <v>0</v>
      </c>
      <c r="CV793" s="1516"/>
      <c r="CW793" s="1516"/>
      <c r="CX793" s="1516"/>
      <c r="CY793" s="1517"/>
      <c r="CZ793" s="1515">
        <f t="shared" si="44"/>
        <v>0</v>
      </c>
      <c r="DA793" s="1516"/>
      <c r="DB793" s="1516"/>
      <c r="DC793" s="1516"/>
      <c r="DD793" s="1517"/>
      <c r="DE793" s="1515">
        <f t="shared" si="45"/>
        <v>0</v>
      </c>
      <c r="DF793" s="1516"/>
      <c r="DG793" s="1516"/>
      <c r="DH793" s="1516"/>
      <c r="DI793" s="1517"/>
      <c r="DJ793" s="1515">
        <f t="shared" si="46"/>
        <v>0</v>
      </c>
      <c r="DK793" s="1516"/>
      <c r="DL793" s="1516"/>
      <c r="DM793" s="1516"/>
      <c r="DN793" s="1517"/>
      <c r="DO793" s="1515">
        <f t="shared" si="47"/>
        <v>0</v>
      </c>
      <c r="DP793" s="1516"/>
      <c r="DQ793" s="1516"/>
      <c r="DR793" s="1516"/>
      <c r="DS793" s="1517"/>
      <c r="DT793" s="6"/>
      <c r="DU793" s="1515">
        <f t="shared" si="48"/>
        <v>0</v>
      </c>
      <c r="DV793" s="1516"/>
      <c r="DW793" s="1516"/>
      <c r="DX793" s="1516"/>
      <c r="DY793" s="1517"/>
      <c r="DZ793" s="1515">
        <f t="shared" si="49"/>
        <v>0</v>
      </c>
      <c r="EA793" s="1516"/>
      <c r="EB793" s="1516"/>
      <c r="EC793" s="1516"/>
      <c r="ED793" s="1517"/>
      <c r="EE793" s="1515">
        <f t="shared" si="50"/>
        <v>0</v>
      </c>
      <c r="EF793" s="1516"/>
      <c r="EG793" s="1516"/>
      <c r="EH793" s="1516"/>
      <c r="EI793" s="1517"/>
      <c r="EJ793" s="1515">
        <f t="shared" si="51"/>
        <v>0</v>
      </c>
      <c r="EK793" s="1516"/>
      <c r="EL793" s="1516"/>
      <c r="EM793" s="1516"/>
      <c r="EN793" s="1517"/>
      <c r="EO793" s="1515">
        <f t="shared" si="52"/>
        <v>0</v>
      </c>
      <c r="EP793" s="1516"/>
      <c r="EQ793" s="1516"/>
      <c r="ER793" s="1516"/>
      <c r="ES793" s="1517"/>
      <c r="ET793" s="1515">
        <f t="shared" si="53"/>
        <v>0</v>
      </c>
      <c r="EU793" s="1516"/>
      <c r="EV793" s="1516"/>
      <c r="EW793" s="1516"/>
      <c r="EX793" s="1517"/>
    </row>
    <row r="794" spans="1:154" s="14" customFormat="1" ht="13.05" customHeight="1">
      <c r="A794"/>
      <c r="B794"/>
      <c r="C794"/>
      <c r="D794"/>
      <c r="E794"/>
      <c r="F794"/>
      <c r="G794"/>
      <c r="H794"/>
      <c r="I794"/>
      <c r="J794" s="1383"/>
      <c r="K794" s="1384"/>
      <c r="L794" s="1384"/>
      <c r="M794" s="1384"/>
      <c r="N794" s="1385"/>
      <c r="O794" s="1613"/>
      <c r="P794" s="1613"/>
      <c r="Q794" s="1613"/>
      <c r="R794" s="1613"/>
      <c r="S794" s="1613"/>
      <c r="T794" s="1363"/>
      <c r="U794" s="1364"/>
      <c r="V794" s="1364"/>
      <c r="W794" s="1365"/>
      <c r="X794" s="1392"/>
      <c r="Y794" s="1393"/>
      <c r="Z794" s="1393"/>
      <c r="AA794" s="1393"/>
      <c r="AB794" s="1394"/>
      <c r="AC794" s="1395">
        <f t="shared" si="41"/>
        <v>0</v>
      </c>
      <c r="AD794" s="1396"/>
      <c r="AE794" s="1396"/>
      <c r="AF794" s="1396"/>
      <c r="AG794" s="139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15">
        <f t="shared" si="42"/>
        <v>0</v>
      </c>
      <c r="CQ794" s="1516"/>
      <c r="CR794" s="1516"/>
      <c r="CS794" s="1516"/>
      <c r="CT794" s="1517"/>
      <c r="CU794" s="1515">
        <f t="shared" si="43"/>
        <v>0</v>
      </c>
      <c r="CV794" s="1516"/>
      <c r="CW794" s="1516"/>
      <c r="CX794" s="1516"/>
      <c r="CY794" s="1517"/>
      <c r="CZ794" s="1515">
        <f t="shared" si="44"/>
        <v>0</v>
      </c>
      <c r="DA794" s="1516"/>
      <c r="DB794" s="1516"/>
      <c r="DC794" s="1516"/>
      <c r="DD794" s="1517"/>
      <c r="DE794" s="1515">
        <f t="shared" si="45"/>
        <v>0</v>
      </c>
      <c r="DF794" s="1516"/>
      <c r="DG794" s="1516"/>
      <c r="DH794" s="1516"/>
      <c r="DI794" s="1517"/>
      <c r="DJ794" s="1515">
        <f t="shared" si="46"/>
        <v>0</v>
      </c>
      <c r="DK794" s="1516"/>
      <c r="DL794" s="1516"/>
      <c r="DM794" s="1516"/>
      <c r="DN794" s="1517"/>
      <c r="DO794" s="1515">
        <f t="shared" si="47"/>
        <v>0</v>
      </c>
      <c r="DP794" s="1516"/>
      <c r="DQ794" s="1516"/>
      <c r="DR794" s="1516"/>
      <c r="DS794" s="1517"/>
      <c r="DT794" s="6"/>
      <c r="DU794" s="1515">
        <f t="shared" si="48"/>
        <v>0</v>
      </c>
      <c r="DV794" s="1516"/>
      <c r="DW794" s="1516"/>
      <c r="DX794" s="1516"/>
      <c r="DY794" s="1517"/>
      <c r="DZ794" s="1515">
        <f t="shared" si="49"/>
        <v>0</v>
      </c>
      <c r="EA794" s="1516"/>
      <c r="EB794" s="1516"/>
      <c r="EC794" s="1516"/>
      <c r="ED794" s="1517"/>
      <c r="EE794" s="1515">
        <f t="shared" si="50"/>
        <v>0</v>
      </c>
      <c r="EF794" s="1516"/>
      <c r="EG794" s="1516"/>
      <c r="EH794" s="1516"/>
      <c r="EI794" s="1517"/>
      <c r="EJ794" s="1515">
        <f t="shared" si="51"/>
        <v>0</v>
      </c>
      <c r="EK794" s="1516"/>
      <c r="EL794" s="1516"/>
      <c r="EM794" s="1516"/>
      <c r="EN794" s="1517"/>
      <c r="EO794" s="1515">
        <f t="shared" si="52"/>
        <v>0</v>
      </c>
      <c r="EP794" s="1516"/>
      <c r="EQ794" s="1516"/>
      <c r="ER794" s="1516"/>
      <c r="ES794" s="1517"/>
      <c r="ET794" s="1515">
        <f t="shared" si="53"/>
        <v>0</v>
      </c>
      <c r="EU794" s="1516"/>
      <c r="EV794" s="1516"/>
      <c r="EW794" s="1516"/>
      <c r="EX794" s="1517"/>
    </row>
    <row r="795" spans="1:154" s="14" customFormat="1" ht="13.05" customHeight="1">
      <c r="A795"/>
      <c r="B795"/>
      <c r="C795"/>
      <c r="D795"/>
      <c r="E795"/>
      <c r="F795"/>
      <c r="G795"/>
      <c r="H795"/>
      <c r="I795"/>
      <c r="J795" s="1383"/>
      <c r="K795" s="1384"/>
      <c r="L795" s="1384"/>
      <c r="M795" s="1384"/>
      <c r="N795" s="1385"/>
      <c r="O795" s="1613"/>
      <c r="P795" s="1613"/>
      <c r="Q795" s="1613"/>
      <c r="R795" s="1613"/>
      <c r="S795" s="1613"/>
      <c r="T795" s="1363"/>
      <c r="U795" s="1364"/>
      <c r="V795" s="1364"/>
      <c r="W795" s="1365"/>
      <c r="X795" s="1392"/>
      <c r="Y795" s="1393"/>
      <c r="Z795" s="1393"/>
      <c r="AA795" s="1393"/>
      <c r="AB795" s="1394"/>
      <c r="AC795" s="1395">
        <f t="shared" si="41"/>
        <v>0</v>
      </c>
      <c r="AD795" s="1396"/>
      <c r="AE795" s="1396"/>
      <c r="AF795" s="1396"/>
      <c r="AG795" s="139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15">
        <f t="shared" si="42"/>
        <v>0</v>
      </c>
      <c r="CQ795" s="1516"/>
      <c r="CR795" s="1516"/>
      <c r="CS795" s="1516"/>
      <c r="CT795" s="1517"/>
      <c r="CU795" s="1515">
        <f t="shared" si="43"/>
        <v>0</v>
      </c>
      <c r="CV795" s="1516"/>
      <c r="CW795" s="1516"/>
      <c r="CX795" s="1516"/>
      <c r="CY795" s="1517"/>
      <c r="CZ795" s="1515">
        <f t="shared" si="44"/>
        <v>0</v>
      </c>
      <c r="DA795" s="1516"/>
      <c r="DB795" s="1516"/>
      <c r="DC795" s="1516"/>
      <c r="DD795" s="1517"/>
      <c r="DE795" s="1515">
        <f t="shared" si="45"/>
        <v>0</v>
      </c>
      <c r="DF795" s="1516"/>
      <c r="DG795" s="1516"/>
      <c r="DH795" s="1516"/>
      <c r="DI795" s="1517"/>
      <c r="DJ795" s="1515">
        <f t="shared" si="46"/>
        <v>0</v>
      </c>
      <c r="DK795" s="1516"/>
      <c r="DL795" s="1516"/>
      <c r="DM795" s="1516"/>
      <c r="DN795" s="1517"/>
      <c r="DO795" s="1515">
        <f t="shared" si="47"/>
        <v>0</v>
      </c>
      <c r="DP795" s="1516"/>
      <c r="DQ795" s="1516"/>
      <c r="DR795" s="1516"/>
      <c r="DS795" s="1517"/>
      <c r="DT795" s="6"/>
      <c r="DU795" s="1515">
        <f t="shared" si="48"/>
        <v>0</v>
      </c>
      <c r="DV795" s="1516"/>
      <c r="DW795" s="1516"/>
      <c r="DX795" s="1516"/>
      <c r="DY795" s="1517"/>
      <c r="DZ795" s="1515">
        <f t="shared" si="49"/>
        <v>0</v>
      </c>
      <c r="EA795" s="1516"/>
      <c r="EB795" s="1516"/>
      <c r="EC795" s="1516"/>
      <c r="ED795" s="1517"/>
      <c r="EE795" s="1515">
        <f t="shared" si="50"/>
        <v>0</v>
      </c>
      <c r="EF795" s="1516"/>
      <c r="EG795" s="1516"/>
      <c r="EH795" s="1516"/>
      <c r="EI795" s="1517"/>
      <c r="EJ795" s="1515">
        <f t="shared" si="51"/>
        <v>0</v>
      </c>
      <c r="EK795" s="1516"/>
      <c r="EL795" s="1516"/>
      <c r="EM795" s="1516"/>
      <c r="EN795" s="1517"/>
      <c r="EO795" s="1515">
        <f t="shared" si="52"/>
        <v>0</v>
      </c>
      <c r="EP795" s="1516"/>
      <c r="EQ795" s="1516"/>
      <c r="ER795" s="1516"/>
      <c r="ES795" s="1517"/>
      <c r="ET795" s="1515">
        <f t="shared" si="53"/>
        <v>0</v>
      </c>
      <c r="EU795" s="1516"/>
      <c r="EV795" s="1516"/>
      <c r="EW795" s="1516"/>
      <c r="EX795" s="1517"/>
    </row>
    <row r="796" spans="1:154" s="4" customFormat="1" ht="13.05" customHeight="1">
      <c r="A796"/>
      <c r="B796"/>
      <c r="C796"/>
      <c r="D796"/>
      <c r="E796"/>
      <c r="F796"/>
      <c r="G796"/>
      <c r="H796"/>
      <c r="I796"/>
      <c r="J796" s="1383"/>
      <c r="K796" s="1384"/>
      <c r="L796" s="1384"/>
      <c r="M796" s="1384"/>
      <c r="N796" s="1385"/>
      <c r="O796" s="1613"/>
      <c r="P796" s="1613"/>
      <c r="Q796" s="1613"/>
      <c r="R796" s="1613"/>
      <c r="S796" s="1613"/>
      <c r="T796" s="1363"/>
      <c r="U796" s="1364"/>
      <c r="V796" s="1364"/>
      <c r="W796" s="1365"/>
      <c r="X796" s="1392"/>
      <c r="Y796" s="1393"/>
      <c r="Z796" s="1393"/>
      <c r="AA796" s="1393"/>
      <c r="AB796" s="1394"/>
      <c r="AC796" s="1395">
        <f t="shared" si="41"/>
        <v>0</v>
      </c>
      <c r="AD796" s="1396"/>
      <c r="AE796" s="1396"/>
      <c r="AF796" s="1396"/>
      <c r="AG796" s="1397"/>
      <c r="AH796"/>
      <c r="AI796"/>
      <c r="AJ796"/>
      <c r="AK796"/>
      <c r="AL796"/>
      <c r="AM796"/>
      <c r="AN796"/>
      <c r="AO796"/>
      <c r="AP796"/>
      <c r="AQ796"/>
      <c r="AR796"/>
      <c r="AS796"/>
      <c r="AT796"/>
      <c r="AU796"/>
      <c r="AV796"/>
      <c r="AW796"/>
      <c r="AX796"/>
      <c r="AY796"/>
      <c r="AZ796" s="3"/>
      <c r="CP796" s="1515">
        <f t="shared" si="42"/>
        <v>0</v>
      </c>
      <c r="CQ796" s="1516"/>
      <c r="CR796" s="1516"/>
      <c r="CS796" s="1516"/>
      <c r="CT796" s="1517"/>
      <c r="CU796" s="1515">
        <f t="shared" si="43"/>
        <v>0</v>
      </c>
      <c r="CV796" s="1516"/>
      <c r="CW796" s="1516"/>
      <c r="CX796" s="1516"/>
      <c r="CY796" s="1517"/>
      <c r="CZ796" s="1515">
        <f t="shared" si="44"/>
        <v>0</v>
      </c>
      <c r="DA796" s="1516"/>
      <c r="DB796" s="1516"/>
      <c r="DC796" s="1516"/>
      <c r="DD796" s="1517"/>
      <c r="DE796" s="1515">
        <f t="shared" si="45"/>
        <v>0</v>
      </c>
      <c r="DF796" s="1516"/>
      <c r="DG796" s="1516"/>
      <c r="DH796" s="1516"/>
      <c r="DI796" s="1517"/>
      <c r="DJ796" s="1515">
        <f t="shared" si="46"/>
        <v>0</v>
      </c>
      <c r="DK796" s="1516"/>
      <c r="DL796" s="1516"/>
      <c r="DM796" s="1516"/>
      <c r="DN796" s="1517"/>
      <c r="DO796" s="1515">
        <f t="shared" si="47"/>
        <v>0</v>
      </c>
      <c r="DP796" s="1516"/>
      <c r="DQ796" s="1516"/>
      <c r="DR796" s="1516"/>
      <c r="DS796" s="1517"/>
      <c r="DT796" s="6"/>
      <c r="DU796" s="1515">
        <f t="shared" si="48"/>
        <v>0</v>
      </c>
      <c r="DV796" s="1516"/>
      <c r="DW796" s="1516"/>
      <c r="DX796" s="1516"/>
      <c r="DY796" s="1517"/>
      <c r="DZ796" s="1515">
        <f t="shared" si="49"/>
        <v>0</v>
      </c>
      <c r="EA796" s="1516"/>
      <c r="EB796" s="1516"/>
      <c r="EC796" s="1516"/>
      <c r="ED796" s="1517"/>
      <c r="EE796" s="1515">
        <f t="shared" si="50"/>
        <v>0</v>
      </c>
      <c r="EF796" s="1516"/>
      <c r="EG796" s="1516"/>
      <c r="EH796" s="1516"/>
      <c r="EI796" s="1517"/>
      <c r="EJ796" s="1515">
        <f t="shared" si="51"/>
        <v>0</v>
      </c>
      <c r="EK796" s="1516"/>
      <c r="EL796" s="1516"/>
      <c r="EM796" s="1516"/>
      <c r="EN796" s="1517"/>
      <c r="EO796" s="1515">
        <f t="shared" si="52"/>
        <v>0</v>
      </c>
      <c r="EP796" s="1516"/>
      <c r="EQ796" s="1516"/>
      <c r="ER796" s="1516"/>
      <c r="ES796" s="1517"/>
      <c r="ET796" s="1515">
        <f t="shared" si="53"/>
        <v>0</v>
      </c>
      <c r="EU796" s="1516"/>
      <c r="EV796" s="1516"/>
      <c r="EW796" s="1516"/>
      <c r="EX796" s="1517"/>
    </row>
    <row r="797" spans="1:154" s="4" customFormat="1" ht="13.05" customHeight="1">
      <c r="A797"/>
      <c r="B797"/>
      <c r="C797"/>
      <c r="D797"/>
      <c r="E797"/>
      <c r="F797"/>
      <c r="G797"/>
      <c r="H797"/>
      <c r="I797"/>
      <c r="J797" s="1502" t="s">
        <v>125</v>
      </c>
      <c r="K797" s="1503"/>
      <c r="L797" s="1503"/>
      <c r="M797" s="1503"/>
      <c r="N797" s="1504"/>
      <c r="O797" s="1729">
        <f>SUM(O787:S796)</f>
        <v>0</v>
      </c>
      <c r="P797" s="1729"/>
      <c r="Q797" s="1729"/>
      <c r="R797" s="1729"/>
      <c r="S797" s="1729"/>
      <c r="T797"/>
      <c r="U797"/>
      <c r="V797"/>
      <c r="W797"/>
      <c r="X797" s="902" t="s">
        <v>124</v>
      </c>
      <c r="Y797" s="11"/>
      <c r="Z797" s="11"/>
      <c r="AA797" s="11"/>
      <c r="AB797" s="909"/>
      <c r="AC797" s="1395">
        <f>SUM(AC787:AG796)</f>
        <v>0</v>
      </c>
      <c r="AD797" s="1396"/>
      <c r="AE797" s="1396"/>
      <c r="AF797" s="1396"/>
      <c r="AG797" s="1397"/>
      <c r="AH797"/>
      <c r="AI797"/>
      <c r="AJ797"/>
      <c r="AK797"/>
      <c r="AL797"/>
      <c r="AM797"/>
      <c r="AN797"/>
      <c r="AO797"/>
      <c r="AP797"/>
      <c r="AQ797"/>
      <c r="AR797"/>
      <c r="AS797"/>
      <c r="AT797"/>
      <c r="AU797"/>
      <c r="AV797"/>
      <c r="AW797"/>
      <c r="AX797"/>
      <c r="AY797"/>
      <c r="AZ797" s="3"/>
      <c r="BA797"/>
      <c r="CP797" s="1518">
        <f>SUM(CP787:CT796)</f>
        <v>0</v>
      </c>
      <c r="CQ797" s="1519"/>
      <c r="CR797" s="1519"/>
      <c r="CS797" s="1519"/>
      <c r="CT797" s="1520"/>
      <c r="CU797" s="1521">
        <f>SUM(CU787:CY796)</f>
        <v>0</v>
      </c>
      <c r="CV797" s="1522"/>
      <c r="CW797" s="1522"/>
      <c r="CX797" s="1522"/>
      <c r="CY797" s="1523"/>
      <c r="CZ797" s="1521">
        <f>SUM(CZ787:DD796)</f>
        <v>0</v>
      </c>
      <c r="DA797" s="1522"/>
      <c r="DB797" s="1522"/>
      <c r="DC797" s="1522"/>
      <c r="DD797" s="1523"/>
      <c r="DE797" s="1521">
        <f>SUM(DE787:DI796)</f>
        <v>0</v>
      </c>
      <c r="DF797" s="1522"/>
      <c r="DG797" s="1522"/>
      <c r="DH797" s="1522"/>
      <c r="DI797" s="1523"/>
      <c r="DJ797" s="1521">
        <f>SUM(DJ787:DN796)</f>
        <v>0</v>
      </c>
      <c r="DK797" s="1522"/>
      <c r="DL797" s="1522"/>
      <c r="DM797" s="1522"/>
      <c r="DN797" s="1523"/>
      <c r="DO797" s="1521">
        <f>SUM(DO787:DS796)</f>
        <v>0</v>
      </c>
      <c r="DP797" s="1522"/>
      <c r="DQ797" s="1522"/>
      <c r="DR797" s="1522"/>
      <c r="DS797" s="1523"/>
      <c r="DT797" s="1012"/>
      <c r="DU797" s="1518">
        <f>SUM(DU787:DY796)</f>
        <v>0</v>
      </c>
      <c r="DV797" s="1519"/>
      <c r="DW797" s="1519"/>
      <c r="DX797" s="1519"/>
      <c r="DY797" s="1520"/>
      <c r="DZ797" s="1518">
        <f>SUM(DZ787:ED796)</f>
        <v>0</v>
      </c>
      <c r="EA797" s="1519"/>
      <c r="EB797" s="1519"/>
      <c r="EC797" s="1519"/>
      <c r="ED797" s="1520"/>
      <c r="EE797" s="1518">
        <f>SUM(EE787:EI796)</f>
        <v>0</v>
      </c>
      <c r="EF797" s="1519"/>
      <c r="EG797" s="1519"/>
      <c r="EH797" s="1519"/>
      <c r="EI797" s="1520"/>
      <c r="EJ797" s="1518">
        <f>SUM(EJ787:EN796)</f>
        <v>0</v>
      </c>
      <c r="EK797" s="1519"/>
      <c r="EL797" s="1519"/>
      <c r="EM797" s="1519"/>
      <c r="EN797" s="1520"/>
      <c r="EO797" s="1518">
        <f>SUM(EO787:ES796)</f>
        <v>0</v>
      </c>
      <c r="EP797" s="1519"/>
      <c r="EQ797" s="1519"/>
      <c r="ER797" s="1519"/>
      <c r="ES797" s="1520"/>
      <c r="ET797" s="1518">
        <f>SUM(ET787:EX796)</f>
        <v>0</v>
      </c>
      <c r="EU797" s="1519"/>
      <c r="EV797" s="1519"/>
      <c r="EW797" s="1519"/>
      <c r="EX797" s="1520"/>
    </row>
    <row r="798" spans="1:154" s="4" customFormat="1" ht="13.05" customHeight="1">
      <c r="A798"/>
      <c r="B798"/>
      <c r="C798" s="1728" t="str">
        <f>IF(O797&lt;&gt;AG438,"! Total market rate units in the Unit Mix Table above does not match the number of  market rate units on row #"&amp;TEXT(ROW(D438),"#"),"")</f>
        <v/>
      </c>
      <c r="D798" s="1728"/>
      <c r="E798" s="1728"/>
      <c r="F798" s="1728"/>
      <c r="G798" s="1728"/>
      <c r="H798" s="1728"/>
      <c r="I798" s="1728"/>
      <c r="J798" s="1728"/>
      <c r="K798" s="1728"/>
      <c r="L798" s="1728"/>
      <c r="M798" s="1728"/>
      <c r="N798" s="1728"/>
      <c r="O798" s="1728"/>
      <c r="P798" s="1728"/>
      <c r="Q798" s="1728"/>
      <c r="R798" s="1728"/>
      <c r="S798" s="1728"/>
      <c r="T798" s="1728"/>
      <c r="U798" s="1728"/>
      <c r="V798" s="1728"/>
      <c r="W798" s="1728"/>
      <c r="X798" s="1728"/>
      <c r="Y798" s="1728"/>
      <c r="Z798" s="1728"/>
      <c r="AA798" s="1728"/>
      <c r="AB798" s="1728"/>
      <c r="AC798" s="1728"/>
      <c r="AD798" s="1728"/>
      <c r="AE798" s="1728"/>
      <c r="AF798" s="1728"/>
      <c r="AG798" s="1728"/>
      <c r="AH798" s="1728"/>
      <c r="AI798" s="1728"/>
      <c r="AJ798" s="1728"/>
      <c r="AK798" s="1728"/>
      <c r="AL798" s="1728"/>
      <c r="AM798" s="1728"/>
      <c r="AN798" s="172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28"/>
      <c r="D799" s="1728"/>
      <c r="E799" s="1728"/>
      <c r="F799" s="1728"/>
      <c r="G799" s="1728"/>
      <c r="H799" s="1728"/>
      <c r="I799" s="1728"/>
      <c r="J799" s="1728"/>
      <c r="K799" s="1728"/>
      <c r="L799" s="1728"/>
      <c r="M799" s="1728"/>
      <c r="N799" s="1728"/>
      <c r="O799" s="1728"/>
      <c r="P799" s="1728"/>
      <c r="Q799" s="1728"/>
      <c r="R799" s="1728"/>
      <c r="S799" s="1728"/>
      <c r="T799" s="1728"/>
      <c r="U799" s="1728"/>
      <c r="V799" s="1728"/>
      <c r="W799" s="1728"/>
      <c r="X799" s="1728"/>
      <c r="Y799" s="1728"/>
      <c r="Z799" s="1728"/>
      <c r="AA799" s="1728"/>
      <c r="AB799" s="1728"/>
      <c r="AC799" s="1728"/>
      <c r="AD799" s="1728"/>
      <c r="AE799" s="1728"/>
      <c r="AF799" s="1728"/>
      <c r="AG799" s="1728"/>
      <c r="AH799" s="1728"/>
      <c r="AI799" s="1728"/>
      <c r="AJ799" s="1728"/>
      <c r="AK799" s="1728"/>
      <c r="AL799" s="1728"/>
      <c r="AM799" s="1728"/>
      <c r="AN799" s="172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6">
        <f>SUM(DU797:EX797)</f>
        <v>0</v>
      </c>
      <c r="EU799" s="1867"/>
      <c r="EV799" s="1867"/>
      <c r="EW799" s="1867"/>
      <c r="EX799" s="186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44930</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539160</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21">
        <f>CP753+CP777+CP797</f>
        <v>0</v>
      </c>
      <c r="CQ802" s="1522"/>
      <c r="CR802" s="1522"/>
      <c r="CS802" s="1522"/>
      <c r="CT802" s="1523"/>
      <c r="CU802" s="1521">
        <f>CU753+CU777+CU797</f>
        <v>12</v>
      </c>
      <c r="CV802" s="1522"/>
      <c r="CW802" s="1522"/>
      <c r="CX802" s="1522"/>
      <c r="CY802" s="1523"/>
      <c r="CZ802" s="1521">
        <f>CZ753+CZ777+CZ797</f>
        <v>18</v>
      </c>
      <c r="DA802" s="1522"/>
      <c r="DB802" s="1522"/>
      <c r="DC802" s="1522"/>
      <c r="DD802" s="1523"/>
      <c r="DE802" s="1521">
        <f>DE753+DE777+DE797</f>
        <v>16</v>
      </c>
      <c r="DF802" s="1522"/>
      <c r="DG802" s="1522"/>
      <c r="DH802" s="1522"/>
      <c r="DI802" s="1523"/>
      <c r="DJ802" s="1521">
        <f>DJ753+DJ777+DJ797</f>
        <v>0</v>
      </c>
      <c r="DK802" s="1522"/>
      <c r="DL802" s="1522"/>
      <c r="DM802" s="1522"/>
      <c r="DN802" s="1523"/>
      <c r="DO802" s="1512">
        <f>DO797+DO777+DO753</f>
        <v>0</v>
      </c>
      <c r="DP802" s="1513"/>
      <c r="DQ802" s="1513"/>
      <c r="DR802" s="1513"/>
      <c r="DS802" s="1514"/>
      <c r="DT802" s="3"/>
      <c r="DU802" s="861">
        <f>DU755+DU800</f>
        <v>93</v>
      </c>
      <c r="DV802" s="57" t="s">
        <v>1863</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3">
        <v>45</v>
      </c>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v>1</v>
      </c>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19">
        <v>47270</v>
      </c>
      <c r="AA808" s="1423"/>
      <c r="AB808" s="1423"/>
      <c r="AC808" s="1423"/>
      <c r="AD808" s="1423"/>
      <c r="AE808" s="14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371676</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8">
        <v>6624</v>
      </c>
      <c r="AA813" s="1529"/>
      <c r="AB813" s="1529"/>
      <c r="AC813" s="1529"/>
      <c r="AD813" s="1529"/>
      <c r="AE813" s="153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8"/>
      <c r="AA814" s="1529"/>
      <c r="AB814" s="1529"/>
      <c r="AC814" s="1529"/>
      <c r="AD814" s="1529"/>
      <c r="AE814" s="153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8"/>
      <c r="AA815" s="1529"/>
      <c r="AB815" s="1529"/>
      <c r="AC815" s="1529"/>
      <c r="AD815" s="1529"/>
      <c r="AE815" s="153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84" t="s">
        <v>2739</v>
      </c>
      <c r="Q816" s="1585"/>
      <c r="R816" s="1585"/>
      <c r="S816" s="1585"/>
      <c r="T816" s="1585"/>
      <c r="U816" s="1585"/>
      <c r="V816" s="1585"/>
      <c r="W816" s="1585"/>
      <c r="X816" s="1585"/>
      <c r="Y816" s="1586"/>
      <c r="Z816" s="1528">
        <v>2208</v>
      </c>
      <c r="AA816" s="1529"/>
      <c r="AB816" s="1529"/>
      <c r="AC816" s="1529"/>
      <c r="AD816" s="1529"/>
      <c r="AE816" s="153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8832</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919668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77" t="s">
        <v>126</v>
      </c>
      <c r="N823" s="1577"/>
      <c r="O823" s="1577"/>
      <c r="P823" s="1727"/>
      <c r="Q823" s="1439" t="s">
        <v>290</v>
      </c>
      <c r="R823" s="1439"/>
      <c r="S823" s="1439"/>
      <c r="T823" s="1439"/>
      <c r="U823" s="1439" t="s">
        <v>291</v>
      </c>
      <c r="V823" s="1439"/>
      <c r="W823" s="1439"/>
      <c r="X823" s="1439"/>
      <c r="Y823" s="1439" t="s">
        <v>292</v>
      </c>
      <c r="Z823" s="1439"/>
      <c r="AA823" s="1439"/>
      <c r="AB823" s="1439"/>
      <c r="AC823" s="1439" t="s">
        <v>361</v>
      </c>
      <c r="AD823" s="1439"/>
      <c r="AE823" s="1439"/>
      <c r="AF823" s="1439"/>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81"/>
      <c r="N824" s="1581"/>
      <c r="O824" s="1581"/>
      <c r="P824" s="1583"/>
      <c r="Q824" s="1439"/>
      <c r="R824" s="1439"/>
      <c r="S824" s="1439"/>
      <c r="T824" s="1439"/>
      <c r="U824" s="1439"/>
      <c r="V824" s="1439"/>
      <c r="W824" s="1439"/>
      <c r="X824" s="1439"/>
      <c r="Y824" s="1439"/>
      <c r="Z824" s="1439"/>
      <c r="AA824" s="1439"/>
      <c r="AB824" s="1439"/>
      <c r="AC824" s="1439"/>
      <c r="AD824" s="1439"/>
      <c r="AE824" s="1439"/>
      <c r="AF824" s="1439"/>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90" t="s">
        <v>40</v>
      </c>
      <c r="D825" s="1416"/>
      <c r="E825" s="1416"/>
      <c r="F825" s="1416"/>
      <c r="G825" s="1416"/>
      <c r="H825" s="1416"/>
      <c r="I825" s="48"/>
      <c r="J825" s="48"/>
      <c r="K825" s="48"/>
      <c r="L825" s="49"/>
      <c r="M825" s="1572"/>
      <c r="N825" s="1572"/>
      <c r="O825" s="1572"/>
      <c r="P825" s="1572"/>
      <c r="Q825" s="1572">
        <v>42</v>
      </c>
      <c r="R825" s="1572"/>
      <c r="S825" s="1572"/>
      <c r="T825" s="1572"/>
      <c r="U825" s="1572">
        <v>54</v>
      </c>
      <c r="V825" s="1572"/>
      <c r="W825" s="1572"/>
      <c r="X825" s="1572"/>
      <c r="Y825" s="1572">
        <v>65</v>
      </c>
      <c r="Z825" s="1572"/>
      <c r="AA825" s="1572"/>
      <c r="AB825" s="1572"/>
      <c r="AC825" s="1525"/>
      <c r="AD825" s="1526"/>
      <c r="AE825" s="1526"/>
      <c r="AF825" s="1527"/>
      <c r="AG825" s="1525"/>
      <c r="AH825" s="1526"/>
      <c r="AI825" s="1526"/>
      <c r="AJ825" s="1527"/>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73" t="s">
        <v>41</v>
      </c>
      <c r="D826" s="1574"/>
      <c r="E826" s="1574"/>
      <c r="F826" s="1574"/>
      <c r="G826" s="1574"/>
      <c r="H826" s="1574"/>
      <c r="I826" s="5"/>
      <c r="J826" s="5"/>
      <c r="K826" s="5"/>
      <c r="L826" s="46"/>
      <c r="M826" s="1572"/>
      <c r="N826" s="1572"/>
      <c r="O826" s="1572"/>
      <c r="P826" s="1572"/>
      <c r="Q826" s="1572"/>
      <c r="R826" s="1572"/>
      <c r="S826" s="1572"/>
      <c r="T826" s="1572"/>
      <c r="U826" s="1572"/>
      <c r="V826" s="1572"/>
      <c r="W826" s="1572"/>
      <c r="X826" s="1572"/>
      <c r="Y826" s="1572"/>
      <c r="Z826" s="1572"/>
      <c r="AA826" s="1572"/>
      <c r="AB826" s="1572"/>
      <c r="AC826" s="1525"/>
      <c r="AD826" s="1526"/>
      <c r="AE826" s="1526"/>
      <c r="AF826" s="1527"/>
      <c r="AG826" s="1525"/>
      <c r="AH826" s="1526"/>
      <c r="AI826" s="1526"/>
      <c r="AJ826" s="1527"/>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73" t="s">
        <v>42</v>
      </c>
      <c r="D827" s="1574"/>
      <c r="E827" s="1574"/>
      <c r="F827" s="1574"/>
      <c r="G827" s="1574"/>
      <c r="H827" s="1574"/>
      <c r="I827" s="60"/>
      <c r="J827" s="60"/>
      <c r="K827" s="60"/>
      <c r="L827" s="61"/>
      <c r="M827" s="1572"/>
      <c r="N827" s="1572"/>
      <c r="O827" s="1572"/>
      <c r="P827" s="1572"/>
      <c r="Q827" s="1572">
        <v>19</v>
      </c>
      <c r="R827" s="1572"/>
      <c r="S827" s="1572"/>
      <c r="T827" s="1572"/>
      <c r="U827" s="1572">
        <v>27</v>
      </c>
      <c r="V827" s="1572"/>
      <c r="W827" s="1572"/>
      <c r="X827" s="1572"/>
      <c r="Y827" s="1572">
        <v>35</v>
      </c>
      <c r="Z827" s="1572"/>
      <c r="AA827" s="1572"/>
      <c r="AB827" s="1572"/>
      <c r="AC827" s="1525"/>
      <c r="AD827" s="1526"/>
      <c r="AE827" s="1526"/>
      <c r="AF827" s="1527"/>
      <c r="AG827" s="1525"/>
      <c r="AH827" s="1526"/>
      <c r="AI827" s="1526"/>
      <c r="AJ827" s="1527"/>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73" t="s">
        <v>762</v>
      </c>
      <c r="D828" s="1574"/>
      <c r="E828" s="1574"/>
      <c r="F828" s="1574"/>
      <c r="G828" s="1574"/>
      <c r="H828" s="1574"/>
      <c r="I828" s="60"/>
      <c r="J828" s="60"/>
      <c r="K828" s="60"/>
      <c r="L828" s="61"/>
      <c r="M828" s="1572"/>
      <c r="N828" s="1572"/>
      <c r="O828" s="1572"/>
      <c r="P828" s="1572"/>
      <c r="Q828" s="1572"/>
      <c r="R828" s="1572"/>
      <c r="S828" s="1572"/>
      <c r="T828" s="1572"/>
      <c r="U828" s="1572"/>
      <c r="V828" s="1572"/>
      <c r="W828" s="1572"/>
      <c r="X828" s="1572"/>
      <c r="Y828" s="1572"/>
      <c r="Z828" s="1572"/>
      <c r="AA828" s="1572"/>
      <c r="AB828" s="1572"/>
      <c r="AC828" s="1525"/>
      <c r="AD828" s="1526"/>
      <c r="AE828" s="1526"/>
      <c r="AF828" s="1527"/>
      <c r="AG828" s="1525"/>
      <c r="AH828" s="1526"/>
      <c r="AI828" s="1526"/>
      <c r="AJ828" s="1527"/>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73" t="s">
        <v>459</v>
      </c>
      <c r="D829" s="1574"/>
      <c r="E829" s="1574"/>
      <c r="F829" s="1574"/>
      <c r="G829" s="1574"/>
      <c r="H829" s="1574"/>
      <c r="I829" s="60"/>
      <c r="J829" s="60"/>
      <c r="K829" s="60"/>
      <c r="L829" s="61"/>
      <c r="M829" s="1572"/>
      <c r="N829" s="1572"/>
      <c r="O829" s="1572"/>
      <c r="P829" s="1572"/>
      <c r="Q829" s="1572">
        <v>71</v>
      </c>
      <c r="R829" s="1572"/>
      <c r="S829" s="1572"/>
      <c r="T829" s="1572"/>
      <c r="U829" s="1572">
        <v>98</v>
      </c>
      <c r="V829" s="1572"/>
      <c r="W829" s="1572"/>
      <c r="X829" s="1572"/>
      <c r="Y829" s="1572">
        <v>126</v>
      </c>
      <c r="Z829" s="1572"/>
      <c r="AA829" s="1572"/>
      <c r="AB829" s="1572"/>
      <c r="AC829" s="1525"/>
      <c r="AD829" s="1526"/>
      <c r="AE829" s="1526"/>
      <c r="AF829" s="1527"/>
      <c r="AG829" s="1525"/>
      <c r="AH829" s="1526"/>
      <c r="AI829" s="1526"/>
      <c r="AJ829" s="1527"/>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25" t="s">
        <v>783</v>
      </c>
      <c r="D830" s="1574"/>
      <c r="E830" s="1574"/>
      <c r="F830" s="1574"/>
      <c r="G830" s="1574"/>
      <c r="H830" s="1574"/>
      <c r="I830" s="60"/>
      <c r="J830" s="60"/>
      <c r="K830" s="60"/>
      <c r="L830" s="61"/>
      <c r="M830" s="1572"/>
      <c r="N830" s="1572"/>
      <c r="O830" s="1572"/>
      <c r="P830" s="1572"/>
      <c r="Q830" s="1572"/>
      <c r="R830" s="1572"/>
      <c r="S830" s="1572"/>
      <c r="T830" s="1572"/>
      <c r="U830" s="1572"/>
      <c r="V830" s="1572"/>
      <c r="W830" s="1572"/>
      <c r="X830" s="1572"/>
      <c r="Y830" s="1572"/>
      <c r="Z830" s="1572"/>
      <c r="AA830" s="1572"/>
      <c r="AB830" s="1572"/>
      <c r="AC830" s="1525"/>
      <c r="AD830" s="1526"/>
      <c r="AE830" s="1526"/>
      <c r="AF830" s="1527"/>
      <c r="AG830" s="1525"/>
      <c r="AH830" s="1526"/>
      <c r="AI830" s="1526"/>
      <c r="AJ830" s="1527"/>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293</v>
      </c>
      <c r="D831" s="60"/>
      <c r="E831" s="60"/>
      <c r="F831" s="1584"/>
      <c r="G831" s="1585"/>
      <c r="H831" s="1585"/>
      <c r="I831" s="1585"/>
      <c r="J831" s="1585"/>
      <c r="K831" s="1585"/>
      <c r="L831" s="1585"/>
      <c r="M831" s="1572"/>
      <c r="N831" s="1572"/>
      <c r="O831" s="1572"/>
      <c r="P831" s="1572"/>
      <c r="Q831" s="1572"/>
      <c r="R831" s="1572"/>
      <c r="S831" s="1572"/>
      <c r="T831" s="1572"/>
      <c r="U831" s="1572"/>
      <c r="V831" s="1572"/>
      <c r="W831" s="1572"/>
      <c r="X831" s="1572"/>
      <c r="Y831" s="1572"/>
      <c r="Z831" s="1572"/>
      <c r="AA831" s="1572"/>
      <c r="AB831" s="1572"/>
      <c r="AC831" s="1525"/>
      <c r="AD831" s="1526"/>
      <c r="AE831" s="1526"/>
      <c r="AF831" s="1527"/>
      <c r="AG831" s="1525"/>
      <c r="AH831" s="1526"/>
      <c r="AI831" s="1526"/>
      <c r="AJ831" s="1527"/>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502" t="s">
        <v>124</v>
      </c>
      <c r="D832" s="1503"/>
      <c r="E832" s="1503"/>
      <c r="F832" s="1503"/>
      <c r="G832" s="1503"/>
      <c r="H832" s="1503"/>
      <c r="I832" s="1503"/>
      <c r="J832" s="1503"/>
      <c r="K832" s="1503"/>
      <c r="L832" s="1504"/>
      <c r="M832" s="1624">
        <f>SUM(M825:P831)</f>
        <v>0</v>
      </c>
      <c r="N832" s="1624"/>
      <c r="O832" s="1624"/>
      <c r="P832" s="1624"/>
      <c r="Q832" s="1624">
        <f>SUM(Q825:T831)</f>
        <v>132</v>
      </c>
      <c r="R832" s="1624"/>
      <c r="S832" s="1624"/>
      <c r="T832" s="1624"/>
      <c r="U832" s="1624">
        <f>SUM(U825:X831)</f>
        <v>179</v>
      </c>
      <c r="V832" s="1624"/>
      <c r="W832" s="1624"/>
      <c r="X832" s="1624"/>
      <c r="Y832" s="1624">
        <f>SUM(Y825:AB831)</f>
        <v>226</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34" t="s">
        <v>2702</v>
      </c>
      <c r="D837" s="1635"/>
      <c r="E837" s="1635"/>
      <c r="F837" s="1635"/>
      <c r="G837" s="1635"/>
      <c r="H837" s="1635"/>
      <c r="I837" s="1635"/>
      <c r="J837" s="1635"/>
      <c r="K837" s="1635"/>
      <c r="L837" s="1635"/>
      <c r="M837" s="1635"/>
      <c r="N837" s="1635"/>
      <c r="O837" s="1635"/>
      <c r="P837" s="1635"/>
      <c r="Q837" s="1635"/>
      <c r="R837" s="1635"/>
      <c r="S837" s="1635"/>
      <c r="T837" s="1635"/>
      <c r="U837" s="1635"/>
      <c r="V837" s="1635"/>
      <c r="W837" s="1635"/>
      <c r="X837" s="1635"/>
      <c r="Y837" s="1635"/>
      <c r="Z837" s="1635"/>
      <c r="AA837" s="1635"/>
      <c r="AB837" s="1635"/>
      <c r="AC837" s="1635"/>
      <c r="AD837" s="1635"/>
      <c r="AE837" s="1635"/>
      <c r="AF837" s="1635"/>
      <c r="AG837" s="1635"/>
      <c r="AH837" s="1635"/>
      <c r="AI837" s="1635"/>
      <c r="AJ837" s="1636"/>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c r="BJ841" s="1656"/>
      <c r="BK841" s="1656"/>
      <c r="BL841" s="1656"/>
    </row>
    <row r="842" spans="1:64"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534"/>
      <c r="X842" s="1534"/>
      <c r="Y842" s="1534"/>
      <c r="Z842" s="1534"/>
      <c r="AA842" s="1534"/>
      <c r="AB842" s="1534"/>
      <c r="AC842" s="1534"/>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355</v>
      </c>
      <c r="K843" s="5"/>
      <c r="L843" s="5"/>
      <c r="M843" s="5"/>
      <c r="N843" s="5"/>
      <c r="O843" s="5"/>
      <c r="P843" s="5"/>
      <c r="Q843" s="5"/>
      <c r="R843" s="5"/>
      <c r="S843" s="5"/>
      <c r="T843" s="5"/>
      <c r="U843" s="5"/>
      <c r="V843" s="46"/>
      <c r="W843" s="1534">
        <v>299</v>
      </c>
      <c r="X843" s="1534"/>
      <c r="Y843" s="1534"/>
      <c r="Z843" s="1534"/>
      <c r="AA843" s="1534"/>
      <c r="AB843" s="1534"/>
      <c r="AC843" s="1534"/>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354</v>
      </c>
      <c r="K844" s="5"/>
      <c r="L844" s="5"/>
      <c r="M844" s="5"/>
      <c r="N844" s="5"/>
      <c r="O844" s="5"/>
      <c r="P844" s="5"/>
      <c r="Q844" s="5"/>
      <c r="R844" s="5"/>
      <c r="S844" s="5"/>
      <c r="T844" s="5"/>
      <c r="U844" s="5"/>
      <c r="V844" s="46"/>
      <c r="W844" s="1534">
        <v>7983</v>
      </c>
      <c r="X844" s="1534"/>
      <c r="Y844" s="1534"/>
      <c r="Z844" s="1534"/>
      <c r="AA844" s="1534"/>
      <c r="AB844" s="1534"/>
      <c r="AC844" s="1534"/>
      <c r="AZ844" s="30"/>
      <c r="BA844" s="30"/>
      <c r="BB844" s="14"/>
      <c r="BC844" s="14"/>
      <c r="BD844" s="14"/>
      <c r="BE844" s="14"/>
      <c r="BF844" s="14"/>
      <c r="BG844" s="14"/>
      <c r="BH844" s="14"/>
      <c r="BI844" s="14"/>
      <c r="BJ844" s="14"/>
      <c r="BK844" s="14"/>
      <c r="BL844" s="14"/>
    </row>
    <row r="845" spans="1:64" ht="13.05" customHeight="1">
      <c r="J845" s="45" t="s">
        <v>353</v>
      </c>
      <c r="K845" s="5"/>
      <c r="L845" s="5"/>
      <c r="M845" s="5"/>
      <c r="N845" s="5"/>
      <c r="O845" s="5"/>
      <c r="P845" s="5"/>
      <c r="Q845" s="5"/>
      <c r="R845" s="5"/>
      <c r="S845" s="5"/>
      <c r="T845" s="5"/>
      <c r="U845" s="5"/>
      <c r="V845" s="46"/>
      <c r="W845" s="1534">
        <v>4186</v>
      </c>
      <c r="X845" s="1534"/>
      <c r="Y845" s="1534"/>
      <c r="Z845" s="1534"/>
      <c r="AA845" s="1534"/>
      <c r="AB845" s="1534"/>
      <c r="AC845" s="1534"/>
      <c r="AZ845" s="30"/>
      <c r="BA845" s="30"/>
      <c r="BB845" s="14"/>
      <c r="BC845" s="14"/>
      <c r="BD845" s="14"/>
      <c r="BE845" s="14"/>
      <c r="BF845" s="14"/>
      <c r="BG845" s="14"/>
      <c r="BH845" s="14"/>
      <c r="BI845" s="14"/>
      <c r="BJ845" s="14"/>
      <c r="BK845" s="14"/>
      <c r="BL845" s="14"/>
    </row>
    <row r="846" spans="1:64" ht="13.05" customHeight="1">
      <c r="J846" s="45" t="s">
        <v>170</v>
      </c>
      <c r="K846" s="5"/>
      <c r="L846" s="5"/>
      <c r="M846" s="1584" t="s">
        <v>2740</v>
      </c>
      <c r="N846" s="1585"/>
      <c r="O846" s="1585"/>
      <c r="P846" s="1585"/>
      <c r="Q846" s="1585"/>
      <c r="R846" s="1585"/>
      <c r="S846" s="1585"/>
      <c r="T846" s="1585"/>
      <c r="U846" s="1585"/>
      <c r="V846" s="1586"/>
      <c r="W846" s="1534">
        <v>71312</v>
      </c>
      <c r="X846" s="1534"/>
      <c r="Y846" s="1534"/>
      <c r="Z846" s="1534"/>
      <c r="AA846" s="1534"/>
      <c r="AB846" s="1534"/>
      <c r="AC846" s="1534"/>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342</v>
      </c>
      <c r="W847" s="1614">
        <f>SUM(W842:W846)</f>
        <v>83780</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11"/>
      <c r="BH848" s="1611"/>
      <c r="BI848" s="1611"/>
      <c r="BJ848" s="1611"/>
      <c r="BK848" s="1611"/>
      <c r="BL848" s="1611"/>
    </row>
    <row r="849" spans="3:55" ht="13.05" customHeight="1">
      <c r="C849" s="2" t="s">
        <v>344</v>
      </c>
      <c r="J849" s="1502" t="s">
        <v>345</v>
      </c>
      <c r="K849" s="1503"/>
      <c r="L849" s="1503"/>
      <c r="M849" s="1503"/>
      <c r="N849" s="1503"/>
      <c r="O849" s="1503"/>
      <c r="P849" s="1503"/>
      <c r="Q849" s="1503"/>
      <c r="R849" s="1503"/>
      <c r="S849" s="1503"/>
      <c r="T849" s="1503"/>
      <c r="U849" s="1503"/>
      <c r="V849" s="1504"/>
      <c r="W849" s="1528">
        <v>33966</v>
      </c>
      <c r="X849" s="1529"/>
      <c r="Y849" s="1529"/>
      <c r="Z849" s="1529"/>
      <c r="AA849" s="1529"/>
      <c r="AB849" s="1529"/>
      <c r="AC849" s="1530"/>
      <c r="AD849" s="533"/>
      <c r="AZ849" s="30"/>
      <c r="BA849" s="30"/>
      <c r="BB849" s="14"/>
      <c r="BC849" s="14"/>
    </row>
    <row r="850" spans="3:55" ht="13.05" customHeight="1">
      <c r="AD850" s="533"/>
      <c r="AZ850" s="30"/>
      <c r="BA850" s="30"/>
      <c r="BB850" s="14"/>
      <c r="BC850" s="14"/>
    </row>
    <row r="851" spans="3:55" ht="13.05" customHeight="1">
      <c r="C851" s="2" t="s">
        <v>561</v>
      </c>
      <c r="J851" s="45" t="s">
        <v>352</v>
      </c>
      <c r="K851" s="5"/>
      <c r="L851" s="5"/>
      <c r="M851" s="5"/>
      <c r="N851" s="5"/>
      <c r="O851" s="5"/>
      <c r="P851" s="5"/>
      <c r="Q851" s="5"/>
      <c r="R851" s="5"/>
      <c r="S851" s="5"/>
      <c r="T851" s="5"/>
      <c r="U851" s="5"/>
      <c r="V851" s="46"/>
      <c r="W851" s="1610"/>
      <c r="X851" s="1610"/>
      <c r="Y851" s="1610"/>
      <c r="Z851" s="1610"/>
      <c r="AA851" s="1610"/>
      <c r="AB851" s="1610"/>
      <c r="AC851" s="1610"/>
      <c r="AZ851" s="1718"/>
      <c r="BA851" s="1718"/>
      <c r="BB851" s="14"/>
      <c r="BC851" s="14"/>
    </row>
    <row r="852" spans="3:55" ht="13.05" customHeight="1">
      <c r="J852" s="45" t="s">
        <v>351</v>
      </c>
      <c r="K852" s="5"/>
      <c r="L852" s="5"/>
      <c r="M852" s="5"/>
      <c r="N852" s="5"/>
      <c r="O852" s="5"/>
      <c r="P852" s="5"/>
      <c r="Q852" s="5"/>
      <c r="R852" s="5"/>
      <c r="S852" s="5"/>
      <c r="T852" s="5"/>
      <c r="U852" s="5"/>
      <c r="V852" s="46"/>
      <c r="W852" s="1610"/>
      <c r="X852" s="1610"/>
      <c r="Y852" s="1610"/>
      <c r="Z852" s="1610"/>
      <c r="AA852" s="1610"/>
      <c r="AB852" s="1610"/>
      <c r="AC852" s="1610"/>
      <c r="AZ852" s="30"/>
      <c r="BA852" s="30"/>
      <c r="BB852" s="14"/>
      <c r="BC852" s="14"/>
    </row>
    <row r="853" spans="3:55" ht="13.05" customHeight="1">
      <c r="J853" s="45" t="s">
        <v>459</v>
      </c>
      <c r="K853" s="5"/>
      <c r="L853" s="5"/>
      <c r="M853" s="5"/>
      <c r="N853" s="5"/>
      <c r="O853" s="5"/>
      <c r="P853" s="5"/>
      <c r="Q853" s="5"/>
      <c r="R853" s="5"/>
      <c r="S853" s="5"/>
      <c r="T853" s="5"/>
      <c r="U853" s="5"/>
      <c r="V853" s="46"/>
      <c r="W853" s="1610">
        <v>14262</v>
      </c>
      <c r="X853" s="1610"/>
      <c r="Y853" s="1610"/>
      <c r="Z853" s="1610"/>
      <c r="AA853" s="1610"/>
      <c r="AB853" s="1610"/>
      <c r="AC853" s="1610"/>
      <c r="AZ853" s="30"/>
      <c r="BA853" s="30"/>
      <c r="BB853" s="14"/>
      <c r="BC853" s="14"/>
    </row>
    <row r="854" spans="3:55" ht="13.05" customHeight="1">
      <c r="J854" s="62" t="s">
        <v>620</v>
      </c>
      <c r="K854" s="5"/>
      <c r="L854" s="5"/>
      <c r="M854" s="5"/>
      <c r="N854" s="5"/>
      <c r="O854" s="5"/>
      <c r="P854" s="5"/>
      <c r="Q854" s="5"/>
      <c r="R854" s="5"/>
      <c r="S854" s="5"/>
      <c r="T854" s="5"/>
      <c r="U854" s="5"/>
      <c r="V854" s="46"/>
      <c r="W854" s="1610">
        <v>26611</v>
      </c>
      <c r="X854" s="1610"/>
      <c r="Y854" s="1610"/>
      <c r="Z854" s="1610"/>
      <c r="AA854" s="1610"/>
      <c r="AB854" s="1610"/>
      <c r="AC854" s="1610"/>
      <c r="AZ854" s="34"/>
      <c r="BA854" s="34"/>
      <c r="BB854" s="34"/>
      <c r="BC854" s="34"/>
    </row>
    <row r="855" spans="3:55" ht="13.05" customHeight="1">
      <c r="J855" s="63"/>
      <c r="K855" s="48"/>
      <c r="L855" s="48"/>
      <c r="M855" s="48"/>
      <c r="N855" s="48"/>
      <c r="O855" s="48"/>
      <c r="P855" s="48"/>
      <c r="Q855" s="48"/>
      <c r="R855" s="48"/>
      <c r="S855" s="48"/>
      <c r="T855" s="48"/>
      <c r="U855" s="48"/>
      <c r="V855" s="54" t="s">
        <v>272</v>
      </c>
      <c r="W855" s="1612">
        <f>SUM(W851:W854)</f>
        <v>40873</v>
      </c>
      <c r="X855" s="1612"/>
      <c r="Y855" s="1612"/>
      <c r="Z855" s="1612"/>
      <c r="AA855" s="1612"/>
      <c r="AB855" s="1612"/>
      <c r="AC855" s="1612"/>
      <c r="AZ855" s="34"/>
      <c r="BA855" s="34"/>
      <c r="BB855" s="34"/>
      <c r="BC855" s="34"/>
    </row>
    <row r="856" spans="3:55" ht="13.05" customHeight="1">
      <c r="AZ856" s="34"/>
      <c r="BA856" s="34"/>
      <c r="BB856" s="34"/>
      <c r="BC856" s="34"/>
    </row>
    <row r="857" spans="3:55" ht="13.05" customHeight="1">
      <c r="C857" s="2" t="s">
        <v>346</v>
      </c>
      <c r="J857" s="45" t="s">
        <v>619</v>
      </c>
      <c r="K857" s="5"/>
      <c r="L857" s="5"/>
      <c r="M857" s="5"/>
      <c r="N857" s="5"/>
      <c r="O857" s="5"/>
      <c r="P857" s="5"/>
      <c r="Q857" s="5"/>
      <c r="R857" s="5"/>
      <c r="S857" s="5"/>
      <c r="T857" s="5"/>
      <c r="U857" s="5"/>
      <c r="V857" s="46"/>
      <c r="W857" s="1618">
        <v>44354</v>
      </c>
      <c r="X857" s="1619"/>
      <c r="Y857" s="1619"/>
      <c r="Z857" s="1619"/>
      <c r="AA857" s="1619"/>
      <c r="AB857" s="1619"/>
      <c r="AC857" s="1620"/>
      <c r="AD857" s="528"/>
      <c r="AZ857" s="34"/>
      <c r="BA857" s="34"/>
      <c r="BB857" s="34"/>
      <c r="BC857" s="34"/>
    </row>
    <row r="858" spans="3:55" ht="13.05" customHeight="1">
      <c r="C858" s="2" t="s">
        <v>347</v>
      </c>
      <c r="J858" s="121" t="s">
        <v>1655</v>
      </c>
      <c r="K858" s="5"/>
      <c r="L858" s="5"/>
      <c r="M858" s="5"/>
      <c r="N858" s="5"/>
      <c r="O858" s="5"/>
      <c r="P858" s="5"/>
      <c r="Q858" s="5"/>
      <c r="R858" s="5"/>
      <c r="S858" s="5"/>
      <c r="T858" s="1720">
        <v>1</v>
      </c>
      <c r="U858" s="1698"/>
      <c r="V858" s="1721"/>
      <c r="W858" s="874"/>
      <c r="X858" s="875"/>
      <c r="Y858" s="875"/>
      <c r="Z858" s="875"/>
      <c r="AA858" s="875"/>
      <c r="AB858" s="875"/>
      <c r="AC858" s="876"/>
      <c r="AD858" s="528"/>
      <c r="AZ858" s="34"/>
      <c r="BA858" s="34"/>
      <c r="BB858" s="34"/>
      <c r="BC858" s="34"/>
    </row>
    <row r="859" spans="3:55" ht="13.05" customHeight="1">
      <c r="C859" s="2"/>
      <c r="J859" s="45" t="s">
        <v>618</v>
      </c>
      <c r="K859" s="5"/>
      <c r="L859" s="5"/>
      <c r="M859" s="5"/>
      <c r="N859" s="5"/>
      <c r="O859" s="5"/>
      <c r="P859" s="5"/>
      <c r="Q859" s="5"/>
      <c r="R859" s="5"/>
      <c r="S859" s="5"/>
      <c r="T859" s="5"/>
      <c r="U859" s="5"/>
      <c r="V859" s="46"/>
      <c r="W859" s="1618"/>
      <c r="X859" s="1619"/>
      <c r="Y859" s="1619"/>
      <c r="Z859" s="1619"/>
      <c r="AA859" s="1619"/>
      <c r="AB859" s="1619"/>
      <c r="AC859" s="1620"/>
      <c r="AD859" s="533"/>
      <c r="AZ859" s="34"/>
      <c r="BA859" s="34"/>
      <c r="BB859" s="34"/>
      <c r="BC859" s="34"/>
    </row>
    <row r="860" spans="3:55" ht="13.05" customHeight="1">
      <c r="C860" s="2"/>
      <c r="J860" s="121" t="s">
        <v>1656</v>
      </c>
      <c r="K860" s="5"/>
      <c r="L860" s="5"/>
      <c r="M860" s="5"/>
      <c r="N860" s="5"/>
      <c r="O860" s="5"/>
      <c r="P860" s="5"/>
      <c r="Q860" s="5"/>
      <c r="R860" s="5"/>
      <c r="S860" s="5"/>
      <c r="T860" s="1720">
        <v>1</v>
      </c>
      <c r="U860" s="1698"/>
      <c r="V860" s="1721"/>
      <c r="W860" s="874"/>
      <c r="X860" s="875"/>
      <c r="Y860" s="875"/>
      <c r="Z860" s="875"/>
      <c r="AA860" s="875"/>
      <c r="AB860" s="875"/>
      <c r="AC860" s="876"/>
      <c r="AD860" s="533"/>
      <c r="AZ860" s="34"/>
      <c r="BA860" s="34"/>
      <c r="BB860" s="34"/>
      <c r="BC860" s="34"/>
    </row>
    <row r="861" spans="3:55" ht="13.05" customHeight="1">
      <c r="J861" s="45" t="s">
        <v>170</v>
      </c>
      <c r="K861" s="5"/>
      <c r="L861" s="5"/>
      <c r="M861" s="1584" t="s">
        <v>2741</v>
      </c>
      <c r="N861" s="1585"/>
      <c r="O861" s="1585"/>
      <c r="P861" s="1585"/>
      <c r="Q861" s="1585"/>
      <c r="R861" s="1585"/>
      <c r="S861" s="1585"/>
      <c r="T861" s="1585"/>
      <c r="U861" s="1585"/>
      <c r="V861" s="1586"/>
      <c r="W861" s="1618">
        <v>2706</v>
      </c>
      <c r="X861" s="1619"/>
      <c r="Y861" s="1619"/>
      <c r="Z861" s="1619"/>
      <c r="AA861" s="1619"/>
      <c r="AB861" s="1619"/>
      <c r="AC861" s="1620"/>
      <c r="AD861" s="528"/>
      <c r="AU861" s="14"/>
      <c r="AZ861" s="34"/>
      <c r="BA861" s="34"/>
      <c r="BB861" s="34"/>
      <c r="BC861" s="34"/>
    </row>
    <row r="862" spans="3:55" ht="13.05" customHeight="1">
      <c r="J862" s="45"/>
      <c r="K862" s="5"/>
      <c r="L862" s="5"/>
      <c r="M862" s="5"/>
      <c r="N862" s="5"/>
      <c r="O862" s="5"/>
      <c r="P862" s="5"/>
      <c r="Q862" s="5"/>
      <c r="R862" s="5"/>
      <c r="S862" s="5"/>
      <c r="T862" s="5"/>
      <c r="U862" s="5"/>
      <c r="V862" s="54" t="s">
        <v>273</v>
      </c>
      <c r="W862" s="1722">
        <f>SUM(W857:W861)</f>
        <v>47060</v>
      </c>
      <c r="X862" s="1723"/>
      <c r="Y862" s="1723"/>
      <c r="Z862" s="1723"/>
      <c r="AA862" s="1723"/>
      <c r="AB862" s="1723"/>
      <c r="AC862" s="1724"/>
      <c r="AD862" s="533"/>
      <c r="AU862" s="14"/>
      <c r="AZ862" s="34"/>
      <c r="BA862" s="34"/>
      <c r="BB862" s="34"/>
      <c r="BC862" s="34"/>
    </row>
    <row r="863" spans="3:55" ht="13.05" customHeight="1">
      <c r="J863" s="45"/>
      <c r="K863" s="5"/>
      <c r="L863" s="5"/>
      <c r="M863" s="5"/>
      <c r="N863" s="5"/>
      <c r="O863" s="5"/>
      <c r="P863" s="5"/>
      <c r="Q863" s="5"/>
      <c r="R863" s="5"/>
      <c r="S863" s="5"/>
      <c r="T863" s="5"/>
      <c r="U863" s="5"/>
      <c r="V863" s="54" t="s">
        <v>274</v>
      </c>
      <c r="W863" s="1618"/>
      <c r="X863" s="1619"/>
      <c r="Y863" s="1619"/>
      <c r="Z863" s="1619"/>
      <c r="AA863" s="1619"/>
      <c r="AB863" s="1619"/>
      <c r="AC863" s="1620"/>
      <c r="AU863" s="14"/>
      <c r="AZ863" s="34"/>
      <c r="BA863" s="34"/>
      <c r="BB863" s="34"/>
      <c r="BC863" s="34"/>
    </row>
    <row r="864" spans="3:55" ht="13.05" customHeight="1">
      <c r="J864" s="512"/>
      <c r="AU864" s="14"/>
      <c r="AZ864" s="34"/>
      <c r="BA864" s="34"/>
      <c r="BB864" s="34"/>
      <c r="BC864" s="34"/>
    </row>
    <row r="865" spans="3:55" ht="13.05" customHeight="1">
      <c r="C865" s="2" t="s">
        <v>390</v>
      </c>
      <c r="J865" s="45" t="s">
        <v>617</v>
      </c>
      <c r="K865" s="5"/>
      <c r="L865" s="5"/>
      <c r="M865" s="5"/>
      <c r="N865" s="5"/>
      <c r="O865" s="5"/>
      <c r="P865" s="5"/>
      <c r="Q865" s="5"/>
      <c r="R865" s="5"/>
      <c r="S865" s="5"/>
      <c r="T865" s="5"/>
      <c r="U865" s="5"/>
      <c r="V865" s="46"/>
      <c r="W865" s="1534">
        <v>18187</v>
      </c>
      <c r="X865" s="1534"/>
      <c r="Y865" s="1534"/>
      <c r="Z865" s="1534"/>
      <c r="AA865" s="1534"/>
      <c r="AB865" s="1534"/>
      <c r="AC865" s="1534"/>
      <c r="AU865" s="14"/>
      <c r="AZ865" s="34"/>
      <c r="BA865" s="34"/>
      <c r="BB865" s="34"/>
      <c r="BC865" s="34"/>
    </row>
    <row r="866" spans="3:55" ht="13.05" customHeight="1">
      <c r="J866" s="45" t="s">
        <v>522</v>
      </c>
      <c r="K866" s="5"/>
      <c r="L866" s="5"/>
      <c r="M866" s="5"/>
      <c r="N866" s="5"/>
      <c r="O866" s="5"/>
      <c r="P866" s="5"/>
      <c r="Q866" s="5"/>
      <c r="R866" s="5"/>
      <c r="S866" s="5"/>
      <c r="T866" s="5"/>
      <c r="U866" s="5"/>
      <c r="V866" s="46"/>
      <c r="W866" s="1534">
        <v>1525</v>
      </c>
      <c r="X866" s="1534"/>
      <c r="Y866" s="1534"/>
      <c r="Z866" s="1534"/>
      <c r="AA866" s="1534"/>
      <c r="AB866" s="1534"/>
      <c r="AC866" s="1534"/>
      <c r="AU866" s="4"/>
      <c r="AZ866" s="34"/>
      <c r="BA866" s="34"/>
      <c r="BB866" s="34"/>
      <c r="BC866" s="34"/>
    </row>
    <row r="867" spans="3:55" ht="13.05" customHeight="1">
      <c r="J867" s="45" t="s">
        <v>521</v>
      </c>
      <c r="K867" s="5"/>
      <c r="L867" s="5"/>
      <c r="M867" s="5"/>
      <c r="N867" s="5"/>
      <c r="O867" s="5"/>
      <c r="P867" s="5"/>
      <c r="Q867" s="5"/>
      <c r="R867" s="5"/>
      <c r="S867" s="5"/>
      <c r="T867" s="5"/>
      <c r="U867" s="5"/>
      <c r="V867" s="46"/>
      <c r="W867" s="1534">
        <v>11691</v>
      </c>
      <c r="X867" s="1534"/>
      <c r="Y867" s="1534"/>
      <c r="Z867" s="1534"/>
      <c r="AA867" s="1534"/>
      <c r="AB867" s="1534"/>
      <c r="AC867" s="1534"/>
      <c r="AU867" s="4"/>
      <c r="AZ867" s="34"/>
      <c r="BA867" s="34"/>
      <c r="BB867" s="34"/>
      <c r="BC867" s="34"/>
    </row>
    <row r="868" spans="3:55" ht="13.05" customHeight="1">
      <c r="J868" s="45" t="s">
        <v>520</v>
      </c>
      <c r="K868" s="5"/>
      <c r="L868" s="5"/>
      <c r="M868" s="5"/>
      <c r="N868" s="5"/>
      <c r="O868" s="5"/>
      <c r="P868" s="5"/>
      <c r="Q868" s="5"/>
      <c r="R868" s="5"/>
      <c r="S868" s="5"/>
      <c r="T868" s="5"/>
      <c r="U868" s="5"/>
      <c r="V868" s="46"/>
      <c r="W868" s="1534">
        <v>6062</v>
      </c>
      <c r="X868" s="1534"/>
      <c r="Y868" s="1534"/>
      <c r="Z868" s="1534"/>
      <c r="AA868" s="1534"/>
      <c r="AB868" s="1534"/>
      <c r="AC868" s="1534"/>
      <c r="AU868" s="4"/>
      <c r="AZ868" s="34"/>
      <c r="BA868" s="34"/>
      <c r="BB868" s="34"/>
      <c r="BC868" s="34"/>
    </row>
    <row r="869" spans="3:55" ht="13.05" customHeight="1">
      <c r="J869" s="45" t="s">
        <v>519</v>
      </c>
      <c r="K869" s="5"/>
      <c r="L869" s="5"/>
      <c r="M869" s="5"/>
      <c r="N869" s="5"/>
      <c r="O869" s="5"/>
      <c r="P869" s="5"/>
      <c r="Q869" s="5"/>
      <c r="R869" s="5"/>
      <c r="S869" s="5"/>
      <c r="T869" s="5"/>
      <c r="U869" s="5"/>
      <c r="V869" s="46"/>
      <c r="W869" s="1534"/>
      <c r="X869" s="1534"/>
      <c r="Y869" s="1534"/>
      <c r="Z869" s="1534"/>
      <c r="AA869" s="1534"/>
      <c r="AB869" s="1534"/>
      <c r="AC869" s="1534"/>
      <c r="AU869" s="4"/>
      <c r="AZ869" s="34"/>
      <c r="BA869" s="34"/>
      <c r="BB869" s="34"/>
      <c r="BC869" s="34"/>
    </row>
    <row r="870" spans="3:55" ht="13.05" customHeight="1">
      <c r="J870" s="45" t="s">
        <v>518</v>
      </c>
      <c r="K870" s="5"/>
      <c r="L870" s="5"/>
      <c r="M870" s="5"/>
      <c r="N870" s="5"/>
      <c r="O870" s="5"/>
      <c r="P870" s="5"/>
      <c r="Q870" s="5"/>
      <c r="R870" s="5"/>
      <c r="S870" s="5"/>
      <c r="T870" s="5"/>
      <c r="U870" s="5"/>
      <c r="V870" s="46"/>
      <c r="W870" s="1534">
        <v>299</v>
      </c>
      <c r="X870" s="1534"/>
      <c r="Y870" s="1534"/>
      <c r="Z870" s="1534"/>
      <c r="AA870" s="1534"/>
      <c r="AB870" s="1534"/>
      <c r="AC870" s="1534"/>
      <c r="AU870" s="4"/>
      <c r="AZ870" s="34"/>
      <c r="BA870" s="34"/>
      <c r="BB870" s="34"/>
      <c r="BC870" s="34"/>
    </row>
    <row r="871" spans="3:55" ht="13.05" customHeight="1">
      <c r="J871" s="45" t="s">
        <v>170</v>
      </c>
      <c r="K871" s="5"/>
      <c r="L871" s="5"/>
      <c r="M871" s="1584" t="s">
        <v>2742</v>
      </c>
      <c r="N871" s="1585"/>
      <c r="O871" s="1585"/>
      <c r="P871" s="1585"/>
      <c r="Q871" s="1585"/>
      <c r="R871" s="1585"/>
      <c r="S871" s="1585"/>
      <c r="T871" s="1585"/>
      <c r="U871" s="1585"/>
      <c r="V871" s="1586"/>
      <c r="W871" s="1534">
        <v>16445</v>
      </c>
      <c r="X871" s="1534"/>
      <c r="Y871" s="1534"/>
      <c r="Z871" s="1534"/>
      <c r="AA871" s="1534"/>
      <c r="AB871" s="1534"/>
      <c r="AC871" s="1534"/>
      <c r="AD871" s="533"/>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275</v>
      </c>
      <c r="W872" s="1602">
        <f>SUM(W865:W871)</f>
        <v>54209</v>
      </c>
      <c r="X872" s="1602"/>
      <c r="Y872" s="1602"/>
      <c r="Z872" s="1602"/>
      <c r="AA872" s="1602"/>
      <c r="AB872" s="1602"/>
      <c r="AC872" s="1602"/>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170</v>
      </c>
      <c r="K874" s="5"/>
      <c r="L874" s="5"/>
      <c r="M874" s="1584" t="s">
        <v>2743</v>
      </c>
      <c r="N874" s="1585"/>
      <c r="O874" s="1585"/>
      <c r="P874" s="1585"/>
      <c r="Q874" s="1585"/>
      <c r="R874" s="1585"/>
      <c r="S874" s="1585"/>
      <c r="T874" s="1585"/>
      <c r="U874" s="1585"/>
      <c r="V874" s="1586"/>
      <c r="W874" s="1528">
        <f>8701</f>
        <v>8701</v>
      </c>
      <c r="X874" s="1529"/>
      <c r="Y874" s="1529"/>
      <c r="Z874" s="1529"/>
      <c r="AA874" s="1529"/>
      <c r="AB874" s="1529"/>
      <c r="AC874" s="1530"/>
      <c r="AD874" s="533"/>
      <c r="AV874" s="14"/>
      <c r="AW874" s="14"/>
      <c r="AX874" s="14"/>
      <c r="AY874" s="14"/>
      <c r="AZ874" s="34"/>
      <c r="BA874" s="34"/>
      <c r="BB874" s="34"/>
      <c r="BC874" s="34"/>
    </row>
    <row r="875" spans="3:55" ht="13.05" customHeight="1">
      <c r="C875" s="2" t="s">
        <v>1244</v>
      </c>
      <c r="J875" s="45" t="s">
        <v>170</v>
      </c>
      <c r="K875" s="5"/>
      <c r="L875" s="5"/>
      <c r="M875" s="1584" t="s">
        <v>2744</v>
      </c>
      <c r="N875" s="1585"/>
      <c r="O875" s="1585"/>
      <c r="P875" s="1585"/>
      <c r="Q875" s="1585"/>
      <c r="R875" s="1585"/>
      <c r="S875" s="1585"/>
      <c r="T875" s="1585"/>
      <c r="U875" s="1585"/>
      <c r="V875" s="1586"/>
      <c r="W875" s="1528">
        <v>12232</v>
      </c>
      <c r="X875" s="1529"/>
      <c r="Y875" s="1529"/>
      <c r="Z875" s="1529"/>
      <c r="AA875" s="1529"/>
      <c r="AB875" s="1529"/>
      <c r="AC875" s="1530"/>
      <c r="AD875" s="533"/>
      <c r="AV875" s="14"/>
      <c r="AW875" s="14"/>
      <c r="AX875" s="14"/>
      <c r="AY875" s="14"/>
      <c r="AZ875" s="34"/>
      <c r="BA875" s="34"/>
      <c r="BB875" s="34"/>
      <c r="BC875" s="34"/>
    </row>
    <row r="876" spans="3:55" ht="13.05" customHeight="1">
      <c r="J876" s="45" t="s">
        <v>170</v>
      </c>
      <c r="K876" s="5"/>
      <c r="L876" s="5"/>
      <c r="M876" s="1584" t="s">
        <v>2745</v>
      </c>
      <c r="N876" s="1585"/>
      <c r="O876" s="1585"/>
      <c r="P876" s="1585"/>
      <c r="Q876" s="1585"/>
      <c r="R876" s="1585"/>
      <c r="S876" s="1585"/>
      <c r="T876" s="1585"/>
      <c r="U876" s="1585"/>
      <c r="V876" s="1586"/>
      <c r="W876" s="1528">
        <v>3259</v>
      </c>
      <c r="X876" s="1529"/>
      <c r="Y876" s="1529"/>
      <c r="Z876" s="1529"/>
      <c r="AA876" s="1529"/>
      <c r="AB876" s="1529"/>
      <c r="AC876" s="1530"/>
      <c r="AL876" s="14"/>
      <c r="AM876" s="14"/>
      <c r="AN876" s="14"/>
      <c r="AO876" s="14"/>
      <c r="AP876" s="14"/>
      <c r="AQ876" s="14"/>
      <c r="AR876" s="14"/>
      <c r="AS876" s="14"/>
      <c r="AT876" s="14"/>
      <c r="AV876" s="4"/>
      <c r="AW876" s="4"/>
      <c r="AX876" s="4"/>
      <c r="AY876" s="4"/>
      <c r="AZ876" s="34"/>
      <c r="BA876" s="34"/>
      <c r="BB876" s="34"/>
      <c r="BC876" s="34"/>
    </row>
    <row r="877" spans="3:55" ht="13.05" customHeight="1">
      <c r="J877" s="45" t="s">
        <v>170</v>
      </c>
      <c r="K877" s="5"/>
      <c r="L877" s="5"/>
      <c r="M877" s="1584" t="s">
        <v>2746</v>
      </c>
      <c r="N877" s="1585"/>
      <c r="O877" s="1585"/>
      <c r="P877" s="1585"/>
      <c r="Q877" s="1585"/>
      <c r="R877" s="1585"/>
      <c r="S877" s="1585"/>
      <c r="T877" s="1585"/>
      <c r="U877" s="1585"/>
      <c r="V877" s="1586"/>
      <c r="W877" s="1528">
        <v>14920</v>
      </c>
      <c r="X877" s="1529"/>
      <c r="Y877" s="1529"/>
      <c r="Z877" s="1529"/>
      <c r="AA877" s="1529"/>
      <c r="AB877" s="1529"/>
      <c r="AC877" s="1530"/>
      <c r="AL877" s="14"/>
      <c r="AM877" s="14"/>
      <c r="AN877" s="14"/>
      <c r="AO877" s="14"/>
      <c r="AP877" s="14"/>
      <c r="AQ877" s="14"/>
      <c r="AR877" s="14"/>
      <c r="AS877" s="14"/>
      <c r="AT877" s="14"/>
      <c r="AV877" s="4"/>
      <c r="AW877" s="4"/>
      <c r="AX877" s="4"/>
      <c r="AY877" s="4"/>
      <c r="AZ877" s="34"/>
      <c r="BA877" s="34"/>
      <c r="BB877" s="34"/>
      <c r="BC877" s="34"/>
    </row>
    <row r="878" spans="3:55" ht="13.05" customHeight="1">
      <c r="J878" s="45" t="s">
        <v>170</v>
      </c>
      <c r="K878" s="5"/>
      <c r="L878" s="5"/>
      <c r="M878" s="1584" t="s">
        <v>334</v>
      </c>
      <c r="N878" s="1585"/>
      <c r="O878" s="1585"/>
      <c r="P878" s="1585"/>
      <c r="Q878" s="1585"/>
      <c r="R878" s="1585"/>
      <c r="S878" s="1585"/>
      <c r="T878" s="1585"/>
      <c r="U878" s="1585"/>
      <c r="V878" s="1586"/>
      <c r="W878" s="1528"/>
      <c r="X878" s="1529"/>
      <c r="Y878" s="1529"/>
      <c r="Z878" s="1529"/>
      <c r="AA878" s="1529"/>
      <c r="AB878" s="1529"/>
      <c r="AC878" s="1530"/>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276</v>
      </c>
      <c r="W879" s="1614">
        <f>SUM(W874:W878)</f>
        <v>39112</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0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299000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5">
        <f>O797+O777+G753</f>
        <v>46</v>
      </c>
      <c r="AD884" s="1725"/>
      <c r="AE884" s="1725"/>
      <c r="AF884" s="1725"/>
      <c r="AG884" s="1725"/>
      <c r="AH884" s="1726"/>
      <c r="AL884" s="4"/>
      <c r="AM884" s="4"/>
      <c r="AN884" s="4"/>
      <c r="AO884" s="4"/>
      <c r="AP884" s="4"/>
      <c r="AQ884" s="4"/>
      <c r="AR884" s="4"/>
      <c r="AS884" s="4"/>
      <c r="AT884" s="4"/>
      <c r="AZ884" s="34"/>
      <c r="BA884" s="34"/>
      <c r="BB884" s="34"/>
      <c r="BC884" s="34"/>
    </row>
    <row r="885" spans="3:55" ht="13.05" customHeight="1">
      <c r="C885" s="41"/>
      <c r="D885" s="42"/>
      <c r="E885" s="1632" t="s">
        <v>32</v>
      </c>
      <c r="F885" s="1632"/>
      <c r="G885" s="1632"/>
      <c r="H885" s="1632"/>
      <c r="I885" s="1632"/>
      <c r="J885" s="1632"/>
      <c r="K885" s="1632"/>
      <c r="L885" s="1632"/>
      <c r="M885" s="1632"/>
      <c r="N885" s="1632"/>
      <c r="O885" s="1632"/>
      <c r="P885" s="1632"/>
      <c r="Q885" s="1632"/>
      <c r="R885" s="1632"/>
      <c r="S885" s="1632"/>
      <c r="T885" s="1632"/>
      <c r="U885" s="1632"/>
      <c r="V885" s="1632"/>
      <c r="W885" s="1632"/>
      <c r="X885" s="1632"/>
      <c r="Y885" s="1632"/>
      <c r="Z885" s="1632"/>
      <c r="AA885" s="1632"/>
      <c r="AB885" s="1633"/>
      <c r="AC885" s="1602">
        <f>IF(ISERROR((ROUNDDOWN(AC883/AC884,0))),0,(ROUNDDOWN(AC883/AC884,0)))</f>
        <v>6500</v>
      </c>
      <c r="AD885" s="1602"/>
      <c r="AE885" s="1602"/>
      <c r="AF885" s="1602"/>
      <c r="AG885" s="1602"/>
      <c r="AH885" s="1602"/>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5">
        <v>267733</v>
      </c>
      <c r="AD886" s="1716"/>
      <c r="AE886" s="1716"/>
      <c r="AF886" s="1716"/>
      <c r="AG886" s="1716"/>
      <c r="AH886" s="1716"/>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530"/>
      <c r="AD887" s="1534"/>
      <c r="AE887" s="1534"/>
      <c r="AF887" s="1534"/>
      <c r="AG887" s="1534"/>
      <c r="AH887" s="1534"/>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529">
        <v>22800</v>
      </c>
      <c r="AD888" s="1529"/>
      <c r="AE888" s="1529"/>
      <c r="AF888" s="1529"/>
      <c r="AG888" s="1529"/>
      <c r="AH888" s="1530"/>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9">
        <v>11500</v>
      </c>
      <c r="AD889" s="1529"/>
      <c r="AE889" s="1529"/>
      <c r="AF889" s="1529"/>
      <c r="AG889" s="1529"/>
      <c r="AH889" s="1530"/>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25">
        <v>7500</v>
      </c>
      <c r="AD890" s="1526"/>
      <c r="AE890" s="1526"/>
      <c r="AF890" s="1526"/>
      <c r="AG890" s="1526"/>
      <c r="AH890" s="1527"/>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9"/>
      <c r="AD891" s="1529"/>
      <c r="AE891" s="1529"/>
      <c r="AF891" s="1529"/>
      <c r="AG891" s="1529"/>
      <c r="AH891" s="1530"/>
      <c r="AZ891" s="34"/>
      <c r="BA891" s="34"/>
      <c r="BB891" s="34"/>
      <c r="BC891" s="34"/>
    </row>
    <row r="892" spans="3:55" ht="13.05" hidden="1" customHeight="1">
      <c r="C892" s="1502" t="s">
        <v>2232</v>
      </c>
      <c r="D892" s="1503"/>
      <c r="E892" s="1503"/>
      <c r="F892" s="1503"/>
      <c r="G892" s="1503"/>
      <c r="H892" s="1503"/>
      <c r="I892" s="1503"/>
      <c r="J892" s="1503"/>
      <c r="K892" s="1503"/>
      <c r="L892" s="1503"/>
      <c r="M892" s="1503"/>
      <c r="N892" s="1503"/>
      <c r="O892" s="1503"/>
      <c r="P892" s="1503"/>
      <c r="Q892" s="1503"/>
      <c r="R892" s="1503"/>
      <c r="S892" s="1503"/>
      <c r="T892" s="1503"/>
      <c r="U892" s="1503"/>
      <c r="V892" s="1503"/>
      <c r="W892" s="1503"/>
      <c r="X892" s="1503"/>
      <c r="Y892" s="1503"/>
      <c r="Z892" s="1503"/>
      <c r="AA892" s="1503"/>
      <c r="AB892" s="1504"/>
      <c r="AC892" s="1529"/>
      <c r="AD892" s="1529"/>
      <c r="AE892" s="1529"/>
      <c r="AF892" s="1529"/>
      <c r="AG892" s="1529"/>
      <c r="AH892" s="1530"/>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529"/>
      <c r="AD893" s="1529"/>
      <c r="AE893" s="1529"/>
      <c r="AF893" s="1529"/>
      <c r="AG893" s="1529"/>
      <c r="AH893" s="1530"/>
      <c r="AZ893" s="34"/>
      <c r="BA893" s="34"/>
      <c r="BB893" s="34"/>
      <c r="BC893" s="34"/>
    </row>
    <row r="894" spans="3:55" ht="13.05" customHeight="1">
      <c r="C894" s="1621" t="s">
        <v>956</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534"/>
      <c r="AD894" s="1534"/>
      <c r="AE894" s="1534"/>
      <c r="AF894" s="1534"/>
      <c r="AG894" s="1534"/>
      <c r="AH894" s="1534"/>
      <c r="AZ894" s="34"/>
      <c r="BA894" s="34"/>
      <c r="BB894" s="34"/>
      <c r="BC894" s="34"/>
    </row>
    <row r="895" spans="3:55" ht="13.05" customHeight="1">
      <c r="C895" s="1621" t="s">
        <v>956</v>
      </c>
      <c r="D895" s="1622"/>
      <c r="E895" s="1622"/>
      <c r="F895" s="1622"/>
      <c r="G895" s="1622"/>
      <c r="H895" s="1622"/>
      <c r="I895" s="1622"/>
      <c r="J895" s="1622"/>
      <c r="K895" s="1622"/>
      <c r="L895" s="1622"/>
      <c r="M895" s="1622"/>
      <c r="N895" s="1622"/>
      <c r="O895" s="1622"/>
      <c r="P895" s="1622"/>
      <c r="Q895" s="1622"/>
      <c r="R895" s="1622"/>
      <c r="S895" s="1622"/>
      <c r="T895" s="1622"/>
      <c r="U895" s="1622"/>
      <c r="V895" s="1622"/>
      <c r="W895" s="1622"/>
      <c r="X895" s="1622"/>
      <c r="Y895" s="1622"/>
      <c r="Z895" s="1622"/>
      <c r="AA895" s="1622"/>
      <c r="AB895" s="1623"/>
      <c r="AC895" s="1534"/>
      <c r="AD895" s="1534"/>
      <c r="AE895" s="1534"/>
      <c r="AF895" s="1534"/>
      <c r="AG895" s="1534"/>
      <c r="AH895" s="1534"/>
      <c r="AU895" s="95"/>
      <c r="AZ895" s="34"/>
      <c r="BA895" s="34"/>
      <c r="BB895" s="34"/>
      <c r="BC895" s="34"/>
    </row>
    <row r="896" spans="3:55" ht="13.05" customHeight="1">
      <c r="E896" s="512"/>
      <c r="AB896" s="56"/>
      <c r="AC896" s="123"/>
      <c r="AD896" s="123"/>
      <c r="AE896" s="123"/>
      <c r="AF896" s="123"/>
      <c r="AG896" s="123"/>
      <c r="AH896" s="123"/>
      <c r="AU896" s="95"/>
      <c r="AZ896" s="34"/>
      <c r="BA896" s="34"/>
      <c r="BB896" s="34"/>
      <c r="BC896" s="34"/>
    </row>
    <row r="897" spans="1:58" ht="13.05" customHeight="1">
      <c r="A897" s="2" t="s">
        <v>613</v>
      </c>
      <c r="C897" s="2" t="s">
        <v>237</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3"/>
      <c r="AG898" s="180"/>
      <c r="AH898" s="180"/>
      <c r="AI898" s="180"/>
      <c r="AU898" s="95"/>
      <c r="AZ898" s="34"/>
      <c r="BB898" s="30"/>
      <c r="BC898" s="30"/>
      <c r="BD898" s="14"/>
      <c r="BE898" s="14"/>
      <c r="BF898" s="14"/>
    </row>
    <row r="899" spans="1:58" ht="13.05" customHeight="1">
      <c r="B899" s="2"/>
      <c r="H899" s="121" t="s">
        <v>238</v>
      </c>
      <c r="I899" s="5"/>
      <c r="J899" s="5"/>
      <c r="K899" s="5"/>
      <c r="L899" s="5"/>
      <c r="M899" s="5"/>
      <c r="N899" s="5"/>
      <c r="O899" s="5"/>
      <c r="P899" s="5"/>
      <c r="Q899" s="5"/>
      <c r="R899" s="5"/>
      <c r="S899" s="5"/>
      <c r="T899" s="5"/>
      <c r="U899" s="5"/>
      <c r="V899" s="5"/>
      <c r="W899" s="5"/>
      <c r="X899" s="5"/>
      <c r="Y899" s="46"/>
      <c r="Z899" s="1528"/>
      <c r="AA899" s="1529"/>
      <c r="AB899" s="1529"/>
      <c r="AC899" s="1529"/>
      <c r="AD899" s="1529"/>
      <c r="AE899" s="1530"/>
      <c r="AF899" s="533"/>
      <c r="AZ899" s="34"/>
      <c r="BB899" s="30"/>
      <c r="BC899" s="816"/>
      <c r="BD899" s="1617"/>
      <c r="BE899" s="1617"/>
      <c r="BF899" s="14"/>
    </row>
    <row r="900" spans="1:58" ht="13.05" customHeight="1">
      <c r="H900" s="121" t="s">
        <v>239</v>
      </c>
      <c r="I900" s="5"/>
      <c r="J900" s="5"/>
      <c r="K900" s="5"/>
      <c r="L900" s="5"/>
      <c r="M900" s="5"/>
      <c r="N900" s="5"/>
      <c r="O900" s="5"/>
      <c r="P900" s="5"/>
      <c r="Q900" s="5"/>
      <c r="R900" s="5"/>
      <c r="S900" s="5"/>
      <c r="T900" s="5"/>
      <c r="U900" s="5"/>
      <c r="V900" s="5"/>
      <c r="W900" s="5"/>
      <c r="X900" s="5"/>
      <c r="Y900" s="5"/>
      <c r="Z900" s="1528"/>
      <c r="AA900" s="1529"/>
      <c r="AB900" s="1529"/>
      <c r="AC900" s="1529"/>
      <c r="AD900" s="1529"/>
      <c r="AE900" s="1530"/>
      <c r="AZ900" s="34"/>
      <c r="BB900" s="30"/>
      <c r="BC900" s="816"/>
      <c r="BD900" s="1617"/>
      <c r="BE900" s="1617"/>
      <c r="BF900" s="14"/>
    </row>
    <row r="901" spans="1:58" ht="13.05" customHeight="1">
      <c r="H901" s="121" t="s">
        <v>240</v>
      </c>
      <c r="I901" s="5"/>
      <c r="J901" s="5"/>
      <c r="K901" s="5"/>
      <c r="L901" s="5"/>
      <c r="M901" s="5"/>
      <c r="N901" s="5"/>
      <c r="O901" s="5"/>
      <c r="P901" s="5"/>
      <c r="Q901" s="5"/>
      <c r="R901" s="5"/>
      <c r="S901" s="5"/>
      <c r="T901" s="5"/>
      <c r="U901" s="5"/>
      <c r="V901" s="5"/>
      <c r="W901" s="5"/>
      <c r="X901" s="5"/>
      <c r="Y901" s="5"/>
      <c r="Z901" s="1528"/>
      <c r="AA901" s="1529"/>
      <c r="AB901" s="1529"/>
      <c r="AC901" s="1529"/>
      <c r="AD901" s="1529"/>
      <c r="AE901" s="1530"/>
      <c r="AZ901" s="34"/>
      <c r="BB901" s="30"/>
      <c r="BC901" s="816"/>
      <c r="BD901" s="1611"/>
      <c r="BE901" s="1611"/>
      <c r="BF901" s="14"/>
    </row>
    <row r="902" spans="1:58" ht="13.0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11"/>
      <c r="BE902" s="1611"/>
      <c r="BF902" s="14"/>
    </row>
    <row r="903" spans="1:58" ht="13.0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11"/>
      <c r="BE903" s="1611"/>
      <c r="BF903" s="14"/>
    </row>
    <row r="904" spans="1:58" ht="13.0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17"/>
      <c r="BE904" s="1611"/>
      <c r="BF904" s="14"/>
    </row>
    <row r="905" spans="1:58" ht="13.0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7"/>
      <c r="BE905" s="1717"/>
      <c r="BF905" s="1717"/>
    </row>
    <row r="906" spans="1:58" ht="13.0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6"/>
      <c r="BE906" s="1656"/>
      <c r="BF906" s="1656"/>
    </row>
    <row r="907" spans="1:58" ht="13.0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11"/>
      <c r="BE907" s="1611"/>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17"/>
      <c r="BE908" s="1611"/>
      <c r="BF908" s="14"/>
    </row>
    <row r="909" spans="1:58" ht="13.05" customHeight="1">
      <c r="AZ909" s="34"/>
      <c r="BB909" s="30"/>
      <c r="BC909" s="816"/>
    </row>
    <row r="910" spans="1:58" ht="13.05" customHeight="1">
      <c r="A910" s="1484" t="s">
        <v>96</v>
      </c>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4"/>
      <c r="BA910" s="34"/>
      <c r="BB910" s="30"/>
      <c r="BC910" s="30"/>
      <c r="BD910" s="1617"/>
      <c r="BE910" s="1611"/>
      <c r="BF910" s="911"/>
    </row>
    <row r="911" spans="1:58" ht="13.05" customHeight="1">
      <c r="A911" s="1484"/>
      <c r="B911" s="1484"/>
      <c r="C911" s="1484"/>
      <c r="D911" s="1484"/>
      <c r="E911" s="1484"/>
      <c r="F911" s="1484"/>
      <c r="G911" s="1484"/>
      <c r="H911" s="1484"/>
      <c r="I911" s="1484"/>
      <c r="J911" s="1484"/>
      <c r="K911" s="1484"/>
      <c r="L911" s="1484"/>
      <c r="M911" s="1484"/>
      <c r="N911" s="1484"/>
      <c r="O911" s="1484"/>
      <c r="P911" s="1484"/>
      <c r="Q911" s="1484"/>
      <c r="R911" s="1484"/>
      <c r="S911" s="1484"/>
      <c r="T911" s="1484"/>
      <c r="U911" s="1484"/>
      <c r="V911" s="1484"/>
      <c r="W911" s="1484"/>
      <c r="X911" s="1484"/>
      <c r="Y911" s="1484"/>
      <c r="Z911" s="1484"/>
      <c r="AA911" s="1484"/>
      <c r="AB911" s="1484"/>
      <c r="AC911" s="1484"/>
      <c r="AD911" s="1484"/>
      <c r="AE911" s="1484"/>
      <c r="AF911" s="1484"/>
      <c r="AG911" s="1484"/>
      <c r="AH911" s="1484"/>
      <c r="AI911" s="1484"/>
      <c r="AJ911" s="1484"/>
      <c r="AK911" s="1484"/>
      <c r="AL911" s="1484"/>
      <c r="AM911" s="1484"/>
      <c r="AN911" s="1484"/>
      <c r="AO911" s="1484"/>
      <c r="AP911" s="1484"/>
      <c r="AQ911" s="1484"/>
      <c r="AR911" s="1484"/>
      <c r="AS911" s="1484"/>
      <c r="AT911" s="1484"/>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599" t="s">
        <v>792</v>
      </c>
      <c r="G915" s="1600"/>
      <c r="H915" s="1600"/>
      <c r="I915" s="1600"/>
      <c r="J915" s="1600"/>
      <c r="K915" s="1600"/>
      <c r="L915" s="1600"/>
      <c r="M915" s="1600"/>
      <c r="N915" s="1600"/>
      <c r="O915" s="1600"/>
      <c r="P915" s="1600"/>
      <c r="Q915" s="1600"/>
      <c r="R915" s="1600"/>
      <c r="S915" s="1600"/>
      <c r="T915" s="1601"/>
      <c r="U915" s="1576" t="s">
        <v>31</v>
      </c>
      <c r="V915" s="1577"/>
      <c r="W915" s="1577"/>
      <c r="X915" s="1577"/>
      <c r="Y915" s="1577"/>
      <c r="Z915" s="1577"/>
      <c r="AA915" s="43"/>
      <c r="AB915" s="105"/>
      <c r="AC915" s="105"/>
      <c r="AD915" s="105"/>
      <c r="AE915" s="105"/>
      <c r="AF915" s="106"/>
      <c r="AZ915" s="34"/>
      <c r="BA915" s="34"/>
      <c r="BB915" s="34"/>
      <c r="BC915" s="34"/>
    </row>
    <row r="916" spans="1:58" ht="13.05" customHeight="1">
      <c r="B916" s="2"/>
      <c r="F916" s="1578" t="s">
        <v>818</v>
      </c>
      <c r="G916" s="1579"/>
      <c r="H916" s="1579"/>
      <c r="I916" s="1579"/>
      <c r="J916" s="1579"/>
      <c r="K916" s="1579"/>
      <c r="L916" s="1579"/>
      <c r="M916" s="1579"/>
      <c r="N916" s="1579"/>
      <c r="O916" s="1579"/>
      <c r="P916" s="1579"/>
      <c r="Q916" s="1579"/>
      <c r="R916" s="1579"/>
      <c r="S916" s="1579"/>
      <c r="T916" s="1582"/>
      <c r="U916" s="1578"/>
      <c r="V916" s="1579"/>
      <c r="W916" s="1579"/>
      <c r="X916" s="1579"/>
      <c r="Y916" s="1579"/>
      <c r="Z916" s="1579"/>
      <c r="AA916" s="44"/>
      <c r="AB916" s="4"/>
      <c r="AC916" s="4"/>
      <c r="AD916" s="4"/>
      <c r="AE916" s="4"/>
      <c r="AF916" s="107"/>
      <c r="AZ916" s="34"/>
      <c r="BA916" s="34"/>
      <c r="BB916" s="34"/>
      <c r="BC916" s="34"/>
    </row>
    <row r="917" spans="1:58" ht="13.05" customHeight="1">
      <c r="B917" s="2"/>
      <c r="F917" s="1580"/>
      <c r="G917" s="1581"/>
      <c r="H917" s="1581"/>
      <c r="I917" s="1581"/>
      <c r="J917" s="1581"/>
      <c r="K917" s="1581"/>
      <c r="L917" s="1581"/>
      <c r="M917" s="1581"/>
      <c r="N917" s="1581"/>
      <c r="O917" s="1581"/>
      <c r="P917" s="1581"/>
      <c r="Q917" s="1581"/>
      <c r="R917" s="1581"/>
      <c r="S917" s="1581"/>
      <c r="T917" s="1583"/>
      <c r="U917" s="1580"/>
      <c r="V917" s="1581"/>
      <c r="W917" s="1581"/>
      <c r="X917" s="1581"/>
      <c r="Y917" s="1581"/>
      <c r="Z917" s="1581"/>
      <c r="AA917" s="108"/>
      <c r="AB917" s="1606" t="s">
        <v>391</v>
      </c>
      <c r="AC917" s="1606"/>
      <c r="AD917" s="1606"/>
      <c r="AE917" s="1606"/>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386" t="s">
        <v>545</v>
      </c>
      <c r="V918" s="1387"/>
      <c r="W918" s="1387"/>
      <c r="X918" s="1387"/>
      <c r="Y918" s="1387"/>
      <c r="Z918" s="1388"/>
      <c r="AA918" s="1443">
        <v>10500000</v>
      </c>
      <c r="AB918" s="1444"/>
      <c r="AC918" s="1444"/>
      <c r="AD918" s="1444"/>
      <c r="AE918" s="1444"/>
      <c r="AF918" s="1445"/>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386" t="s">
        <v>545</v>
      </c>
      <c r="V919" s="1387"/>
      <c r="W919" s="1387"/>
      <c r="X919" s="1387"/>
      <c r="Y919" s="1387"/>
      <c r="Z919" s="1388"/>
      <c r="AA919" s="1443">
        <v>15313873</v>
      </c>
      <c r="AB919" s="1444"/>
      <c r="AC919" s="1444"/>
      <c r="AD919" s="1444"/>
      <c r="AE919" s="1444"/>
      <c r="AF919" s="1445"/>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386" t="s">
        <v>591</v>
      </c>
      <c r="V920" s="1387"/>
      <c r="W920" s="1387"/>
      <c r="X920" s="1387"/>
      <c r="Y920" s="1387"/>
      <c r="Z920" s="1388"/>
      <c r="AA920" s="1443"/>
      <c r="AB920" s="1444"/>
      <c r="AC920" s="1444"/>
      <c r="AD920" s="1444"/>
      <c r="AE920" s="1444"/>
      <c r="AF920" s="1445"/>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386" t="s">
        <v>591</v>
      </c>
      <c r="V921" s="1387"/>
      <c r="W921" s="1387"/>
      <c r="X921" s="1387"/>
      <c r="Y921" s="1387"/>
      <c r="Z921" s="1388"/>
      <c r="AA921" s="1443"/>
      <c r="AB921" s="1444"/>
      <c r="AC921" s="1444"/>
      <c r="AD921" s="1444"/>
      <c r="AE921" s="1444"/>
      <c r="AF921" s="1445"/>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386" t="s">
        <v>545</v>
      </c>
      <c r="V922" s="1387"/>
      <c r="W922" s="1387"/>
      <c r="X922" s="1387"/>
      <c r="Y922" s="1387"/>
      <c r="Z922" s="1388"/>
      <c r="AA922" s="1443">
        <v>4300000</v>
      </c>
      <c r="AB922" s="1444"/>
      <c r="AC922" s="1444"/>
      <c r="AD922" s="1444"/>
      <c r="AE922" s="1444"/>
      <c r="AF922" s="1445"/>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386" t="s">
        <v>591</v>
      </c>
      <c r="V923" s="1387"/>
      <c r="W923" s="1387"/>
      <c r="X923" s="1387"/>
      <c r="Y923" s="1387"/>
      <c r="Z923" s="1388"/>
      <c r="AA923" s="1443"/>
      <c r="AB923" s="1444"/>
      <c r="AC923" s="1444"/>
      <c r="AD923" s="1444"/>
      <c r="AE923" s="1444"/>
      <c r="AF923" s="1445"/>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386" t="s">
        <v>591</v>
      </c>
      <c r="V924" s="1387"/>
      <c r="W924" s="1387"/>
      <c r="X924" s="1387"/>
      <c r="Y924" s="1387"/>
      <c r="Z924" s="1388"/>
      <c r="AA924" s="1443"/>
      <c r="AB924" s="1444"/>
      <c r="AC924" s="1444"/>
      <c r="AD924" s="1444"/>
      <c r="AE924" s="1444"/>
      <c r="AF924" s="1445"/>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386" t="s">
        <v>591</v>
      </c>
      <c r="V925" s="1387"/>
      <c r="W925" s="1387"/>
      <c r="X925" s="1387"/>
      <c r="Y925" s="1387"/>
      <c r="Z925" s="1388"/>
      <c r="AA925" s="1443"/>
      <c r="AB925" s="1444"/>
      <c r="AC925" s="1444"/>
      <c r="AD925" s="1444"/>
      <c r="AE925" s="1444"/>
      <c r="AF925" s="1445"/>
      <c r="AZ925" s="34"/>
      <c r="BA925" s="34"/>
      <c r="BB925" s="34"/>
      <c r="BC925" s="34"/>
    </row>
    <row r="926" spans="1:58" ht="13.05" customHeight="1">
      <c r="F926" s="1607" t="s">
        <v>2192</v>
      </c>
      <c r="G926" s="1608"/>
      <c r="H926" s="1608"/>
      <c r="I926" s="1608"/>
      <c r="J926" s="1608"/>
      <c r="K926" s="1608"/>
      <c r="L926" s="1608"/>
      <c r="M926" s="1608"/>
      <c r="N926" s="1608"/>
      <c r="O926" s="1608"/>
      <c r="P926" s="1608"/>
      <c r="Q926" s="1608"/>
      <c r="R926" s="1608"/>
      <c r="S926" s="1608"/>
      <c r="T926" s="1609"/>
      <c r="U926" s="1386" t="s">
        <v>591</v>
      </c>
      <c r="V926" s="1387"/>
      <c r="W926" s="1387"/>
      <c r="X926" s="1387"/>
      <c r="Y926" s="1387"/>
      <c r="Z926" s="1388"/>
      <c r="AA926" s="1443"/>
      <c r="AB926" s="1444"/>
      <c r="AC926" s="1444"/>
      <c r="AD926" s="1444"/>
      <c r="AE926" s="1444"/>
      <c r="AF926" s="1445"/>
      <c r="AZ926" s="34"/>
      <c r="BA926" s="34"/>
      <c r="BB926" s="34"/>
      <c r="BC926" s="34"/>
    </row>
    <row r="927" spans="1:58" ht="13.05" customHeight="1">
      <c r="F927" s="1607" t="s">
        <v>679</v>
      </c>
      <c r="G927" s="1608"/>
      <c r="H927" s="1608"/>
      <c r="I927" s="1608"/>
      <c r="J927" s="1608"/>
      <c r="K927" s="1608"/>
      <c r="L927" s="1608"/>
      <c r="M927" s="1608"/>
      <c r="N927" s="1608"/>
      <c r="O927" s="1608"/>
      <c r="P927" s="1608"/>
      <c r="Q927" s="1608"/>
      <c r="R927" s="1608"/>
      <c r="S927" s="1608"/>
      <c r="T927" s="1609"/>
      <c r="U927" s="1386" t="s">
        <v>591</v>
      </c>
      <c r="V927" s="1387"/>
      <c r="W927" s="1387"/>
      <c r="X927" s="1387"/>
      <c r="Y927" s="1387"/>
      <c r="Z927" s="1388"/>
      <c r="AA927" s="1443"/>
      <c r="AB927" s="1444"/>
      <c r="AC927" s="1444"/>
      <c r="AD927" s="1444"/>
      <c r="AE927" s="1444"/>
      <c r="AF927" s="1445"/>
      <c r="AU927" s="2"/>
      <c r="AZ927" s="34"/>
      <c r="BA927" s="34"/>
      <c r="BB927" s="34"/>
      <c r="BC927" s="34"/>
    </row>
    <row r="928" spans="1:58" ht="13.05" customHeight="1">
      <c r="F928" s="1607" t="s">
        <v>2193</v>
      </c>
      <c r="G928" s="1608"/>
      <c r="H928" s="1608"/>
      <c r="I928" s="1608"/>
      <c r="J928" s="1608"/>
      <c r="K928" s="1608"/>
      <c r="L928" s="1608"/>
      <c r="M928" s="1608"/>
      <c r="N928" s="1608"/>
      <c r="O928" s="1608"/>
      <c r="P928" s="1608"/>
      <c r="Q928" s="1608"/>
      <c r="R928" s="1608"/>
      <c r="S928" s="1608"/>
      <c r="T928" s="1609"/>
      <c r="U928" s="1386" t="s">
        <v>591</v>
      </c>
      <c r="V928" s="1387"/>
      <c r="W928" s="1387"/>
      <c r="X928" s="1387"/>
      <c r="Y928" s="1387"/>
      <c r="Z928" s="1388"/>
      <c r="AA928" s="1443"/>
      <c r="AB928" s="1444"/>
      <c r="AC928" s="1444"/>
      <c r="AD928" s="1444"/>
      <c r="AE928" s="1444"/>
      <c r="AF928" s="1445"/>
      <c r="AU928" s="2"/>
      <c r="AZ928" s="34"/>
      <c r="BA928" s="34"/>
      <c r="BB928" s="34"/>
      <c r="BC928" s="34"/>
    </row>
    <row r="929" spans="6:55" ht="13.05" customHeight="1">
      <c r="F929" s="1607" t="s">
        <v>2194</v>
      </c>
      <c r="G929" s="1608"/>
      <c r="H929" s="1608"/>
      <c r="I929" s="1608"/>
      <c r="J929" s="1608"/>
      <c r="K929" s="1608"/>
      <c r="L929" s="1608"/>
      <c r="M929" s="1608"/>
      <c r="N929" s="1608"/>
      <c r="O929" s="1608"/>
      <c r="P929" s="1608"/>
      <c r="Q929" s="1608"/>
      <c r="R929" s="1608"/>
      <c r="S929" s="1608"/>
      <c r="T929" s="1609"/>
      <c r="U929" s="1386" t="s">
        <v>591</v>
      </c>
      <c r="V929" s="1387"/>
      <c r="W929" s="1387"/>
      <c r="X929" s="1387"/>
      <c r="Y929" s="1387"/>
      <c r="Z929" s="1388"/>
      <c r="AA929" s="1443"/>
      <c r="AB929" s="1444"/>
      <c r="AC929" s="1444"/>
      <c r="AD929" s="1444"/>
      <c r="AE929" s="1444"/>
      <c r="AF929" s="1445"/>
      <c r="AU929" s="2"/>
      <c r="AZ929" s="34"/>
      <c r="BA929" s="34"/>
      <c r="BB929" s="34"/>
      <c r="BC929" s="34"/>
    </row>
    <row r="930" spans="6:55" ht="13.05" customHeight="1">
      <c r="F930" s="1607" t="s">
        <v>2195</v>
      </c>
      <c r="G930" s="1608"/>
      <c r="H930" s="1608"/>
      <c r="I930" s="1608"/>
      <c r="J930" s="1608"/>
      <c r="K930" s="1608"/>
      <c r="L930" s="1608"/>
      <c r="M930" s="1608"/>
      <c r="N930" s="1608"/>
      <c r="O930" s="1608"/>
      <c r="P930" s="1608"/>
      <c r="Q930" s="1608"/>
      <c r="R930" s="1608"/>
      <c r="S930" s="1608"/>
      <c r="T930" s="1609"/>
      <c r="U930" s="1386" t="s">
        <v>591</v>
      </c>
      <c r="V930" s="1387"/>
      <c r="W930" s="1387"/>
      <c r="X930" s="1387"/>
      <c r="Y930" s="1387"/>
      <c r="Z930" s="1388"/>
      <c r="AA930" s="1443"/>
      <c r="AB930" s="1444"/>
      <c r="AC930" s="1444"/>
      <c r="AD930" s="1444"/>
      <c r="AE930" s="1444"/>
      <c r="AF930" s="1445"/>
      <c r="AU930" s="2"/>
      <c r="AZ930" s="34"/>
      <c r="BA930" s="34"/>
      <c r="BB930" s="34"/>
      <c r="BC930" s="34"/>
    </row>
    <row r="931" spans="6:55" ht="13.05" customHeight="1">
      <c r="F931" s="1607" t="s">
        <v>2196</v>
      </c>
      <c r="G931" s="1608"/>
      <c r="H931" s="1608"/>
      <c r="I931" s="1608"/>
      <c r="J931" s="1608"/>
      <c r="K931" s="1608"/>
      <c r="L931" s="1608"/>
      <c r="M931" s="1608"/>
      <c r="N931" s="1608"/>
      <c r="O931" s="1608"/>
      <c r="P931" s="1608"/>
      <c r="Q931" s="1608"/>
      <c r="R931" s="1608"/>
      <c r="S931" s="1608"/>
      <c r="T931" s="1609"/>
      <c r="U931" s="1386" t="s">
        <v>591</v>
      </c>
      <c r="V931" s="1387"/>
      <c r="W931" s="1387"/>
      <c r="X931" s="1387"/>
      <c r="Y931" s="1387"/>
      <c r="Z931" s="1388"/>
      <c r="AA931" s="1443"/>
      <c r="AB931" s="1444"/>
      <c r="AC931" s="1444"/>
      <c r="AD931" s="1444"/>
      <c r="AE931" s="1444"/>
      <c r="AF931" s="1445"/>
      <c r="AU931" s="2"/>
      <c r="AZ931" s="34"/>
      <c r="BA931" s="34"/>
      <c r="BB931" s="34"/>
      <c r="BC931" s="34"/>
    </row>
    <row r="932" spans="6:55" ht="13.05" customHeight="1">
      <c r="F932" s="1607" t="s">
        <v>2197</v>
      </c>
      <c r="G932" s="1608"/>
      <c r="H932" s="1608"/>
      <c r="I932" s="1608"/>
      <c r="J932" s="1608"/>
      <c r="K932" s="1608"/>
      <c r="L932" s="1608"/>
      <c r="M932" s="1608"/>
      <c r="N932" s="1608"/>
      <c r="O932" s="1608"/>
      <c r="P932" s="1608"/>
      <c r="Q932" s="1608"/>
      <c r="R932" s="1608"/>
      <c r="S932" s="1608"/>
      <c r="T932" s="1609"/>
      <c r="U932" s="1386" t="s">
        <v>591</v>
      </c>
      <c r="V932" s="1387"/>
      <c r="W932" s="1387"/>
      <c r="X932" s="1387"/>
      <c r="Y932" s="1387"/>
      <c r="Z932" s="1388"/>
      <c r="AA932" s="1443"/>
      <c r="AB932" s="1444"/>
      <c r="AC932" s="1444"/>
      <c r="AD932" s="1444"/>
      <c r="AE932" s="1444"/>
      <c r="AF932" s="1445"/>
      <c r="AZ932" s="30"/>
      <c r="BA932" s="30"/>
    </row>
    <row r="933" spans="6:55" ht="13.05" customHeight="1">
      <c r="F933" s="178" t="s">
        <v>676</v>
      </c>
      <c r="G933" s="5"/>
      <c r="H933" s="5"/>
      <c r="I933" s="5"/>
      <c r="J933" s="5"/>
      <c r="K933" s="5"/>
      <c r="L933" s="5"/>
      <c r="M933" s="5"/>
      <c r="N933" s="5"/>
      <c r="O933" s="5"/>
      <c r="P933" s="5"/>
      <c r="Q933" s="5"/>
      <c r="R933" s="5"/>
      <c r="S933" s="5"/>
      <c r="T933" s="46"/>
      <c r="U933" s="1386" t="s">
        <v>591</v>
      </c>
      <c r="V933" s="1387"/>
      <c r="W933" s="1387"/>
      <c r="X933" s="1387"/>
      <c r="Y933" s="1387"/>
      <c r="Z933" s="1388"/>
      <c r="AA933" s="1443"/>
      <c r="AB933" s="1444"/>
      <c r="AC933" s="1444"/>
      <c r="AD933" s="1444"/>
      <c r="AE933" s="1444"/>
      <c r="AF933" s="1445"/>
    </row>
    <row r="934" spans="6:55" ht="13.05" customHeight="1">
      <c r="F934" s="121" t="s">
        <v>1277</v>
      </c>
      <c r="G934" s="5"/>
      <c r="H934" s="5"/>
      <c r="I934" s="5"/>
      <c r="J934" s="5"/>
      <c r="K934" s="5"/>
      <c r="L934" s="5"/>
      <c r="M934" s="5"/>
      <c r="N934" s="5"/>
      <c r="O934" s="5"/>
      <c r="P934" s="5"/>
      <c r="Q934" s="5"/>
      <c r="R934" s="5"/>
      <c r="S934" s="5"/>
      <c r="T934" s="46"/>
      <c r="U934" s="1386" t="s">
        <v>591</v>
      </c>
      <c r="V934" s="1387"/>
      <c r="W934" s="1387"/>
      <c r="X934" s="1387"/>
      <c r="Y934" s="1387"/>
      <c r="Z934" s="1388"/>
      <c r="AA934" s="1443"/>
      <c r="AB934" s="1444"/>
      <c r="AC934" s="1444"/>
      <c r="AD934" s="1444"/>
      <c r="AE934" s="1444"/>
      <c r="AF934" s="1445"/>
      <c r="AZ934" s="30"/>
      <c r="BA934" s="14"/>
    </row>
    <row r="935" spans="6:55" ht="13.05" customHeight="1">
      <c r="F935" s="66" t="s">
        <v>802</v>
      </c>
      <c r="G935" s="5"/>
      <c r="H935" s="5"/>
      <c r="I935" s="5"/>
      <c r="J935" s="5"/>
      <c r="K935" s="5"/>
      <c r="L935" s="5"/>
      <c r="M935" s="5"/>
      <c r="N935" s="5"/>
      <c r="O935" s="5"/>
      <c r="P935" s="5"/>
      <c r="Q935" s="5"/>
      <c r="R935" s="5"/>
      <c r="S935" s="5"/>
      <c r="T935" s="46"/>
      <c r="U935" s="1386" t="s">
        <v>591</v>
      </c>
      <c r="V935" s="1387"/>
      <c r="W935" s="1387"/>
      <c r="X935" s="1387"/>
      <c r="Y935" s="1387"/>
      <c r="Z935" s="1388"/>
      <c r="AA935" s="1443"/>
      <c r="AB935" s="1444"/>
      <c r="AC935" s="1444"/>
      <c r="AD935" s="1444"/>
      <c r="AE935" s="1444"/>
      <c r="AF935" s="1445"/>
      <c r="AZ935" s="30"/>
      <c r="BA935" s="14"/>
    </row>
    <row r="936" spans="6:55" ht="13.05" customHeight="1">
      <c r="F936" s="1626" t="s">
        <v>2201</v>
      </c>
      <c r="G936" s="1627"/>
      <c r="H936" s="1627"/>
      <c r="I936" s="1627"/>
      <c r="J936" s="1627"/>
      <c r="K936" s="1627"/>
      <c r="L936" s="1627"/>
      <c r="M936" s="1627"/>
      <c r="N936" s="1627"/>
      <c r="O936" s="1627"/>
      <c r="P936" s="1627"/>
      <c r="Q936" s="1627"/>
      <c r="R936" s="1627"/>
      <c r="S936" s="1627"/>
      <c r="T936" s="1628"/>
      <c r="U936" s="1386" t="s">
        <v>591</v>
      </c>
      <c r="V936" s="1387"/>
      <c r="W936" s="1387"/>
      <c r="X936" s="1387"/>
      <c r="Y936" s="1387"/>
      <c r="Z936" s="1388"/>
      <c r="AA936" s="1443"/>
      <c r="AB936" s="1444"/>
      <c r="AC936" s="1444"/>
      <c r="AD936" s="1444"/>
      <c r="AE936" s="1444"/>
      <c r="AF936" s="1445"/>
      <c r="AZ936" s="30"/>
      <c r="BA936" s="14"/>
    </row>
    <row r="937" spans="6:55" ht="13.05" customHeight="1">
      <c r="F937" s="1626" t="s">
        <v>2202</v>
      </c>
      <c r="G937" s="1627"/>
      <c r="H937" s="1627"/>
      <c r="I937" s="1627"/>
      <c r="J937" s="1627"/>
      <c r="K937" s="1627"/>
      <c r="L937" s="1627"/>
      <c r="M937" s="1627"/>
      <c r="N937" s="1627"/>
      <c r="O937" s="1627"/>
      <c r="P937" s="1627"/>
      <c r="Q937" s="1627"/>
      <c r="R937" s="1627"/>
      <c r="S937" s="1627"/>
      <c r="T937" s="1628"/>
      <c r="U937" s="1386" t="s">
        <v>591</v>
      </c>
      <c r="V937" s="1387"/>
      <c r="W937" s="1387"/>
      <c r="X937" s="1387"/>
      <c r="Y937" s="1387"/>
      <c r="Z937" s="1388"/>
      <c r="AA937" s="1443"/>
      <c r="AB937" s="1444"/>
      <c r="AC937" s="1444"/>
      <c r="AD937" s="1444"/>
      <c r="AE937" s="1444"/>
      <c r="AF937" s="1445"/>
      <c r="AZ937" s="30"/>
      <c r="BA937" s="30"/>
    </row>
    <row r="938" spans="6:55" ht="13.05" customHeight="1">
      <c r="F938" s="1607" t="s">
        <v>2198</v>
      </c>
      <c r="G938" s="1608"/>
      <c r="H938" s="1608"/>
      <c r="I938" s="1608"/>
      <c r="J938" s="1608"/>
      <c r="K938" s="1608"/>
      <c r="L938" s="1608"/>
      <c r="M938" s="1608"/>
      <c r="N938" s="1608"/>
      <c r="O938" s="1608"/>
      <c r="P938" s="1608"/>
      <c r="Q938" s="1608"/>
      <c r="R938" s="1608"/>
      <c r="S938" s="1608"/>
      <c r="T938" s="1609"/>
      <c r="U938" s="1386" t="s">
        <v>591</v>
      </c>
      <c r="V938" s="1387"/>
      <c r="W938" s="1387"/>
      <c r="X938" s="1387"/>
      <c r="Y938" s="1387"/>
      <c r="Z938" s="1388"/>
      <c r="AA938" s="1443"/>
      <c r="AB938" s="1444"/>
      <c r="AC938" s="1444"/>
      <c r="AD938" s="1444"/>
      <c r="AE938" s="1444"/>
      <c r="AF938" s="1445"/>
      <c r="AZ938" s="30"/>
      <c r="BA938" s="30"/>
    </row>
    <row r="939" spans="6:55" ht="13.05" customHeight="1">
      <c r="F939" s="1607" t="s">
        <v>2199</v>
      </c>
      <c r="G939" s="1608"/>
      <c r="H939" s="1608"/>
      <c r="I939" s="1608"/>
      <c r="J939" s="1608"/>
      <c r="K939" s="1608"/>
      <c r="L939" s="1608"/>
      <c r="M939" s="1608"/>
      <c r="N939" s="1608"/>
      <c r="O939" s="1608"/>
      <c r="P939" s="1608"/>
      <c r="Q939" s="1608"/>
      <c r="R939" s="1608"/>
      <c r="S939" s="1608"/>
      <c r="T939" s="1609"/>
      <c r="U939" s="1386" t="s">
        <v>591</v>
      </c>
      <c r="V939" s="1387"/>
      <c r="W939" s="1387"/>
      <c r="X939" s="1387"/>
      <c r="Y939" s="1387"/>
      <c r="Z939" s="1388"/>
      <c r="AA939" s="1443"/>
      <c r="AB939" s="1444"/>
      <c r="AC939" s="1444"/>
      <c r="AD939" s="1444"/>
      <c r="AE939" s="1444"/>
      <c r="AF939" s="1445"/>
      <c r="AZ939" s="30"/>
      <c r="BA939" s="30"/>
    </row>
    <row r="940" spans="6:55" ht="13.05" customHeight="1">
      <c r="F940" s="1607" t="s">
        <v>2200</v>
      </c>
      <c r="G940" s="1608"/>
      <c r="H940" s="1608"/>
      <c r="I940" s="1608"/>
      <c r="J940" s="1608"/>
      <c r="K940" s="1608"/>
      <c r="L940" s="1608"/>
      <c r="M940" s="1608"/>
      <c r="N940" s="1608"/>
      <c r="O940" s="1608"/>
      <c r="P940" s="1608"/>
      <c r="Q940" s="1608"/>
      <c r="R940" s="1608"/>
      <c r="S940" s="1608"/>
      <c r="T940" s="1609"/>
      <c r="U940" s="1386" t="s">
        <v>591</v>
      </c>
      <c r="V940" s="1387"/>
      <c r="W940" s="1387"/>
      <c r="X940" s="1387"/>
      <c r="Y940" s="1387"/>
      <c r="Z940" s="1388"/>
      <c r="AA940" s="1443"/>
      <c r="AB940" s="1444"/>
      <c r="AC940" s="1444"/>
      <c r="AD940" s="1444"/>
      <c r="AE940" s="1444"/>
      <c r="AF940" s="1445"/>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386" t="s">
        <v>591</v>
      </c>
      <c r="V941" s="1387"/>
      <c r="W941" s="1387"/>
      <c r="X941" s="1387"/>
      <c r="Y941" s="1387"/>
      <c r="Z941" s="1388"/>
      <c r="AA941" s="1443"/>
      <c r="AB941" s="1444"/>
      <c r="AC941" s="1444"/>
      <c r="AD941" s="1444"/>
      <c r="AE941" s="1444"/>
      <c r="AF941" s="1445"/>
      <c r="AZ941" s="34"/>
      <c r="BA941" s="34"/>
      <c r="BB941" s="14"/>
      <c r="BC941" s="14"/>
    </row>
    <row r="942" spans="6:55" ht="13.05" customHeight="1">
      <c r="F942" s="1626" t="s">
        <v>2203</v>
      </c>
      <c r="G942" s="1627"/>
      <c r="H942" s="1627"/>
      <c r="I942" s="1627"/>
      <c r="J942" s="1627"/>
      <c r="K942" s="1627"/>
      <c r="L942" s="1627"/>
      <c r="M942" s="1627"/>
      <c r="N942" s="1627"/>
      <c r="O942" s="1627"/>
      <c r="P942" s="1627"/>
      <c r="Q942" s="1627"/>
      <c r="R942" s="1627"/>
      <c r="S942" s="1627"/>
      <c r="T942" s="1628"/>
      <c r="U942" s="1386" t="s">
        <v>591</v>
      </c>
      <c r="V942" s="1387"/>
      <c r="W942" s="1387"/>
      <c r="X942" s="1387"/>
      <c r="Y942" s="1387"/>
      <c r="Z942" s="1388"/>
      <c r="AA942" s="1443"/>
      <c r="AB942" s="1444"/>
      <c r="AC942" s="1444"/>
      <c r="AD942" s="1444"/>
      <c r="AE942" s="1444"/>
      <c r="AF942" s="1445"/>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386" t="s">
        <v>591</v>
      </c>
      <c r="V943" s="1387"/>
      <c r="W943" s="1387"/>
      <c r="X943" s="1387"/>
      <c r="Y943" s="1387"/>
      <c r="Z943" s="1388"/>
      <c r="AA943" s="1443"/>
      <c r="AB943" s="1444"/>
      <c r="AC943" s="1444"/>
      <c r="AD943" s="1444"/>
      <c r="AE943" s="1444"/>
      <c r="AF943" s="1445"/>
      <c r="AZ943" s="34"/>
      <c r="BA943" s="34"/>
      <c r="BB943" s="34"/>
      <c r="BC943" s="34"/>
    </row>
    <row r="944" spans="6:55" ht="13.05" customHeight="1">
      <c r="F944" s="1626" t="s">
        <v>2204</v>
      </c>
      <c r="G944" s="1627"/>
      <c r="H944" s="1627"/>
      <c r="I944" s="1627"/>
      <c r="J944" s="1627"/>
      <c r="K944" s="1627"/>
      <c r="L944" s="1627"/>
      <c r="M944" s="1627"/>
      <c r="N944" s="1627"/>
      <c r="O944" s="1627"/>
      <c r="P944" s="1627"/>
      <c r="Q944" s="1627"/>
      <c r="R944" s="1627"/>
      <c r="S944" s="1627"/>
      <c r="T944" s="1628"/>
      <c r="U944" s="1386" t="s">
        <v>591</v>
      </c>
      <c r="V944" s="1387"/>
      <c r="W944" s="1387"/>
      <c r="X944" s="1387"/>
      <c r="Y944" s="1387"/>
      <c r="Z944" s="1388"/>
      <c r="AA944" s="1443"/>
      <c r="AB944" s="1444"/>
      <c r="AC944" s="1444"/>
      <c r="AD944" s="1444"/>
      <c r="AE944" s="1444"/>
      <c r="AF944" s="1445"/>
      <c r="AZ944" s="34"/>
      <c r="BA944" s="34"/>
      <c r="BB944" s="34"/>
      <c r="BC944" s="34"/>
    </row>
    <row r="945" spans="1:55" ht="13.05" customHeight="1">
      <c r="F945" s="45" t="s">
        <v>806</v>
      </c>
      <c r="G945" s="5"/>
      <c r="H945" s="5"/>
      <c r="I945" s="5"/>
      <c r="J945" s="5"/>
      <c r="K945" s="5"/>
      <c r="L945" s="5"/>
      <c r="M945" s="5"/>
      <c r="N945" s="5"/>
      <c r="O945" s="5"/>
      <c r="P945" s="1386" t="s">
        <v>669</v>
      </c>
      <c r="Q945" s="1387"/>
      <c r="R945" s="1387"/>
      <c r="S945" s="1387"/>
      <c r="T945" s="1388"/>
      <c r="U945" s="1386" t="s">
        <v>591</v>
      </c>
      <c r="V945" s="1387"/>
      <c r="W945" s="1387"/>
      <c r="X945" s="1387"/>
      <c r="Y945" s="1387"/>
      <c r="Z945" s="1388"/>
      <c r="AA945" s="1443"/>
      <c r="AB945" s="1444"/>
      <c r="AC945" s="1444"/>
      <c r="AD945" s="1444"/>
      <c r="AE945" s="1444"/>
      <c r="AF945" s="1445"/>
      <c r="AZ945" s="34"/>
      <c r="BA945" s="34"/>
      <c r="BB945" s="34"/>
      <c r="BC945" s="34"/>
    </row>
    <row r="946" spans="1:55" ht="13.05" customHeight="1">
      <c r="F946" s="1607" t="s">
        <v>2191</v>
      </c>
      <c r="G946" s="1608"/>
      <c r="H946" s="1609"/>
      <c r="I946" s="1584" t="s">
        <v>2703</v>
      </c>
      <c r="J946" s="1585"/>
      <c r="K946" s="1585"/>
      <c r="L946" s="1585"/>
      <c r="M946" s="1585"/>
      <c r="N946" s="1585"/>
      <c r="O946" s="1585"/>
      <c r="P946" s="1585"/>
      <c r="Q946" s="1585"/>
      <c r="R946" s="1585"/>
      <c r="S946" s="1585"/>
      <c r="T946" s="1586"/>
      <c r="U946" s="1386" t="s">
        <v>545</v>
      </c>
      <c r="V946" s="1387"/>
      <c r="W946" s="1387"/>
      <c r="X946" s="1387"/>
      <c r="Y946" s="1387"/>
      <c r="Z946" s="1388"/>
      <c r="AA946" s="1443">
        <v>15306842</v>
      </c>
      <c r="AB946" s="1444"/>
      <c r="AC946" s="1444"/>
      <c r="AD946" s="1444"/>
      <c r="AE946" s="1444"/>
      <c r="AF946" s="1445"/>
      <c r="AZ946" s="34"/>
      <c r="BA946" s="34"/>
      <c r="BB946" s="34"/>
      <c r="BC946" s="34"/>
    </row>
    <row r="947" spans="1:55" ht="13.05" customHeight="1">
      <c r="F947" s="45" t="s">
        <v>86</v>
      </c>
      <c r="G947" s="48"/>
      <c r="H947" s="48"/>
      <c r="I947" s="1584" t="s">
        <v>2703</v>
      </c>
      <c r="J947" s="1585"/>
      <c r="K947" s="1585"/>
      <c r="L947" s="1585"/>
      <c r="M947" s="1585"/>
      <c r="N947" s="1585"/>
      <c r="O947" s="1585"/>
      <c r="P947" s="1585"/>
      <c r="Q947" s="1585"/>
      <c r="R947" s="1585"/>
      <c r="S947" s="1585"/>
      <c r="T947" s="1586"/>
      <c r="U947" s="1386" t="s">
        <v>545</v>
      </c>
      <c r="V947" s="1387"/>
      <c r="W947" s="1387"/>
      <c r="X947" s="1387"/>
      <c r="Y947" s="1387"/>
      <c r="Z947" s="1388"/>
      <c r="AA947" s="1443">
        <v>11116547</v>
      </c>
      <c r="AB947" s="1444"/>
      <c r="AC947" s="1444"/>
      <c r="AD947" s="1444"/>
      <c r="AE947" s="1444"/>
      <c r="AF947" s="1445"/>
      <c r="AZ947" s="34"/>
      <c r="BA947" s="34"/>
      <c r="BB947" s="34"/>
      <c r="BC947" s="34"/>
    </row>
    <row r="948" spans="1:55" ht="13.05" customHeight="1">
      <c r="F948" s="45" t="s">
        <v>10</v>
      </c>
      <c r="G948" s="48"/>
      <c r="H948" s="48"/>
      <c r="I948" s="1425" t="s">
        <v>334</v>
      </c>
      <c r="J948" s="1426"/>
      <c r="K948" s="1426"/>
      <c r="L948" s="1426"/>
      <c r="M948" s="1426"/>
      <c r="N948" s="1426"/>
      <c r="O948" s="1426"/>
      <c r="P948" s="1426"/>
      <c r="Q948" s="1426"/>
      <c r="R948" s="1426"/>
      <c r="S948" s="1426"/>
      <c r="T948" s="1427"/>
      <c r="U948" s="1386" t="s">
        <v>591</v>
      </c>
      <c r="V948" s="1387"/>
      <c r="W948" s="1387"/>
      <c r="X948" s="1387"/>
      <c r="Y948" s="1387"/>
      <c r="Z948" s="1388"/>
      <c r="AA948" s="1443"/>
      <c r="AB948" s="1444"/>
      <c r="AC948" s="1444"/>
      <c r="AD948" s="1444"/>
      <c r="AE948" s="1444"/>
      <c r="AF948" s="1445"/>
      <c r="AV948" s="2"/>
      <c r="AW948" s="2"/>
      <c r="AX948" s="2"/>
      <c r="AY948" s="2"/>
      <c r="AZ948" s="34"/>
      <c r="BA948" s="34"/>
      <c r="BB948" s="34"/>
      <c r="BC948" s="34"/>
    </row>
    <row r="949" spans="1:55" ht="13.05" customHeight="1">
      <c r="F949" s="47" t="s">
        <v>170</v>
      </c>
      <c r="G949" s="48"/>
      <c r="H949" s="48"/>
      <c r="I949" s="1425" t="s">
        <v>334</v>
      </c>
      <c r="J949" s="1426"/>
      <c r="K949" s="1426"/>
      <c r="L949" s="1426"/>
      <c r="M949" s="1426"/>
      <c r="N949" s="1426"/>
      <c r="O949" s="1426"/>
      <c r="P949" s="1426"/>
      <c r="Q949" s="1426"/>
      <c r="R949" s="1426"/>
      <c r="S949" s="1426"/>
      <c r="T949" s="1427"/>
      <c r="U949" s="1386" t="s">
        <v>591</v>
      </c>
      <c r="V949" s="1387"/>
      <c r="W949" s="1387"/>
      <c r="X949" s="1387"/>
      <c r="Y949" s="1387"/>
      <c r="Z949" s="1388"/>
      <c r="AA949" s="1443"/>
      <c r="AB949" s="1444"/>
      <c r="AC949" s="1444"/>
      <c r="AD949" s="1444"/>
      <c r="AE949" s="1444"/>
      <c r="AF949" s="1445"/>
      <c r="AU949" s="2"/>
      <c r="AZ949" s="34"/>
      <c r="BA949" s="34"/>
      <c r="BB949" s="34"/>
      <c r="BC949" s="34"/>
    </row>
    <row r="950" spans="1:55" ht="13.05" customHeight="1">
      <c r="F950" s="47" t="s">
        <v>170</v>
      </c>
      <c r="G950" s="48"/>
      <c r="H950" s="48"/>
      <c r="I950" s="1425" t="s">
        <v>334</v>
      </c>
      <c r="J950" s="1426"/>
      <c r="K950" s="1426"/>
      <c r="L950" s="1426"/>
      <c r="M950" s="1426"/>
      <c r="N950" s="1426"/>
      <c r="O950" s="1426"/>
      <c r="P950" s="1426"/>
      <c r="Q950" s="1426"/>
      <c r="R950" s="1426"/>
      <c r="S950" s="1426"/>
      <c r="T950" s="1427"/>
      <c r="U950" s="1386" t="s">
        <v>591</v>
      </c>
      <c r="V950" s="1387"/>
      <c r="W950" s="1387"/>
      <c r="X950" s="1387"/>
      <c r="Y950" s="1387"/>
      <c r="Z950" s="1388"/>
      <c r="AA950" s="1443"/>
      <c r="AB950" s="1444"/>
      <c r="AC950" s="1444"/>
      <c r="AD950" s="1444"/>
      <c r="AE950" s="1444"/>
      <c r="AF950" s="1445"/>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422">
        <v>45817</v>
      </c>
      <c r="N955" s="1423"/>
      <c r="O955" s="1423"/>
      <c r="P955" s="1423"/>
      <c r="Q955" s="1423"/>
      <c r="R955" s="1423"/>
      <c r="S955" s="1424"/>
      <c r="U955" s="66" t="s">
        <v>11</v>
      </c>
      <c r="V955" s="5"/>
      <c r="W955" s="5"/>
      <c r="X955" s="5"/>
      <c r="Y955" s="5"/>
      <c r="Z955" s="5"/>
      <c r="AA955" s="5"/>
      <c r="AB955" s="5"/>
      <c r="AC955" s="5"/>
      <c r="AD955" s="46"/>
      <c r="AE955" s="1422"/>
      <c r="AF955" s="1423"/>
      <c r="AG955" s="1423"/>
      <c r="AH955" s="1423"/>
      <c r="AI955" s="1423"/>
      <c r="AJ955" s="1423"/>
      <c r="AK955" s="1424"/>
      <c r="AZ955" s="34"/>
      <c r="BA955" s="34"/>
      <c r="BB955" s="34"/>
      <c r="BC955" s="34"/>
    </row>
    <row r="956" spans="1:55" ht="13.05" customHeight="1">
      <c r="C956" s="66" t="s">
        <v>12</v>
      </c>
      <c r="D956" s="5"/>
      <c r="E956" s="5"/>
      <c r="F956" s="5"/>
      <c r="G956" s="5"/>
      <c r="H956" s="5"/>
      <c r="I956" s="5"/>
      <c r="J956" s="5"/>
      <c r="K956" s="5"/>
      <c r="L956" s="46"/>
      <c r="M956" s="1555" t="s">
        <v>2709</v>
      </c>
      <c r="N956" s="1556"/>
      <c r="O956" s="1556"/>
      <c r="P956" s="1556"/>
      <c r="Q956" s="1556"/>
      <c r="R956" s="1556"/>
      <c r="S956" s="1557"/>
      <c r="U956" s="66" t="s">
        <v>12</v>
      </c>
      <c r="V956" s="5"/>
      <c r="W956" s="5"/>
      <c r="X956" s="5"/>
      <c r="Y956" s="5"/>
      <c r="Z956" s="5"/>
      <c r="AA956" s="5"/>
      <c r="AB956" s="5"/>
      <c r="AC956" s="5"/>
      <c r="AD956" s="46"/>
      <c r="AE956" s="1555"/>
      <c r="AF956" s="1556"/>
      <c r="AG956" s="1556"/>
      <c r="AH956" s="1556"/>
      <c r="AI956" s="1556"/>
      <c r="AJ956" s="1556"/>
      <c r="AK956" s="1557"/>
      <c r="AZ956" s="34"/>
      <c r="BA956" s="34"/>
      <c r="BB956" s="34"/>
      <c r="BC956" s="34"/>
    </row>
    <row r="957" spans="1:55" ht="13.05" customHeight="1">
      <c r="C957" s="66" t="s">
        <v>880</v>
      </c>
      <c r="D957" s="5"/>
      <c r="E957" s="5"/>
      <c r="J957" s="1535" t="s">
        <v>307</v>
      </c>
      <c r="K957" s="1536"/>
      <c r="L957" s="1536"/>
      <c r="M957" s="1536"/>
      <c r="N957" s="1536"/>
      <c r="O957" s="1536"/>
      <c r="P957" s="1536"/>
      <c r="Q957" s="1536"/>
      <c r="R957" s="1536"/>
      <c r="S957" s="1537"/>
      <c r="U957" s="66" t="s">
        <v>880</v>
      </c>
      <c r="V957" s="5"/>
      <c r="W957" s="5"/>
      <c r="AB957" s="1535" t="s">
        <v>307</v>
      </c>
      <c r="AC957" s="1536"/>
      <c r="AD957" s="1536"/>
      <c r="AE957" s="1536"/>
      <c r="AF957" s="1536"/>
      <c r="AG957" s="1536"/>
      <c r="AH957" s="1536"/>
      <c r="AI957" s="1536"/>
      <c r="AJ957" s="1536"/>
      <c r="AK957" s="1537"/>
      <c r="AZ957" s="34"/>
      <c r="BA957" s="34"/>
      <c r="BB957" s="34"/>
      <c r="BC957" s="34"/>
    </row>
    <row r="958" spans="1:55" ht="13.05" customHeight="1">
      <c r="C958" s="66" t="s">
        <v>13</v>
      </c>
      <c r="D958" s="5"/>
      <c r="E958" s="5"/>
      <c r="F958" s="5"/>
      <c r="G958" s="5"/>
      <c r="H958" s="5"/>
      <c r="I958" s="5"/>
      <c r="J958" s="5"/>
      <c r="K958" s="5"/>
      <c r="L958" s="46"/>
      <c r="M958" s="1575">
        <v>0.97826086956521796</v>
      </c>
      <c r="N958" s="1541"/>
      <c r="O958" s="1541"/>
      <c r="P958" s="1541"/>
      <c r="Q958" s="1541"/>
      <c r="R958" s="1541"/>
      <c r="S958" s="1542"/>
      <c r="U958" s="66" t="s">
        <v>13</v>
      </c>
      <c r="V958" s="5"/>
      <c r="W958" s="5"/>
      <c r="X958" s="5"/>
      <c r="Y958" s="5"/>
      <c r="Z958" s="5"/>
      <c r="AA958" s="5"/>
      <c r="AB958" s="5"/>
      <c r="AC958" s="5"/>
      <c r="AD958" s="46"/>
      <c r="AE958" s="1540"/>
      <c r="AF958" s="1541"/>
      <c r="AG958" s="1541"/>
      <c r="AH958" s="1541"/>
      <c r="AI958" s="1541"/>
      <c r="AJ958" s="1541"/>
      <c r="AK958" s="1542"/>
      <c r="AZ958" s="34"/>
      <c r="BA958" s="34"/>
      <c r="BB958" s="34"/>
      <c r="BC958" s="34"/>
    </row>
    <row r="959" spans="1:55" ht="13.05" customHeight="1">
      <c r="C959" s="66" t="s">
        <v>14</v>
      </c>
      <c r="D959" s="5"/>
      <c r="E959" s="5"/>
      <c r="F959" s="5"/>
      <c r="G959" s="5"/>
      <c r="H959" s="5"/>
      <c r="I959" s="5"/>
      <c r="J959" s="5"/>
      <c r="K959" s="5"/>
      <c r="L959" s="46"/>
      <c r="M959" s="1603">
        <v>45</v>
      </c>
      <c r="N959" s="1604"/>
      <c r="O959" s="1604"/>
      <c r="P959" s="1604"/>
      <c r="Q959" s="1604"/>
      <c r="R959" s="1604"/>
      <c r="S959" s="1605"/>
      <c r="U959" s="66" t="s">
        <v>14</v>
      </c>
      <c r="V959" s="5"/>
      <c r="W959" s="5"/>
      <c r="X959" s="5"/>
      <c r="Y959" s="5"/>
      <c r="Z959" s="5"/>
      <c r="AA959" s="5"/>
      <c r="AB959" s="5"/>
      <c r="AC959" s="5"/>
      <c r="AD959" s="46"/>
      <c r="AE959" s="1603"/>
      <c r="AF959" s="1604"/>
      <c r="AG959" s="1604"/>
      <c r="AH959" s="1604"/>
      <c r="AI959" s="1604"/>
      <c r="AJ959" s="1604"/>
      <c r="AK959" s="1605"/>
      <c r="AV959" s="2"/>
      <c r="AW959" s="2"/>
      <c r="AX959" s="2"/>
      <c r="AY959" s="2"/>
      <c r="AZ959" s="34"/>
      <c r="BA959" s="34"/>
      <c r="BB959" s="34"/>
      <c r="BC959" s="34"/>
    </row>
    <row r="960" spans="1:55" ht="13.05" customHeight="1">
      <c r="C960" s="66" t="s">
        <v>15</v>
      </c>
      <c r="D960" s="5"/>
      <c r="E960" s="5"/>
      <c r="F960" s="5"/>
      <c r="G960" s="5"/>
      <c r="H960" s="5"/>
      <c r="I960" s="5"/>
      <c r="J960" s="5"/>
      <c r="K960" s="5"/>
      <c r="L960" s="46"/>
      <c r="M960" s="1443">
        <v>371676</v>
      </c>
      <c r="N960" s="1444"/>
      <c r="O960" s="1444"/>
      <c r="P960" s="1444"/>
      <c r="Q960" s="1444"/>
      <c r="R960" s="1444"/>
      <c r="S960" s="1445"/>
      <c r="U960" s="66" t="s">
        <v>15</v>
      </c>
      <c r="V960" s="5"/>
      <c r="W960" s="5"/>
      <c r="X960" s="5"/>
      <c r="Y960" s="5"/>
      <c r="Z960" s="5"/>
      <c r="AA960" s="5"/>
      <c r="AB960" s="5"/>
      <c r="AC960" s="5"/>
      <c r="AD960" s="46"/>
      <c r="AE960" s="1443"/>
      <c r="AF960" s="1444"/>
      <c r="AG960" s="1444"/>
      <c r="AH960" s="1444"/>
      <c r="AI960" s="1444"/>
      <c r="AJ960" s="1444"/>
      <c r="AK960" s="1445"/>
      <c r="AV960" s="2"/>
      <c r="AW960" s="2"/>
      <c r="AX960" s="2"/>
      <c r="AY960" s="2"/>
      <c r="AZ960" s="34"/>
      <c r="BA960" s="34"/>
      <c r="BB960" s="34"/>
      <c r="BC960" s="34"/>
    </row>
    <row r="961" spans="1:64" ht="13.05" customHeight="1">
      <c r="C961" s="66" t="s">
        <v>16</v>
      </c>
      <c r="D961" s="5"/>
      <c r="E961" s="5"/>
      <c r="F961" s="5"/>
      <c r="G961" s="5"/>
      <c r="H961" s="5"/>
      <c r="I961" s="5"/>
      <c r="J961" s="5"/>
      <c r="K961" s="5"/>
      <c r="L961" s="46"/>
      <c r="M961" s="1443">
        <f>M960*M962</f>
        <v>371676</v>
      </c>
      <c r="N961" s="1444"/>
      <c r="O961" s="1444"/>
      <c r="P961" s="1444"/>
      <c r="Q961" s="1444"/>
      <c r="R961" s="1444"/>
      <c r="S961" s="1445"/>
      <c r="U961" s="66" t="s">
        <v>16</v>
      </c>
      <c r="V961" s="5"/>
      <c r="W961" s="5"/>
      <c r="X961" s="5"/>
      <c r="Y961" s="5"/>
      <c r="Z961" s="5"/>
      <c r="AA961" s="5"/>
      <c r="AB961" s="5"/>
      <c r="AC961" s="5"/>
      <c r="AD961" s="46"/>
      <c r="AE961" s="1443"/>
      <c r="AF961" s="1444"/>
      <c r="AG961" s="1444"/>
      <c r="AH961" s="1444"/>
      <c r="AI961" s="1444"/>
      <c r="AJ961" s="1444"/>
      <c r="AK961" s="1445"/>
      <c r="AV961" s="2"/>
      <c r="AW961" s="2"/>
      <c r="AX961" s="2"/>
      <c r="AY961" s="2"/>
      <c r="AZ961" s="34"/>
      <c r="BB961" s="34"/>
      <c r="BC961" s="34"/>
    </row>
    <row r="962" spans="1:64" ht="13.05" customHeight="1">
      <c r="C962" s="121" t="s">
        <v>1661</v>
      </c>
      <c r="D962" s="5"/>
      <c r="E962" s="5"/>
      <c r="F962" s="5"/>
      <c r="G962" s="5"/>
      <c r="H962" s="5"/>
      <c r="I962" s="5"/>
      <c r="J962" s="5"/>
      <c r="K962" s="5"/>
      <c r="L962" s="46"/>
      <c r="M962" s="1455">
        <v>1</v>
      </c>
      <c r="N962" s="1456"/>
      <c r="O962" s="1456"/>
      <c r="P962" s="1456"/>
      <c r="Q962" s="1456"/>
      <c r="R962" s="1456"/>
      <c r="S962" s="1457"/>
      <c r="U962" s="121" t="s">
        <v>1661</v>
      </c>
      <c r="V962" s="5"/>
      <c r="W962" s="5"/>
      <c r="X962" s="5"/>
      <c r="Y962" s="5"/>
      <c r="Z962" s="5"/>
      <c r="AA962" s="5"/>
      <c r="AB962" s="5"/>
      <c r="AC962" s="5"/>
      <c r="AD962" s="46"/>
      <c r="AE962" s="1455"/>
      <c r="AF962" s="1456"/>
      <c r="AG962" s="1456"/>
      <c r="AH962" s="1456"/>
      <c r="AI962" s="1456"/>
      <c r="AJ962" s="1456"/>
      <c r="AK962" s="145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389"/>
      <c r="N967" s="1390"/>
      <c r="O967" s="1390"/>
      <c r="P967" s="1390"/>
      <c r="Q967" s="1390"/>
      <c r="R967" s="1390"/>
      <c r="S967" s="1391"/>
      <c r="T967" s="66" t="s">
        <v>790</v>
      </c>
      <c r="U967" s="5"/>
      <c r="V967" s="5"/>
      <c r="W967" s="5"/>
      <c r="X967" s="5"/>
      <c r="Y967" s="5"/>
      <c r="Z967" s="46"/>
      <c r="AA967" s="1389"/>
      <c r="AB967" s="1390"/>
      <c r="AC967" s="1390"/>
      <c r="AD967" s="1390"/>
      <c r="AE967" s="1390"/>
      <c r="AF967" s="1390"/>
      <c r="AG967" s="139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389"/>
      <c r="N968" s="1390"/>
      <c r="O968" s="1390"/>
      <c r="P968" s="1390"/>
      <c r="Q968" s="1390"/>
      <c r="R968" s="1390"/>
      <c r="S968" s="1391"/>
      <c r="T968" s="66" t="s">
        <v>789</v>
      </c>
      <c r="U968" s="5"/>
      <c r="V968" s="5"/>
      <c r="W968" s="5"/>
      <c r="X968" s="5"/>
      <c r="Y968" s="5"/>
      <c r="Z968" s="46"/>
      <c r="AA968" s="1389"/>
      <c r="AB968" s="1390"/>
      <c r="AC968" s="1390"/>
      <c r="AD968" s="1390"/>
      <c r="AE968" s="1390"/>
      <c r="AF968" s="1390"/>
      <c r="AG968" s="139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29" t="s">
        <v>591</v>
      </c>
      <c r="N969" s="1630"/>
      <c r="O969" s="1630"/>
      <c r="P969" s="1630"/>
      <c r="Q969" s="1630"/>
      <c r="R969" s="1630"/>
      <c r="S969" s="1631"/>
      <c r="T969" s="45" t="s">
        <v>337</v>
      </c>
      <c r="U969" s="5"/>
      <c r="V969" s="5"/>
      <c r="W969" s="5"/>
      <c r="X969" s="5"/>
      <c r="Y969" s="5"/>
      <c r="Z969" s="46"/>
      <c r="AA969" s="1389"/>
      <c r="AB969" s="1390"/>
      <c r="AC969" s="1390"/>
      <c r="AD969" s="1390"/>
      <c r="AE969" s="1390"/>
      <c r="AF969" s="1390"/>
      <c r="AG969" s="139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389"/>
      <c r="N970" s="1390"/>
      <c r="O970" s="1390"/>
      <c r="P970" s="1390"/>
      <c r="Q970" s="1390"/>
      <c r="R970" s="1390"/>
      <c r="S970" s="1391"/>
      <c r="T970" s="45" t="s">
        <v>338</v>
      </c>
      <c r="U970" s="5"/>
      <c r="V970" s="5"/>
      <c r="W970" s="5"/>
      <c r="X970" s="5"/>
      <c r="Y970" s="5"/>
      <c r="Z970" s="46"/>
      <c r="AA970" s="1389"/>
      <c r="AB970" s="1390"/>
      <c r="AC970" s="1390"/>
      <c r="AD970" s="1390"/>
      <c r="AE970" s="1390"/>
      <c r="AF970" s="1390"/>
      <c r="AG970" s="139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389"/>
      <c r="N971" s="1390"/>
      <c r="O971" s="1390"/>
      <c r="P971" s="1390"/>
      <c r="Q971" s="1390"/>
      <c r="R971" s="1390"/>
      <c r="S971" s="1391"/>
      <c r="T971" s="45" t="s">
        <v>376</v>
      </c>
      <c r="U971" s="5"/>
      <c r="V971" s="5"/>
      <c r="W971" s="5"/>
      <c r="X971" s="5"/>
      <c r="Y971" s="5"/>
      <c r="Z971" s="46"/>
      <c r="AA971" s="1389"/>
      <c r="AB971" s="1390"/>
      <c r="AC971" s="1390"/>
      <c r="AD971" s="1390"/>
      <c r="AE971" s="1390"/>
      <c r="AF971" s="1390"/>
      <c r="AG971" s="139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2" t="s">
        <v>880</v>
      </c>
      <c r="G972" s="42"/>
      <c r="H972" s="42"/>
      <c r="I972" s="42"/>
      <c r="J972" s="42"/>
      <c r="K972" s="42"/>
      <c r="L972" s="58"/>
      <c r="M972" s="1535" t="s">
        <v>307</v>
      </c>
      <c r="N972" s="1536"/>
      <c r="O972" s="1536"/>
      <c r="P972" s="1536"/>
      <c r="Q972" s="1536"/>
      <c r="R972" s="1536"/>
      <c r="S972" s="1537"/>
      <c r="T972" s="1477"/>
      <c r="U972" s="1478"/>
      <c r="V972" s="1478"/>
      <c r="W972" s="1478"/>
      <c r="X972" s="1478"/>
      <c r="Y972" s="1478"/>
      <c r="Z972" s="1479"/>
      <c r="AA972" s="1389"/>
      <c r="AB972" s="1390"/>
      <c r="AC972" s="1390"/>
      <c r="AD972" s="1390"/>
      <c r="AE972" s="1390"/>
      <c r="AF972" s="1390"/>
      <c r="AG972" s="139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389"/>
      <c r="N973" s="1390"/>
      <c r="O973" s="1390"/>
      <c r="P973" s="1390"/>
      <c r="Q973" s="1390"/>
      <c r="R973" s="1390"/>
      <c r="S973" s="1391"/>
      <c r="T973" s="1477"/>
      <c r="U973" s="1478"/>
      <c r="V973" s="1478"/>
      <c r="W973" s="1478"/>
      <c r="X973" s="1478"/>
      <c r="Y973" s="1478"/>
      <c r="Z973" s="1479"/>
      <c r="AA973" s="1389"/>
      <c r="AB973" s="1390"/>
      <c r="AC973" s="1390"/>
      <c r="AD973" s="1390"/>
      <c r="AE973" s="1390"/>
      <c r="AF973" s="1390"/>
      <c r="AG973" s="139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336</v>
      </c>
      <c r="G974" s="42"/>
      <c r="H974" s="42"/>
      <c r="I974" s="42"/>
      <c r="J974" s="42"/>
      <c r="K974" s="42"/>
      <c r="L974" s="42"/>
      <c r="M974" s="42"/>
      <c r="N974" s="42"/>
      <c r="O974" s="1538" t="s">
        <v>669</v>
      </c>
      <c r="P974" s="1539"/>
      <c r="Q974" s="92"/>
      <c r="R974" s="92"/>
      <c r="S974" s="93"/>
      <c r="T974" s="41" t="s">
        <v>170</v>
      </c>
      <c r="U974" s="42"/>
      <c r="V974" s="42"/>
      <c r="W974" s="1549" t="s">
        <v>334</v>
      </c>
      <c r="X974" s="1550"/>
      <c r="Y974" s="1550"/>
      <c r="Z974" s="1550"/>
      <c r="AA974" s="1550"/>
      <c r="AB974" s="1550"/>
      <c r="AC974" s="1550"/>
      <c r="AD974" s="1550"/>
      <c r="AE974" s="1550"/>
      <c r="AF974" s="1550"/>
      <c r="AG974" s="1551"/>
      <c r="AU974" s="68"/>
      <c r="AV974" s="95"/>
      <c r="AW974" s="95"/>
      <c r="AX974" s="95"/>
      <c r="AY974" s="95"/>
      <c r="AZ974" s="34"/>
      <c r="BB974" s="34"/>
      <c r="BC974" s="34"/>
      <c r="BD974" s="34"/>
      <c r="BE974" s="34"/>
      <c r="BF974" s="34"/>
      <c r="BG974" s="34"/>
      <c r="BH974" s="34"/>
      <c r="BI974" s="34"/>
      <c r="BJ974" s="34"/>
      <c r="BK974" s="34"/>
      <c r="BL974" s="34"/>
    </row>
    <row r="975" spans="1:64" ht="13.05" customHeight="1">
      <c r="F975" s="1590" t="s">
        <v>33</v>
      </c>
      <c r="G975" s="1416"/>
      <c r="H975" s="1416"/>
      <c r="I975" s="1416"/>
      <c r="J975" s="1416"/>
      <c r="K975" s="1416"/>
      <c r="L975" s="1416"/>
      <c r="M975" s="1389"/>
      <c r="N975" s="1390"/>
      <c r="O975" s="1390"/>
      <c r="P975" s="1390"/>
      <c r="Q975" s="1390"/>
      <c r="R975" s="1390"/>
      <c r="S975" s="1391"/>
      <c r="T975" s="47"/>
      <c r="U975" s="48"/>
      <c r="V975" s="48"/>
      <c r="W975" s="48"/>
      <c r="X975" s="48"/>
      <c r="Y975" s="48"/>
      <c r="Z975" s="124" t="s">
        <v>134</v>
      </c>
      <c r="AA975" s="1440"/>
      <c r="AB975" s="1441"/>
      <c r="AC975" s="1441"/>
      <c r="AD975" s="1441"/>
      <c r="AE975" s="1441"/>
      <c r="AF975" s="1441"/>
      <c r="AG975" s="1442"/>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11"/>
      <c r="BH976" s="1611"/>
      <c r="BI976" s="1611"/>
      <c r="BJ976" s="1611"/>
      <c r="BK976" s="1611"/>
      <c r="BL976" s="1611"/>
    </row>
    <row r="977" spans="1:64" ht="13.05" customHeight="1">
      <c r="AU977" s="68"/>
      <c r="AV977" s="68"/>
      <c r="AW977" s="68"/>
      <c r="AX977" s="68"/>
      <c r="AY977" s="68"/>
      <c r="AZ977" s="14"/>
      <c r="BA977" s="14"/>
      <c r="BB977" s="912"/>
      <c r="BC977" s="912"/>
      <c r="BD977" s="14"/>
      <c r="BE977" s="14"/>
      <c r="BF977" s="14"/>
      <c r="BG977" s="14"/>
      <c r="BH977" s="14"/>
      <c r="BI977" s="14"/>
      <c r="BJ977" s="14"/>
      <c r="BK977" s="14"/>
      <c r="BL977" s="14"/>
    </row>
    <row r="978" spans="1:64" ht="13.05" customHeight="1">
      <c r="AU978" s="68"/>
      <c r="AV978" s="68"/>
      <c r="AW978" s="68"/>
      <c r="AX978" s="68"/>
      <c r="AY978" s="68"/>
      <c r="AZ978" s="14"/>
      <c r="BA978" s="14"/>
      <c r="BB978" s="912"/>
      <c r="BC978" s="912"/>
    </row>
    <row r="979" spans="1:64" ht="13.05" customHeight="1">
      <c r="A979" s="1484" t="s">
        <v>548</v>
      </c>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68"/>
      <c r="AV979" s="68"/>
      <c r="AW979" s="68"/>
      <c r="AX979" s="68"/>
      <c r="AY979" s="68"/>
      <c r="AZ979" s="14"/>
      <c r="BA979" s="14"/>
      <c r="BB979" s="912"/>
      <c r="BC979" s="912"/>
    </row>
    <row r="980" spans="1:64" ht="13.0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68"/>
      <c r="AV980" s="68"/>
      <c r="AW980" s="68"/>
      <c r="AX980" s="68"/>
      <c r="AY980" s="68"/>
      <c r="AZ980" s="30"/>
      <c r="BA980" s="14"/>
      <c r="BB980" s="14"/>
      <c r="BC980" s="14"/>
    </row>
    <row r="981" spans="1:64" ht="13.05" customHeight="1">
      <c r="A981" s="1484"/>
      <c r="B981" s="1484"/>
      <c r="C981" s="1484"/>
      <c r="D981" s="1484"/>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4"/>
      <c r="AF981" s="1484"/>
      <c r="AG981" s="1484"/>
      <c r="AH981" s="1484"/>
      <c r="AI981" s="1484"/>
      <c r="AJ981" s="1484"/>
      <c r="AK981" s="1484"/>
      <c r="AL981" s="1484"/>
      <c r="AM981" s="1484"/>
      <c r="AN981" s="1484"/>
      <c r="AO981" s="1484"/>
      <c r="AP981" s="1484"/>
      <c r="AQ981" s="1484"/>
      <c r="AR981" s="1484"/>
      <c r="AS981" s="1484"/>
      <c r="AT981" s="1484"/>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8"/>
      <c r="D985" s="1474" t="s">
        <v>638</v>
      </c>
      <c r="E985" s="1475"/>
      <c r="F985" s="1475"/>
      <c r="G985" s="1475"/>
      <c r="H985" s="1475"/>
      <c r="I985" s="1475"/>
      <c r="J985" s="1475"/>
      <c r="K985" s="1475"/>
      <c r="L985" s="1475"/>
      <c r="M985" s="1475"/>
      <c r="N985" s="1475"/>
      <c r="O985" s="1475"/>
      <c r="P985" s="1475"/>
      <c r="Q985" s="1476"/>
      <c r="R985" s="1474" t="s">
        <v>639</v>
      </c>
      <c r="S985" s="1475"/>
      <c r="T985" s="1475"/>
      <c r="U985" s="1475"/>
      <c r="V985" s="1475"/>
      <c r="W985" s="1475"/>
      <c r="X985" s="1475"/>
      <c r="Y985" s="1475"/>
      <c r="Z985" s="1475"/>
      <c r="AA985" s="1476"/>
      <c r="AB985" s="1474" t="s">
        <v>640</v>
      </c>
      <c r="AC985" s="1475"/>
      <c r="AD985" s="1475"/>
      <c r="AE985" s="1475"/>
      <c r="AF985" s="1475"/>
      <c r="AG985" s="1475"/>
      <c r="AH985" s="1475"/>
      <c r="AI985" s="1476"/>
      <c r="AJ985" s="1474" t="s">
        <v>641</v>
      </c>
      <c r="AK985" s="1475"/>
      <c r="AL985" s="1475"/>
      <c r="AM985" s="1475"/>
      <c r="AN985" s="1475"/>
      <c r="AO985" s="1475"/>
      <c r="AP985" s="1475"/>
      <c r="AQ985" s="1476"/>
      <c r="AR985" s="68"/>
      <c r="AS985" s="68"/>
      <c r="AT985" s="68"/>
      <c r="AU985" s="68"/>
      <c r="AV985" s="68"/>
      <c r="AW985" s="68"/>
      <c r="AX985" s="68"/>
      <c r="AY985" s="68"/>
      <c r="AZ985" s="30"/>
      <c r="BB985" s="14"/>
      <c r="BC985" s="14"/>
    </row>
    <row r="986" spans="1:64" ht="13.05" customHeight="1">
      <c r="A986" s="14"/>
      <c r="B986" s="73"/>
      <c r="C986" s="929"/>
      <c r="D986" s="1543" t="s">
        <v>633</v>
      </c>
      <c r="E986" s="1544"/>
      <c r="F986" s="1544"/>
      <c r="G986" s="1544"/>
      <c r="H986" s="1544"/>
      <c r="I986" s="1544"/>
      <c r="J986" s="1544"/>
      <c r="K986" s="1544"/>
      <c r="L986" s="1544"/>
      <c r="M986" s="1544"/>
      <c r="N986" s="1544"/>
      <c r="O986" s="1544"/>
      <c r="P986" s="1544"/>
      <c r="Q986" s="1545"/>
      <c r="R986" s="1434">
        <f>IF(ISNA(IF($CU$122="4%",(INDEX($CS$160:$CW$217,MATCH($DG$122,$CR$160:$CR$217,0),MATCH(D986,$CS$159:$CW$159,0))),(INDEX($CZ$160:$DD$217,MATCH($DG$122,$CY$160:$CY$217,0),MATCH(D986,$CZ$159:$DD$159,0))))),0,IF($CU$122="4%",(INDEX($CS$160:$CW$217,MATCH($DG$122,$CR$160:$CR$217,0),MATCH(D986,$CS$159:$CW$159,0))),(INDEX($CZ$160:$DD$217,MATCH($DG$122,$CY$160:$CY$217,0),MATCH(D986,$CZ$159:$DD$159,0)))))</f>
        <v>307732</v>
      </c>
      <c r="S986" s="1434"/>
      <c r="T986" s="1434"/>
      <c r="U986" s="1434"/>
      <c r="V986" s="1434"/>
      <c r="W986" s="1434"/>
      <c r="X986" s="1434"/>
      <c r="Y986" s="1434"/>
      <c r="Z986" s="1434"/>
      <c r="AA986" s="1434"/>
      <c r="AB986" s="1347">
        <f>CP802</f>
        <v>0</v>
      </c>
      <c r="AC986" s="1348"/>
      <c r="AD986" s="1348"/>
      <c r="AE986" s="1348"/>
      <c r="AF986" s="1348"/>
      <c r="AG986" s="1348"/>
      <c r="AH986" s="1348"/>
      <c r="AI986" s="1349"/>
      <c r="AJ986" s="1546">
        <f>IF(ISERROR((R986*AB986)),0,(R986*AB986))</f>
        <v>0</v>
      </c>
      <c r="AK986" s="1547"/>
      <c r="AL986" s="1547"/>
      <c r="AM986" s="1547"/>
      <c r="AN986" s="1547"/>
      <c r="AO986" s="1547"/>
      <c r="AP986" s="1547"/>
      <c r="AQ986" s="1548"/>
      <c r="AR986" s="68"/>
      <c r="AS986" s="68"/>
      <c r="AT986" s="68"/>
      <c r="AU986" s="68"/>
      <c r="AV986" s="68"/>
      <c r="AW986" s="68"/>
      <c r="AX986" s="68"/>
      <c r="AY986" s="68"/>
      <c r="AZ986" s="30"/>
      <c r="BB986" s="14"/>
      <c r="BC986" s="14"/>
    </row>
    <row r="987" spans="1:64" ht="13.05" customHeight="1">
      <c r="A987" s="14"/>
      <c r="B987" s="73"/>
      <c r="C987" s="83"/>
      <c r="D987" s="1543" t="s">
        <v>325</v>
      </c>
      <c r="E987" s="1544"/>
      <c r="F987" s="1544"/>
      <c r="G987" s="1544"/>
      <c r="H987" s="1544"/>
      <c r="I987" s="1544"/>
      <c r="J987" s="1544"/>
      <c r="K987" s="1544"/>
      <c r="L987" s="1544"/>
      <c r="M987" s="1544"/>
      <c r="N987" s="1544"/>
      <c r="O987" s="1544"/>
      <c r="P987" s="1544"/>
      <c r="Q987" s="1545"/>
      <c r="R987" s="1434">
        <f>IF(ISNA(IF($CU$122="4%",(INDEX($CS$160:$CW$217,MATCH($DG$122,$CR$160:$CR$217,0),MATCH(D987,$CS$159:$CW$159,0))),(INDEX($CZ$160:$DD$217,MATCH($DG$122,$CY$160:$CY$217,0),MATCH(D987,$CZ$159:$DD$159,0))))),0,IF($CU$122="4%",(INDEX($CS$160:$CW$217,MATCH($DG$122,$CR$160:$CR$217,0),MATCH(D987,$CS$159:$CW$159,0))),(INDEX($CZ$160:$DD$217,MATCH($DG$122,$CY$160:$CY$217,0),MATCH(D987,$CZ$159:$DD$159,0)))))</f>
        <v>354812</v>
      </c>
      <c r="S987" s="1434"/>
      <c r="T987" s="1434"/>
      <c r="U987" s="1434"/>
      <c r="V987" s="1434"/>
      <c r="W987" s="1434"/>
      <c r="X987" s="1434"/>
      <c r="Y987" s="1434"/>
      <c r="Z987" s="1434"/>
      <c r="AA987" s="1434"/>
      <c r="AB987" s="1347">
        <f>CU802</f>
        <v>12</v>
      </c>
      <c r="AC987" s="1348"/>
      <c r="AD987" s="1348"/>
      <c r="AE987" s="1348"/>
      <c r="AF987" s="1348"/>
      <c r="AG987" s="1348"/>
      <c r="AH987" s="1348"/>
      <c r="AI987" s="1349"/>
      <c r="AJ987" s="1546">
        <f>IF(ISERROR((R987*AB987)),0,(R987*AB987))</f>
        <v>4257744</v>
      </c>
      <c r="AK987" s="1547"/>
      <c r="AL987" s="1547"/>
      <c r="AM987" s="1547"/>
      <c r="AN987" s="1547"/>
      <c r="AO987" s="1547"/>
      <c r="AP987" s="1547"/>
      <c r="AQ987" s="1548"/>
      <c r="AR987" s="68"/>
      <c r="AS987" s="68"/>
      <c r="AT987" s="68"/>
      <c r="AU987" s="68"/>
      <c r="AV987" s="68"/>
      <c r="AW987" s="68"/>
      <c r="AX987" s="68"/>
      <c r="AY987" s="68"/>
      <c r="AZ987" s="30"/>
      <c r="BB987" s="14"/>
      <c r="BC987" s="14"/>
    </row>
    <row r="988" spans="1:64" ht="13.05" customHeight="1">
      <c r="A988" s="14"/>
      <c r="B988" s="73"/>
      <c r="C988" s="83"/>
      <c r="D988" s="1543" t="s">
        <v>163</v>
      </c>
      <c r="E988" s="1544"/>
      <c r="F988" s="1544"/>
      <c r="G988" s="1544"/>
      <c r="H988" s="1544"/>
      <c r="I988" s="1544"/>
      <c r="J988" s="1544"/>
      <c r="K988" s="1544"/>
      <c r="L988" s="1544"/>
      <c r="M988" s="1544"/>
      <c r="N988" s="1544"/>
      <c r="O988" s="1544"/>
      <c r="P988" s="1544"/>
      <c r="Q988" s="1545"/>
      <c r="R988" s="1434">
        <f>IF(ISNA(IF($CU$122="4%",(INDEX($CS$160:$CW$217,MATCH($DG$122,$CR$160:$CR$217,0),MATCH(D988,$CS$159:$CW$159,0))),(INDEX($CZ$160:$DD$217,MATCH($DG$122,$CY$160:$CY$217,0),MATCH(D988,$CZ$159:$DD$159,0))))),0,IF($CU$122="4%",(INDEX($CS$160:$CW$217,MATCH($DG$122,$CR$160:$CR$217,0),MATCH(D988,$CS$159:$CW$159,0))),(INDEX($CZ$160:$DD$217,MATCH($DG$122,$CY$160:$CY$217,0),MATCH(D988,$CZ$159:$DD$159,0)))))</f>
        <v>428000</v>
      </c>
      <c r="S988" s="1434"/>
      <c r="T988" s="1434"/>
      <c r="U988" s="1434"/>
      <c r="V988" s="1434"/>
      <c r="W988" s="1434"/>
      <c r="X988" s="1434"/>
      <c r="Y988" s="1434"/>
      <c r="Z988" s="1434"/>
      <c r="AA988" s="1434"/>
      <c r="AB988" s="1347">
        <f>CZ802</f>
        <v>18</v>
      </c>
      <c r="AC988" s="1348"/>
      <c r="AD988" s="1348"/>
      <c r="AE988" s="1348"/>
      <c r="AF988" s="1348"/>
      <c r="AG988" s="1348"/>
      <c r="AH988" s="1348"/>
      <c r="AI988" s="1349"/>
      <c r="AJ988" s="1546">
        <f>IF(ISERROR((R988*AB988)),0,(R988*AB988))</f>
        <v>7704000</v>
      </c>
      <c r="AK988" s="1547"/>
      <c r="AL988" s="1547"/>
      <c r="AM988" s="1547"/>
      <c r="AN988" s="1547"/>
      <c r="AO988" s="1547"/>
      <c r="AP988" s="1547"/>
      <c r="AQ988" s="1548"/>
      <c r="AR988" s="68"/>
      <c r="AS988" s="68"/>
      <c r="AT988" s="68"/>
      <c r="AU988" s="68"/>
      <c r="AV988" s="68"/>
      <c r="AW988" s="68"/>
      <c r="AX988" s="68"/>
      <c r="AY988" s="68"/>
      <c r="AZ988" s="30"/>
      <c r="BB988" s="14"/>
      <c r="BC988" s="14"/>
    </row>
    <row r="989" spans="1:64" ht="13.05" customHeight="1">
      <c r="A989" s="14"/>
      <c r="B989" s="73"/>
      <c r="C989" s="83"/>
      <c r="D989" s="1543" t="s">
        <v>164</v>
      </c>
      <c r="E989" s="1544"/>
      <c r="F989" s="1544"/>
      <c r="G989" s="1544"/>
      <c r="H989" s="1544"/>
      <c r="I989" s="1544"/>
      <c r="J989" s="1544"/>
      <c r="K989" s="1544"/>
      <c r="L989" s="1544"/>
      <c r="M989" s="1544"/>
      <c r="N989" s="1544"/>
      <c r="O989" s="1544"/>
      <c r="P989" s="1544"/>
      <c r="Q989" s="1545"/>
      <c r="R989" s="1434">
        <f>IF(ISNA(IF($CU$122="4%",(INDEX($CS$160:$CW$217,MATCH($DG$122,$CR$160:$CR$217,0),MATCH(D989,$CS$159:$CW$159,0))),(INDEX($CZ$160:$DD$217,MATCH($DG$122,$CY$160:$CY$217,0),MATCH(D989,$CZ$159:$DD$159,0))))),0,IF($CU$122="4%",(INDEX($CS$160:$CW$217,MATCH($DG$122,$CR$160:$CR$217,0),MATCH(D989,$CS$159:$CW$159,0))),(INDEX($CZ$160:$DD$217,MATCH($DG$122,$CY$160:$CY$217,0),MATCH(D989,$CZ$159:$DD$159,0)))))</f>
        <v>547840</v>
      </c>
      <c r="S989" s="1434"/>
      <c r="T989" s="1434"/>
      <c r="U989" s="1434"/>
      <c r="V989" s="1434"/>
      <c r="W989" s="1434"/>
      <c r="X989" s="1434"/>
      <c r="Y989" s="1434"/>
      <c r="Z989" s="1434"/>
      <c r="AA989" s="1434"/>
      <c r="AB989" s="1347">
        <f>DE802</f>
        <v>16</v>
      </c>
      <c r="AC989" s="1348"/>
      <c r="AD989" s="1348"/>
      <c r="AE989" s="1348"/>
      <c r="AF989" s="1348"/>
      <c r="AG989" s="1348"/>
      <c r="AH989" s="1348"/>
      <c r="AI989" s="1349"/>
      <c r="AJ989" s="1546">
        <f>IF(ISERROR((R989*AB989)),0,(R989*AB989))</f>
        <v>8765440</v>
      </c>
      <c r="AK989" s="1547"/>
      <c r="AL989" s="1547"/>
      <c r="AM989" s="1547"/>
      <c r="AN989" s="1547"/>
      <c r="AO989" s="1547"/>
      <c r="AP989" s="1547"/>
      <c r="AQ989" s="1548"/>
      <c r="AR989" s="68"/>
      <c r="AS989" s="68"/>
      <c r="AT989" s="68"/>
      <c r="AU989" s="68"/>
      <c r="AV989" s="68"/>
      <c r="AW989" s="68"/>
      <c r="AX989" s="68"/>
      <c r="AY989" s="68"/>
      <c r="AZ989" s="30"/>
      <c r="BA989" s="34"/>
      <c r="BB989" s="14"/>
      <c r="BC989" s="14"/>
    </row>
    <row r="990" spans="1:64" ht="13.05" customHeight="1">
      <c r="A990" s="14"/>
      <c r="B990" s="47"/>
      <c r="C990" s="78"/>
      <c r="D990" s="1543" t="s">
        <v>460</v>
      </c>
      <c r="E990" s="1544"/>
      <c r="F990" s="1544"/>
      <c r="G990" s="1544"/>
      <c r="H990" s="1544"/>
      <c r="I990" s="1544"/>
      <c r="J990" s="1544"/>
      <c r="K990" s="1544"/>
      <c r="L990" s="1544"/>
      <c r="M990" s="1544"/>
      <c r="N990" s="1544"/>
      <c r="O990" s="1544"/>
      <c r="P990" s="1544"/>
      <c r="Q990" s="1545"/>
      <c r="R990" s="1434">
        <f>IF(ISNA(IF($CU$122="4%",(INDEX($CS$160:$CW$217,MATCH($DG$122,$CR$160:$CR$217,0),MATCH(D990,$CS$159:$CW$159,0))),(INDEX($CZ$160:$DD$217,MATCH($DG$122,$CY$160:$CY$217,0),MATCH(D990,$CZ$159:$DD$159,0))))),0,IF($CU$122="4%",(INDEX($CS$160:$CW$217,MATCH($DG$122,$CR$160:$CR$217,0),MATCH(D990,$CS$159:$CW$159,0))),(INDEX($CZ$160:$DD$217,MATCH($DG$122,$CY$160:$CY$217,0),MATCH(D990,$CZ$159:$DD$159,0)))))</f>
        <v>610328</v>
      </c>
      <c r="S990" s="1434"/>
      <c r="T990" s="1434"/>
      <c r="U990" s="1434"/>
      <c r="V990" s="1434"/>
      <c r="W990" s="1434"/>
      <c r="X990" s="1434"/>
      <c r="Y990" s="1434"/>
      <c r="Z990" s="1434"/>
      <c r="AA990" s="1434"/>
      <c r="AB990" s="1347">
        <f>DO802+DJ802</f>
        <v>0</v>
      </c>
      <c r="AC990" s="1348"/>
      <c r="AD990" s="1348"/>
      <c r="AE990" s="1348"/>
      <c r="AF990" s="1348"/>
      <c r="AG990" s="1348"/>
      <c r="AH990" s="1348"/>
      <c r="AI990" s="1349"/>
      <c r="AJ990" s="1546">
        <f>IF(ISERROR((R990*AB990)),0,(R990*AB990))</f>
        <v>0</v>
      </c>
      <c r="AK990" s="1547"/>
      <c r="AL990" s="1547"/>
      <c r="AM990" s="1547"/>
      <c r="AN990" s="1547"/>
      <c r="AO990" s="1547"/>
      <c r="AP990" s="1547"/>
      <c r="AQ990" s="1548"/>
      <c r="AR990" s="68"/>
      <c r="AS990" s="68"/>
      <c r="AT990" s="68"/>
      <c r="AU990" s="68"/>
      <c r="AV990" s="68"/>
      <c r="AW990" s="68"/>
      <c r="AX990" s="68"/>
      <c r="AY990" s="68"/>
      <c r="AZ990" s="30"/>
      <c r="BB990" s="14"/>
      <c r="BC990" s="14"/>
    </row>
    <row r="991" spans="1:64" ht="13.05" customHeight="1">
      <c r="A991" s="14"/>
      <c r="B991" s="1468" t="s">
        <v>791</v>
      </c>
      <c r="C991" s="1469"/>
      <c r="D991" s="1469"/>
      <c r="E991" s="1469"/>
      <c r="F991" s="1469"/>
      <c r="G991" s="1469"/>
      <c r="H991" s="1469"/>
      <c r="I991" s="1469"/>
      <c r="J991" s="1469"/>
      <c r="K991" s="1469"/>
      <c r="L991" s="1469"/>
      <c r="M991" s="1469"/>
      <c r="N991" s="1469"/>
      <c r="O991" s="1469"/>
      <c r="P991" s="1469"/>
      <c r="Q991" s="1469"/>
      <c r="R991" s="1469"/>
      <c r="S991" s="1469"/>
      <c r="T991" s="1469"/>
      <c r="U991" s="1469"/>
      <c r="V991" s="1469"/>
      <c r="W991" s="1469"/>
      <c r="X991" s="1469"/>
      <c r="Y991" s="1469"/>
      <c r="Z991" s="1469"/>
      <c r="AA991" s="1470"/>
      <c r="AB991" s="1347">
        <f>SUM(AB986:AI990)</f>
        <v>46</v>
      </c>
      <c r="AC991" s="1348"/>
      <c r="AD991" s="1348"/>
      <c r="AE991" s="1348"/>
      <c r="AF991" s="1348"/>
      <c r="AG991" s="1348"/>
      <c r="AH991" s="1348"/>
      <c r="AI991" s="1349"/>
      <c r="AJ991" s="1546"/>
      <c r="AK991" s="1547"/>
      <c r="AL991" s="1547"/>
      <c r="AM991" s="1547"/>
      <c r="AN991" s="1547"/>
      <c r="AO991" s="1547"/>
      <c r="AP991" s="1547"/>
      <c r="AQ991" s="1548"/>
      <c r="AR991" s="68"/>
      <c r="AS991" s="68"/>
      <c r="AT991" s="68"/>
      <c r="AU991" s="68"/>
      <c r="AV991" s="68"/>
      <c r="AW991" s="68"/>
      <c r="AX991" s="68"/>
      <c r="AY991" s="68"/>
      <c r="AZ991" s="34"/>
      <c r="BA991" s="34"/>
      <c r="BB991" s="14"/>
      <c r="BC991" s="14"/>
    </row>
    <row r="992" spans="1:64" ht="13.05" customHeight="1">
      <c r="A992" s="14"/>
      <c r="B992" s="1564" t="s">
        <v>512</v>
      </c>
      <c r="C992" s="1565"/>
      <c r="D992" s="1565"/>
      <c r="E992" s="1565"/>
      <c r="F992" s="1565"/>
      <c r="G992" s="1565"/>
      <c r="H992" s="1565"/>
      <c r="I992" s="1565"/>
      <c r="J992" s="1565"/>
      <c r="K992" s="1565"/>
      <c r="L992" s="1565"/>
      <c r="M992" s="1565"/>
      <c r="N992" s="1565"/>
      <c r="O992" s="1565"/>
      <c r="P992" s="1565"/>
      <c r="Q992" s="1565"/>
      <c r="R992" s="1565"/>
      <c r="S992" s="1565"/>
      <c r="T992" s="1565"/>
      <c r="U992" s="1565"/>
      <c r="V992" s="1565"/>
      <c r="W992" s="1565"/>
      <c r="X992" s="1565"/>
      <c r="Y992" s="1565"/>
      <c r="Z992" s="1565"/>
      <c r="AA992" s="1565"/>
      <c r="AB992" s="1565"/>
      <c r="AC992" s="1565"/>
      <c r="AD992" s="1565"/>
      <c r="AE992" s="1565"/>
      <c r="AF992" s="1565"/>
      <c r="AG992" s="1565"/>
      <c r="AH992" s="1565"/>
      <c r="AI992" s="1566"/>
      <c r="AJ992" s="1546">
        <f>SUM(AJ986:AQ990)</f>
        <v>20727184</v>
      </c>
      <c r="AK992" s="1547"/>
      <c r="AL992" s="1547"/>
      <c r="AM992" s="1547"/>
      <c r="AN992" s="1547"/>
      <c r="AO992" s="1547"/>
      <c r="AP992" s="1547"/>
      <c r="AQ992" s="1548"/>
      <c r="AR992" s="68"/>
      <c r="AS992" s="68"/>
      <c r="AT992" s="68"/>
      <c r="AU992" s="68"/>
      <c r="AV992" s="68"/>
      <c r="AW992" s="68"/>
      <c r="AX992" s="68"/>
      <c r="AY992" s="68"/>
      <c r="AZ992" s="34"/>
      <c r="BB992" s="34"/>
      <c r="BC992" s="34"/>
    </row>
    <row r="993" spans="1:55" ht="13.05" customHeight="1">
      <c r="A993" s="14"/>
      <c r="B993" s="1591"/>
      <c r="C993" s="1592"/>
      <c r="D993" s="1592"/>
      <c r="E993" s="1592"/>
      <c r="F993" s="1592"/>
      <c r="G993" s="1592"/>
      <c r="H993" s="1592"/>
      <c r="I993" s="1592"/>
      <c r="J993" s="1592"/>
      <c r="K993" s="1592"/>
      <c r="L993" s="1592"/>
      <c r="M993" s="1592"/>
      <c r="N993" s="1592"/>
      <c r="O993" s="1592"/>
      <c r="P993" s="1592"/>
      <c r="Q993" s="1592"/>
      <c r="R993" s="1592"/>
      <c r="S993" s="1592"/>
      <c r="T993" s="1592"/>
      <c r="U993" s="1592"/>
      <c r="V993" s="1592"/>
      <c r="W993" s="1592"/>
      <c r="X993" s="1592"/>
      <c r="Y993" s="1592"/>
      <c r="Z993" s="1592"/>
      <c r="AA993" s="1592"/>
      <c r="AB993" s="1592"/>
      <c r="AC993" s="1592"/>
      <c r="AD993" s="1592"/>
      <c r="AE993" s="1593"/>
      <c r="AF993" s="1567" t="s">
        <v>666</v>
      </c>
      <c r="AG993" s="1568"/>
      <c r="AH993" s="1568"/>
      <c r="AI993" s="1569"/>
      <c r="AJ993" s="1591"/>
      <c r="AK993" s="1592"/>
      <c r="AL993" s="1592"/>
      <c r="AM993" s="1592"/>
      <c r="AN993" s="1592"/>
      <c r="AO993" s="1592"/>
      <c r="AP993" s="1592"/>
      <c r="AQ993" s="1593"/>
      <c r="AR993" s="68"/>
      <c r="AS993" s="68"/>
      <c r="AT993" s="68"/>
      <c r="AU993" s="68"/>
      <c r="AV993" s="68"/>
      <c r="AW993" s="68"/>
      <c r="AX993" s="68"/>
      <c r="AY993" s="68"/>
      <c r="AZ993" s="34"/>
      <c r="BA993" s="34"/>
      <c r="BB993" s="34"/>
      <c r="BC993" s="34"/>
    </row>
    <row r="994" spans="1:55" ht="13.05" customHeight="1">
      <c r="A994" s="14"/>
      <c r="B994" s="73"/>
      <c r="C994" s="927" t="s">
        <v>668</v>
      </c>
      <c r="D994" s="1460" t="s">
        <v>1220</v>
      </c>
      <c r="E994" s="1461"/>
      <c r="F994" s="1461"/>
      <c r="G994" s="1461"/>
      <c r="H994" s="1461"/>
      <c r="I994" s="1461"/>
      <c r="J994" s="1461"/>
      <c r="K994" s="1461"/>
      <c r="L994" s="1461"/>
      <c r="M994" s="1461"/>
      <c r="N994" s="1461"/>
      <c r="O994" s="1461"/>
      <c r="P994" s="1461"/>
      <c r="Q994" s="1461"/>
      <c r="R994" s="1461"/>
      <c r="S994" s="1461"/>
      <c r="T994" s="1461"/>
      <c r="U994" s="1461"/>
      <c r="V994" s="1461"/>
      <c r="W994" s="1461"/>
      <c r="X994" s="1461"/>
      <c r="Y994" s="1461"/>
      <c r="Z994" s="1461"/>
      <c r="AA994" s="1461"/>
      <c r="AB994" s="1461"/>
      <c r="AC994" s="1461"/>
      <c r="AD994" s="1461"/>
      <c r="AE994" s="1462"/>
      <c r="AF994" s="79"/>
      <c r="AG994" s="1570" t="s">
        <v>545</v>
      </c>
      <c r="AH994" s="1571"/>
      <c r="AI994" s="87"/>
      <c r="AJ994" s="1332">
        <f>ROUND(IF(AND(AG994="yes",D1000&gt;0),AJ992*0.2,0),0)</f>
        <v>4145437</v>
      </c>
      <c r="AK994" s="1333"/>
      <c r="AL994" s="1333"/>
      <c r="AM994" s="1333"/>
      <c r="AN994" s="1333"/>
      <c r="AO994" s="1333"/>
      <c r="AP994" s="1333"/>
      <c r="AQ994" s="1334"/>
      <c r="AR994" s="68"/>
      <c r="AS994" s="68"/>
      <c r="AT994" s="68"/>
      <c r="AU994" s="68"/>
      <c r="AV994" s="68"/>
      <c r="AW994" s="68"/>
      <c r="AX994" s="68"/>
      <c r="AY994" s="68"/>
      <c r="AZ994" s="34"/>
      <c r="BA994" s="34"/>
      <c r="BB994" s="34"/>
      <c r="BC994" s="34"/>
    </row>
    <row r="995" spans="1:55" ht="13.05" customHeight="1">
      <c r="A995" s="14"/>
      <c r="B995" s="257"/>
      <c r="C995" s="256"/>
      <c r="D995" s="1428" t="s">
        <v>2234</v>
      </c>
      <c r="E995" s="1429"/>
      <c r="F995" s="1429"/>
      <c r="G995" s="1429"/>
      <c r="H995" s="1429"/>
      <c r="I995" s="1429"/>
      <c r="J995" s="1429"/>
      <c r="K995" s="1429"/>
      <c r="L995" s="1429"/>
      <c r="M995" s="1429"/>
      <c r="N995" s="1429"/>
      <c r="O995" s="1429"/>
      <c r="P995" s="1429"/>
      <c r="Q995" s="1429"/>
      <c r="R995" s="1429"/>
      <c r="S995" s="1429"/>
      <c r="T995" s="1429"/>
      <c r="U995" s="1429"/>
      <c r="V995" s="1429"/>
      <c r="W995" s="1429"/>
      <c r="X995" s="1429"/>
      <c r="Y995" s="1429"/>
      <c r="Z995" s="1429"/>
      <c r="AA995" s="1429"/>
      <c r="AB995" s="1429"/>
      <c r="AC995" s="1429"/>
      <c r="AD995" s="1429"/>
      <c r="AE995" s="1430"/>
      <c r="AF995" s="73"/>
      <c r="AG995" s="14"/>
      <c r="AH995" s="14"/>
      <c r="AI995" s="83"/>
      <c r="AJ995" s="1335"/>
      <c r="AK995" s="1336"/>
      <c r="AL995" s="1336"/>
      <c r="AM995" s="1336"/>
      <c r="AN995" s="1336"/>
      <c r="AO995" s="1336"/>
      <c r="AP995" s="1336"/>
      <c r="AQ995" s="1337"/>
      <c r="AR995" s="68"/>
      <c r="AS995" s="68"/>
      <c r="AT995" s="68"/>
      <c r="AU995" s="68"/>
      <c r="AV995" s="68"/>
      <c r="AW995" s="68"/>
      <c r="AX995" s="68"/>
      <c r="AY995" s="68"/>
      <c r="AZ995" s="34"/>
      <c r="BA995" s="34"/>
      <c r="BB995" s="34"/>
      <c r="BC995" s="34"/>
    </row>
    <row r="996" spans="1:55" ht="13.05" customHeight="1">
      <c r="A996" s="14"/>
      <c r="B996" s="257"/>
      <c r="C996" s="256"/>
      <c r="D996" s="1428"/>
      <c r="E996" s="1429"/>
      <c r="F996" s="1429"/>
      <c r="G996" s="1429"/>
      <c r="H996" s="1429"/>
      <c r="I996" s="1429"/>
      <c r="J996" s="1429"/>
      <c r="K996" s="1429"/>
      <c r="L996" s="1429"/>
      <c r="M996" s="1429"/>
      <c r="N996" s="1429"/>
      <c r="O996" s="1429"/>
      <c r="P996" s="1429"/>
      <c r="Q996" s="1429"/>
      <c r="R996" s="1429"/>
      <c r="S996" s="1429"/>
      <c r="T996" s="1429"/>
      <c r="U996" s="1429"/>
      <c r="V996" s="1429"/>
      <c r="W996" s="1429"/>
      <c r="X996" s="1429"/>
      <c r="Y996" s="1429"/>
      <c r="Z996" s="1429"/>
      <c r="AA996" s="1429"/>
      <c r="AB996" s="1429"/>
      <c r="AC996" s="1429"/>
      <c r="AD996" s="1429"/>
      <c r="AE996" s="1430"/>
      <c r="AF996" s="73"/>
      <c r="AG996" s="14"/>
      <c r="AH996" s="14"/>
      <c r="AI996" s="83"/>
      <c r="AJ996" s="1335"/>
      <c r="AK996" s="1336"/>
      <c r="AL996" s="1336"/>
      <c r="AM996" s="1336"/>
      <c r="AN996" s="1336"/>
      <c r="AO996" s="1336"/>
      <c r="AP996" s="1336"/>
      <c r="AQ996" s="1337"/>
      <c r="AR996" s="68"/>
      <c r="AS996" s="68"/>
      <c r="AT996" s="68"/>
      <c r="AU996" s="68"/>
      <c r="AV996" s="68"/>
      <c r="AW996" s="68"/>
      <c r="AX996" s="68"/>
      <c r="AY996" s="68"/>
      <c r="AZ996" s="34"/>
      <c r="BA996" s="34"/>
      <c r="BB996" s="34"/>
      <c r="BC996" s="34"/>
    </row>
    <row r="997" spans="1:55" ht="13.05" customHeight="1">
      <c r="A997" s="14"/>
      <c r="B997" s="257"/>
      <c r="C997" s="256"/>
      <c r="D997" s="1428"/>
      <c r="E997" s="1429"/>
      <c r="F997" s="1429"/>
      <c r="G997" s="1429"/>
      <c r="H997" s="1429"/>
      <c r="I997" s="1429"/>
      <c r="J997" s="1429"/>
      <c r="K997" s="1429"/>
      <c r="L997" s="1429"/>
      <c r="M997" s="1429"/>
      <c r="N997" s="1429"/>
      <c r="O997" s="1429"/>
      <c r="P997" s="1429"/>
      <c r="Q997" s="1429"/>
      <c r="R997" s="1429"/>
      <c r="S997" s="1429"/>
      <c r="T997" s="1429"/>
      <c r="U997" s="1429"/>
      <c r="V997" s="1429"/>
      <c r="W997" s="1429"/>
      <c r="X997" s="1429"/>
      <c r="Y997" s="1429"/>
      <c r="Z997" s="1429"/>
      <c r="AA997" s="1429"/>
      <c r="AB997" s="1429"/>
      <c r="AC997" s="1429"/>
      <c r="AD997" s="1429"/>
      <c r="AE997" s="1430"/>
      <c r="AF997" s="73"/>
      <c r="AG997" s="14"/>
      <c r="AH997" s="14"/>
      <c r="AI997" s="83"/>
      <c r="AJ997" s="1335"/>
      <c r="AK997" s="1336"/>
      <c r="AL997" s="1336"/>
      <c r="AM997" s="1336"/>
      <c r="AN997" s="1336"/>
      <c r="AO997" s="1336"/>
      <c r="AP997" s="1336"/>
      <c r="AQ997" s="1337"/>
      <c r="AR997" s="68"/>
      <c r="AS997" s="68"/>
      <c r="AT997" s="68"/>
      <c r="AU997" s="68"/>
      <c r="AV997" s="68"/>
      <c r="AW997" s="68"/>
      <c r="AX997" s="68"/>
      <c r="AY997" s="68"/>
      <c r="AZ997" s="34"/>
      <c r="BA997" s="34"/>
      <c r="BB997" s="34"/>
      <c r="BC997" s="34"/>
    </row>
    <row r="998" spans="1:55" ht="13.05" customHeight="1">
      <c r="A998" s="14"/>
      <c r="B998" s="257"/>
      <c r="C998" s="256"/>
      <c r="D998" s="1428"/>
      <c r="E998" s="1429"/>
      <c r="F998" s="1429"/>
      <c r="G998" s="1429"/>
      <c r="H998" s="1429"/>
      <c r="I998" s="1429"/>
      <c r="J998" s="1429"/>
      <c r="K998" s="1429"/>
      <c r="L998" s="1429"/>
      <c r="M998" s="1429"/>
      <c r="N998" s="1429"/>
      <c r="O998" s="1429"/>
      <c r="P998" s="1429"/>
      <c r="Q998" s="1429"/>
      <c r="R998" s="1429"/>
      <c r="S998" s="1429"/>
      <c r="T998" s="1429"/>
      <c r="U998" s="1429"/>
      <c r="V998" s="1429"/>
      <c r="W998" s="1429"/>
      <c r="X998" s="1429"/>
      <c r="Y998" s="1429"/>
      <c r="Z998" s="1429"/>
      <c r="AA998" s="1429"/>
      <c r="AB998" s="1429"/>
      <c r="AC998" s="1429"/>
      <c r="AD998" s="1429"/>
      <c r="AE998" s="1430"/>
      <c r="AF998" s="73"/>
      <c r="AG998" s="14"/>
      <c r="AH998" s="14"/>
      <c r="AI998" s="83"/>
      <c r="AJ998" s="1335"/>
      <c r="AK998" s="1336"/>
      <c r="AL998" s="1336"/>
      <c r="AM998" s="1336"/>
      <c r="AN998" s="1336"/>
      <c r="AO998" s="1336"/>
      <c r="AP998" s="1336"/>
      <c r="AQ998" s="1337"/>
      <c r="AR998" s="68"/>
      <c r="AS998" s="68"/>
      <c r="AT998" s="68"/>
      <c r="AU998" s="68"/>
      <c r="AV998" s="68"/>
      <c r="AW998" s="68"/>
      <c r="AX998" s="68"/>
      <c r="AY998" s="68"/>
      <c r="AZ998" s="34"/>
      <c r="BA998" s="34"/>
      <c r="BB998" s="34"/>
      <c r="BC998" s="34"/>
    </row>
    <row r="999" spans="1:55" ht="13.05" customHeight="1">
      <c r="A999" s="14"/>
      <c r="B999" s="257"/>
      <c r="C999" s="256"/>
      <c r="D999" s="1431" t="s">
        <v>2205</v>
      </c>
      <c r="E999" s="1432"/>
      <c r="F999" s="1432"/>
      <c r="G999" s="1432"/>
      <c r="H999" s="1432"/>
      <c r="I999" s="1432"/>
      <c r="J999" s="1432"/>
      <c r="K999" s="1432"/>
      <c r="L999" s="1432"/>
      <c r="M999" s="1432"/>
      <c r="N999" s="1432"/>
      <c r="O999" s="1432"/>
      <c r="P999" s="1432"/>
      <c r="Q999" s="1432"/>
      <c r="R999" s="1432"/>
      <c r="S999" s="1432"/>
      <c r="T999" s="1432"/>
      <c r="U999" s="1432"/>
      <c r="V999" s="1432"/>
      <c r="W999" s="1432"/>
      <c r="X999" s="1432"/>
      <c r="Y999" s="1432"/>
      <c r="Z999" s="1432"/>
      <c r="AA999" s="1432"/>
      <c r="AB999" s="1432"/>
      <c r="AC999" s="1432"/>
      <c r="AD999" s="1432"/>
      <c r="AE999" s="1433"/>
      <c r="AF999" s="73"/>
      <c r="AG999" s="14"/>
      <c r="AH999" s="14"/>
      <c r="AI999" s="83"/>
      <c r="AJ999" s="1335"/>
      <c r="AK999" s="1336"/>
      <c r="AL999" s="1336"/>
      <c r="AM999" s="1336"/>
      <c r="AN999" s="1336"/>
      <c r="AO999" s="1336"/>
      <c r="AP999" s="1336"/>
      <c r="AQ999" s="1337"/>
      <c r="AR999" s="68"/>
      <c r="AS999" s="68"/>
      <c r="AT999" s="68"/>
      <c r="AU999" s="68"/>
      <c r="AV999" s="68"/>
      <c r="AW999" s="68"/>
      <c r="AX999" s="68"/>
      <c r="AY999" s="68"/>
      <c r="AZ999" s="34"/>
      <c r="BA999" s="34"/>
      <c r="BB999" s="34"/>
      <c r="BC999" s="34"/>
    </row>
    <row r="1000" spans="1:55" ht="13.05" customHeight="1">
      <c r="A1000" s="14"/>
      <c r="B1000" s="257"/>
      <c r="C1000" s="256"/>
      <c r="D1000" s="1471" t="s">
        <v>2747</v>
      </c>
      <c r="E1000" s="1472"/>
      <c r="F1000" s="1472"/>
      <c r="G1000" s="1472"/>
      <c r="H1000" s="1472"/>
      <c r="I1000" s="1472"/>
      <c r="J1000" s="1472"/>
      <c r="K1000" s="1472"/>
      <c r="L1000" s="1472"/>
      <c r="M1000" s="1472"/>
      <c r="N1000" s="1472"/>
      <c r="O1000" s="1472"/>
      <c r="P1000" s="1472"/>
      <c r="Q1000" s="1472"/>
      <c r="R1000" s="1472"/>
      <c r="S1000" s="1472"/>
      <c r="T1000" s="1472"/>
      <c r="U1000" s="1472"/>
      <c r="V1000" s="1472"/>
      <c r="W1000" s="1472"/>
      <c r="X1000" s="1472"/>
      <c r="Y1000" s="1472"/>
      <c r="Z1000" s="1472"/>
      <c r="AA1000" s="1472"/>
      <c r="AB1000" s="1472"/>
      <c r="AC1000" s="1472"/>
      <c r="AD1000" s="1472"/>
      <c r="AE1000" s="1473"/>
      <c r="AF1000" s="77"/>
      <c r="AG1000" s="7"/>
      <c r="AH1000" s="7"/>
      <c r="AI1000" s="78"/>
      <c r="AJ1000" s="1338"/>
      <c r="AK1000" s="1339"/>
      <c r="AL1000" s="1339"/>
      <c r="AM1000" s="1339"/>
      <c r="AN1000" s="1339"/>
      <c r="AO1000" s="1339"/>
      <c r="AP1000" s="1339"/>
      <c r="AQ1000" s="1340"/>
      <c r="AR1000" s="68"/>
      <c r="AS1000" s="68"/>
      <c r="AT1000" s="68"/>
      <c r="AU1000" s="68"/>
      <c r="AV1000" s="68"/>
      <c r="AW1000" s="68"/>
      <c r="AX1000" s="68"/>
      <c r="AY1000" s="68"/>
      <c r="AZ1000" s="34"/>
      <c r="BA1000" s="34"/>
      <c r="BB1000" s="34"/>
      <c r="BC1000" s="34"/>
    </row>
    <row r="1001" spans="1:55" ht="13.05" customHeight="1">
      <c r="A1001" s="14"/>
      <c r="B1001" s="255"/>
      <c r="C1001" s="318"/>
      <c r="D1001" s="1350" t="s">
        <v>1286</v>
      </c>
      <c r="E1001" s="1351"/>
      <c r="F1001" s="1351"/>
      <c r="G1001" s="1351"/>
      <c r="H1001" s="1351"/>
      <c r="I1001" s="1351"/>
      <c r="J1001" s="1351"/>
      <c r="K1001" s="1351"/>
      <c r="L1001" s="1351"/>
      <c r="M1001" s="1351"/>
      <c r="N1001" s="1351"/>
      <c r="O1001" s="1351"/>
      <c r="P1001" s="1351"/>
      <c r="Q1001" s="1351"/>
      <c r="R1001" s="1351"/>
      <c r="S1001" s="1351"/>
      <c r="T1001" s="1351"/>
      <c r="U1001" s="1351"/>
      <c r="V1001" s="1351"/>
      <c r="W1001" s="1351"/>
      <c r="X1001" s="1351"/>
      <c r="Y1001" s="1351"/>
      <c r="Z1001" s="1351"/>
      <c r="AA1001" s="1351"/>
      <c r="AB1001" s="1351"/>
      <c r="AC1001" s="1351"/>
      <c r="AD1001" s="1351"/>
      <c r="AE1001" s="1352"/>
      <c r="AF1001" s="79"/>
      <c r="AG1001" s="1458" t="s">
        <v>669</v>
      </c>
      <c r="AH1001" s="1459"/>
      <c r="AI1001" s="87"/>
      <c r="AJ1001" s="1332">
        <f>ROUND(IF(AG1001="yes",AJ992*0.05,0),0)</f>
        <v>0</v>
      </c>
      <c r="AK1001" s="1333"/>
      <c r="AL1001" s="1333"/>
      <c r="AM1001" s="1333"/>
      <c r="AN1001" s="1333"/>
      <c r="AO1001" s="1333"/>
      <c r="AP1001" s="1333"/>
      <c r="AQ1001" s="1334"/>
      <c r="AR1001" s="68"/>
      <c r="AS1001" s="68"/>
      <c r="AT1001" s="68"/>
      <c r="AU1001" s="68"/>
      <c r="AV1001" s="68"/>
      <c r="AW1001" s="68"/>
      <c r="AX1001" s="68"/>
      <c r="AY1001" s="68"/>
      <c r="AZ1001" s="34"/>
      <c r="BA1001" s="34"/>
      <c r="BB1001" s="34"/>
      <c r="BC1001" s="34"/>
    </row>
    <row r="1002" spans="1:55" ht="13.05" customHeight="1">
      <c r="A1002" s="14"/>
      <c r="B1002" s="257"/>
      <c r="C1002" s="82"/>
      <c r="D1002" s="1428" t="s">
        <v>1284</v>
      </c>
      <c r="E1002" s="1429"/>
      <c r="F1002" s="1429"/>
      <c r="G1002" s="1429"/>
      <c r="H1002" s="1429"/>
      <c r="I1002" s="1429"/>
      <c r="J1002" s="1429"/>
      <c r="K1002" s="1429"/>
      <c r="L1002" s="1429"/>
      <c r="M1002" s="1429"/>
      <c r="N1002" s="1429"/>
      <c r="O1002" s="1429"/>
      <c r="P1002" s="1429"/>
      <c r="Q1002" s="1429"/>
      <c r="R1002" s="1429"/>
      <c r="S1002" s="1429"/>
      <c r="T1002" s="1429"/>
      <c r="U1002" s="1429"/>
      <c r="V1002" s="1429"/>
      <c r="W1002" s="1429"/>
      <c r="X1002" s="1429"/>
      <c r="Y1002" s="1429"/>
      <c r="Z1002" s="1429"/>
      <c r="AA1002" s="1429"/>
      <c r="AB1002" s="1429"/>
      <c r="AC1002" s="1429"/>
      <c r="AD1002" s="1429"/>
      <c r="AE1002" s="1430"/>
      <c r="AF1002" s="73"/>
      <c r="AG1002" s="14"/>
      <c r="AH1002" s="14"/>
      <c r="AI1002" s="83"/>
      <c r="AJ1002" s="1335"/>
      <c r="AK1002" s="1336"/>
      <c r="AL1002" s="1336"/>
      <c r="AM1002" s="1336"/>
      <c r="AN1002" s="1336"/>
      <c r="AO1002" s="1336"/>
      <c r="AP1002" s="1336"/>
      <c r="AQ1002" s="1337"/>
      <c r="AR1002" s="68"/>
      <c r="AS1002" s="68"/>
      <c r="AT1002" s="68"/>
      <c r="AU1002" s="68"/>
      <c r="AV1002" s="68"/>
      <c r="AW1002" s="68"/>
      <c r="AX1002" s="68"/>
      <c r="AY1002" s="34"/>
      <c r="AZ1002" s="34"/>
      <c r="BB1002" s="34"/>
    </row>
    <row r="1003" spans="1:55" ht="13.05" customHeight="1">
      <c r="A1003" s="14"/>
      <c r="B1003" s="257"/>
      <c r="C1003" s="82"/>
      <c r="D1003" s="1428"/>
      <c r="E1003" s="1429"/>
      <c r="F1003" s="1429"/>
      <c r="G1003" s="1429"/>
      <c r="H1003" s="1429"/>
      <c r="I1003" s="1429"/>
      <c r="J1003" s="1429"/>
      <c r="K1003" s="1429"/>
      <c r="L1003" s="1429"/>
      <c r="M1003" s="1429"/>
      <c r="N1003" s="1429"/>
      <c r="O1003" s="1429"/>
      <c r="P1003" s="1429"/>
      <c r="Q1003" s="1429"/>
      <c r="R1003" s="1429"/>
      <c r="S1003" s="1429"/>
      <c r="T1003" s="1429"/>
      <c r="U1003" s="1429"/>
      <c r="V1003" s="1429"/>
      <c r="W1003" s="1429"/>
      <c r="X1003" s="1429"/>
      <c r="Y1003" s="1429"/>
      <c r="Z1003" s="1429"/>
      <c r="AA1003" s="1429"/>
      <c r="AB1003" s="1429"/>
      <c r="AC1003" s="1429"/>
      <c r="AD1003" s="1429"/>
      <c r="AE1003" s="1430"/>
      <c r="AF1003" s="73"/>
      <c r="AG1003" s="14"/>
      <c r="AH1003" s="14"/>
      <c r="AI1003" s="83"/>
      <c r="AJ1003" s="1335"/>
      <c r="AK1003" s="1336"/>
      <c r="AL1003" s="1336"/>
      <c r="AM1003" s="1336"/>
      <c r="AN1003" s="1336"/>
      <c r="AO1003" s="1336"/>
      <c r="AP1003" s="1336"/>
      <c r="AQ1003" s="1337"/>
      <c r="AR1003" s="68"/>
      <c r="AS1003" s="68"/>
      <c r="AT1003" s="68"/>
      <c r="AU1003" s="68"/>
      <c r="AV1003" s="68"/>
      <c r="AW1003" s="68"/>
      <c r="AX1003" s="68"/>
      <c r="AY1003" s="914">
        <f>G753+O797</f>
        <v>45</v>
      </c>
      <c r="AZ1003" s="34"/>
      <c r="BB1003" s="34"/>
    </row>
    <row r="1004" spans="1:55" ht="13.05" customHeight="1">
      <c r="A1004" s="14"/>
      <c r="B1004" s="257"/>
      <c r="C1004" s="82"/>
      <c r="D1004" s="1428"/>
      <c r="E1004" s="1429"/>
      <c r="F1004" s="1429"/>
      <c r="G1004" s="1429"/>
      <c r="H1004" s="1429"/>
      <c r="I1004" s="1429"/>
      <c r="J1004" s="1429"/>
      <c r="K1004" s="1429"/>
      <c r="L1004" s="1429"/>
      <c r="M1004" s="1429"/>
      <c r="N1004" s="1429"/>
      <c r="O1004" s="1429"/>
      <c r="P1004" s="1429"/>
      <c r="Q1004" s="1429"/>
      <c r="R1004" s="1429"/>
      <c r="S1004" s="1429"/>
      <c r="T1004" s="1429"/>
      <c r="U1004" s="1429"/>
      <c r="V1004" s="1429"/>
      <c r="W1004" s="1429"/>
      <c r="X1004" s="1429"/>
      <c r="Y1004" s="1429"/>
      <c r="Z1004" s="1429"/>
      <c r="AA1004" s="1429"/>
      <c r="AB1004" s="1429"/>
      <c r="AC1004" s="1429"/>
      <c r="AD1004" s="1429"/>
      <c r="AE1004" s="1430"/>
      <c r="AF1004" s="73"/>
      <c r="AG1004" s="14"/>
      <c r="AH1004" s="14"/>
      <c r="AI1004" s="83"/>
      <c r="AJ1004" s="1335"/>
      <c r="AK1004" s="1336"/>
      <c r="AL1004" s="1336"/>
      <c r="AM1004" s="1336"/>
      <c r="AN1004" s="1336"/>
      <c r="AO1004" s="1336"/>
      <c r="AP1004" s="1336"/>
      <c r="AQ1004" s="1337"/>
      <c r="AR1004" s="68"/>
      <c r="AS1004" s="68"/>
      <c r="AT1004" s="68"/>
      <c r="AU1004" s="68"/>
      <c r="AV1004" s="68"/>
      <c r="AW1004" s="68"/>
      <c r="AX1004" s="68"/>
      <c r="AY1004" s="14"/>
      <c r="AZ1004" s="34"/>
      <c r="BB1004" s="34"/>
    </row>
    <row r="1005" spans="1:55" ht="13.05" customHeight="1">
      <c r="A1005" s="14"/>
      <c r="B1005" s="257"/>
      <c r="C1005" s="82"/>
      <c r="D1005" s="1428"/>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73"/>
      <c r="AG1005" s="14"/>
      <c r="AH1005" s="14"/>
      <c r="AI1005" s="83"/>
      <c r="AJ1005" s="1335"/>
      <c r="AK1005" s="1336"/>
      <c r="AL1005" s="1336"/>
      <c r="AM1005" s="1336"/>
      <c r="AN1005" s="1336"/>
      <c r="AO1005" s="1336"/>
      <c r="AP1005" s="1336"/>
      <c r="AQ1005" s="1337"/>
      <c r="AR1005" s="68"/>
      <c r="AS1005" s="68"/>
      <c r="AT1005" s="68"/>
      <c r="AU1005" s="68"/>
      <c r="AV1005" s="68"/>
      <c r="AW1005" s="68"/>
      <c r="AX1005" s="68"/>
      <c r="AY1005" s="913">
        <f>ROUNDDOWN(X1048/I1048,2)</f>
        <v>0.62</v>
      </c>
      <c r="AZ1005" s="34"/>
      <c r="BB1005" s="34"/>
    </row>
    <row r="1006" spans="1:55" ht="13.05" customHeight="1">
      <c r="A1006" s="14"/>
      <c r="B1006" s="75"/>
      <c r="C1006" s="76"/>
      <c r="D1006" s="1431"/>
      <c r="E1006" s="1432"/>
      <c r="F1006" s="1432"/>
      <c r="G1006" s="1432"/>
      <c r="H1006" s="1432"/>
      <c r="I1006" s="1432"/>
      <c r="J1006" s="1432"/>
      <c r="K1006" s="1432"/>
      <c r="L1006" s="1432"/>
      <c r="M1006" s="1432"/>
      <c r="N1006" s="1432"/>
      <c r="O1006" s="1432"/>
      <c r="P1006" s="1432"/>
      <c r="Q1006" s="1432"/>
      <c r="R1006" s="1432"/>
      <c r="S1006" s="1432"/>
      <c r="T1006" s="1432"/>
      <c r="U1006" s="1432"/>
      <c r="V1006" s="1432"/>
      <c r="W1006" s="1432"/>
      <c r="X1006" s="1432"/>
      <c r="Y1006" s="1432"/>
      <c r="Z1006" s="1432"/>
      <c r="AA1006" s="1432"/>
      <c r="AB1006" s="1432"/>
      <c r="AC1006" s="1432"/>
      <c r="AD1006" s="1432"/>
      <c r="AE1006" s="1433"/>
      <c r="AF1006" s="77"/>
      <c r="AG1006" s="7"/>
      <c r="AH1006" s="7"/>
      <c r="AI1006" s="78"/>
      <c r="AJ1006" s="1338"/>
      <c r="AK1006" s="1339"/>
      <c r="AL1006" s="1339"/>
      <c r="AM1006" s="1339"/>
      <c r="AN1006" s="1339"/>
      <c r="AO1006" s="1339"/>
      <c r="AP1006" s="1339"/>
      <c r="AQ1006" s="1340"/>
      <c r="AR1006" s="68"/>
      <c r="AS1006" s="68"/>
      <c r="AT1006" s="68"/>
      <c r="AU1006" s="68"/>
      <c r="AV1006" s="68"/>
      <c r="AW1006" s="68"/>
      <c r="AX1006" s="68"/>
      <c r="AY1006" s="913">
        <f>ROUNDDOWN(X1052/I1052,2)</f>
        <v>0.13</v>
      </c>
      <c r="AZ1006" s="34"/>
      <c r="BB1006" s="34"/>
    </row>
    <row r="1007" spans="1:55" ht="13.05" customHeight="1">
      <c r="A1007" s="14"/>
      <c r="B1007" s="255"/>
      <c r="C1007" s="80" t="s">
        <v>672</v>
      </c>
      <c r="D1007" s="1350" t="s">
        <v>1683</v>
      </c>
      <c r="E1007" s="1351"/>
      <c r="F1007" s="1351"/>
      <c r="G1007" s="1351"/>
      <c r="H1007" s="1351"/>
      <c r="I1007" s="1351"/>
      <c r="J1007" s="1351"/>
      <c r="K1007" s="1351"/>
      <c r="L1007" s="1351"/>
      <c r="M1007" s="1351"/>
      <c r="N1007" s="1351"/>
      <c r="O1007" s="1351"/>
      <c r="P1007" s="1351"/>
      <c r="Q1007" s="1351"/>
      <c r="R1007" s="1351"/>
      <c r="S1007" s="1351"/>
      <c r="T1007" s="1351"/>
      <c r="U1007" s="1351"/>
      <c r="V1007" s="1351"/>
      <c r="W1007" s="1351"/>
      <c r="X1007" s="1351"/>
      <c r="Y1007" s="1351"/>
      <c r="Z1007" s="1351"/>
      <c r="AA1007" s="1351"/>
      <c r="AB1007" s="1351"/>
      <c r="AC1007" s="1351"/>
      <c r="AD1007" s="1351"/>
      <c r="AE1007" s="1352"/>
      <c r="AF1007" s="86"/>
      <c r="AG1007" s="1458" t="s">
        <v>669</v>
      </c>
      <c r="AH1007" s="1459"/>
      <c r="AI1007" s="87"/>
      <c r="AJ1007" s="1332">
        <f>ROUND(IF(AG1007="yes",AJ992*0.1,0),0)</f>
        <v>0</v>
      </c>
      <c r="AK1007" s="1333"/>
      <c r="AL1007" s="1333"/>
      <c r="AM1007" s="1333"/>
      <c r="AN1007" s="1333"/>
      <c r="AO1007" s="1333"/>
      <c r="AP1007" s="1333"/>
      <c r="AQ1007" s="1334"/>
      <c r="AR1007" s="68"/>
      <c r="AS1007" s="68"/>
      <c r="AT1007" s="68"/>
      <c r="AU1007" s="68"/>
      <c r="AV1007" s="68"/>
      <c r="AW1007" s="68"/>
      <c r="AX1007" s="68"/>
      <c r="BB1007" s="34"/>
    </row>
    <row r="1008" spans="1:55" ht="13.05" customHeight="1">
      <c r="A1008" s="14"/>
      <c r="B1008" s="73"/>
      <c r="C1008" s="74"/>
      <c r="D1008" s="1435" t="s">
        <v>1285</v>
      </c>
      <c r="E1008" s="1436"/>
      <c r="F1008" s="1436"/>
      <c r="G1008" s="1436"/>
      <c r="H1008" s="1436"/>
      <c r="I1008" s="1436"/>
      <c r="J1008" s="1436"/>
      <c r="K1008" s="1436"/>
      <c r="L1008" s="1436"/>
      <c r="M1008" s="1436"/>
      <c r="N1008" s="1436"/>
      <c r="O1008" s="1436"/>
      <c r="P1008" s="1436"/>
      <c r="Q1008" s="1436"/>
      <c r="R1008" s="1436"/>
      <c r="S1008" s="1436"/>
      <c r="T1008" s="1436"/>
      <c r="U1008" s="1436"/>
      <c r="V1008" s="1436"/>
      <c r="W1008" s="1436"/>
      <c r="X1008" s="1436"/>
      <c r="Y1008" s="1436"/>
      <c r="Z1008" s="1436"/>
      <c r="AA1008" s="1436"/>
      <c r="AB1008" s="1436"/>
      <c r="AC1008" s="1436"/>
      <c r="AD1008" s="1436"/>
      <c r="AE1008" s="1437"/>
      <c r="AF1008" s="73"/>
      <c r="AI1008" s="83"/>
      <c r="AJ1008" s="1335"/>
      <c r="AK1008" s="1336"/>
      <c r="AL1008" s="1336"/>
      <c r="AM1008" s="1336"/>
      <c r="AN1008" s="1336"/>
      <c r="AO1008" s="1336"/>
      <c r="AP1008" s="1336"/>
      <c r="AQ1008" s="1337"/>
      <c r="AR1008" s="68"/>
      <c r="AS1008" s="68"/>
      <c r="AT1008" s="68"/>
      <c r="AU1008" s="68"/>
      <c r="AV1008" s="68"/>
      <c r="AW1008" s="68"/>
      <c r="AX1008" s="68"/>
    </row>
    <row r="1009" spans="1:52" ht="13.05" customHeight="1">
      <c r="A1009" s="14"/>
      <c r="B1009" s="73"/>
      <c r="C1009" s="74"/>
      <c r="D1009" s="1435"/>
      <c r="E1009" s="1436"/>
      <c r="F1009" s="1436"/>
      <c r="G1009" s="1436"/>
      <c r="H1009" s="1436"/>
      <c r="I1009" s="1436"/>
      <c r="J1009" s="1436"/>
      <c r="K1009" s="1436"/>
      <c r="L1009" s="1436"/>
      <c r="M1009" s="1436"/>
      <c r="N1009" s="1436"/>
      <c r="O1009" s="1436"/>
      <c r="P1009" s="1436"/>
      <c r="Q1009" s="1436"/>
      <c r="R1009" s="1436"/>
      <c r="S1009" s="1436"/>
      <c r="T1009" s="1436"/>
      <c r="U1009" s="1436"/>
      <c r="V1009" s="1436"/>
      <c r="W1009" s="1436"/>
      <c r="X1009" s="1436"/>
      <c r="Y1009" s="1436"/>
      <c r="Z1009" s="1436"/>
      <c r="AA1009" s="1436"/>
      <c r="AB1009" s="1436"/>
      <c r="AC1009" s="1436"/>
      <c r="AD1009" s="1436"/>
      <c r="AE1009" s="1437"/>
      <c r="AF1009" s="73"/>
      <c r="AG1009" s="14"/>
      <c r="AH1009" s="14"/>
      <c r="AI1009" s="83"/>
      <c r="AJ1009" s="1335"/>
      <c r="AK1009" s="1336"/>
      <c r="AL1009" s="1336"/>
      <c r="AM1009" s="1336"/>
      <c r="AN1009" s="1336"/>
      <c r="AO1009" s="1336"/>
      <c r="AP1009" s="1336"/>
      <c r="AQ1009" s="1337"/>
      <c r="AR1009" s="68"/>
      <c r="AS1009" s="68"/>
      <c r="AT1009" s="68"/>
      <c r="AU1009" s="68"/>
      <c r="AV1009" s="68"/>
      <c r="AW1009" s="68"/>
      <c r="AX1009" s="68"/>
    </row>
    <row r="1010" spans="1:52" ht="13.05" customHeight="1">
      <c r="A1010" s="14"/>
      <c r="B1010" s="85"/>
      <c r="C1010" s="76"/>
      <c r="D1010" s="1449"/>
      <c r="E1010" s="1450"/>
      <c r="F1010" s="1450"/>
      <c r="G1010" s="1450"/>
      <c r="H1010" s="1450"/>
      <c r="I1010" s="1450"/>
      <c r="J1010" s="1450"/>
      <c r="K1010" s="1450"/>
      <c r="L1010" s="1450"/>
      <c r="M1010" s="1450"/>
      <c r="N1010" s="1450"/>
      <c r="O1010" s="1450"/>
      <c r="P1010" s="1450"/>
      <c r="Q1010" s="1450"/>
      <c r="R1010" s="1450"/>
      <c r="S1010" s="1450"/>
      <c r="T1010" s="1450"/>
      <c r="U1010" s="1450"/>
      <c r="V1010" s="1450"/>
      <c r="W1010" s="1450"/>
      <c r="X1010" s="1450"/>
      <c r="Y1010" s="1450"/>
      <c r="Z1010" s="1450"/>
      <c r="AA1010" s="1450"/>
      <c r="AB1010" s="1450"/>
      <c r="AC1010" s="1450"/>
      <c r="AD1010" s="1450"/>
      <c r="AE1010" s="1451"/>
      <c r="AF1010" s="77"/>
      <c r="AG1010" s="7"/>
      <c r="AH1010" s="7"/>
      <c r="AI1010" s="78"/>
      <c r="AJ1010" s="1338"/>
      <c r="AK1010" s="1339"/>
      <c r="AL1010" s="1339"/>
      <c r="AM1010" s="1339"/>
      <c r="AN1010" s="1339"/>
      <c r="AO1010" s="1339"/>
      <c r="AP1010" s="1339"/>
      <c r="AQ1010" s="1340"/>
      <c r="AR1010" s="68"/>
      <c r="AS1010" s="68"/>
      <c r="AT1010" s="68"/>
      <c r="AU1010" s="68"/>
      <c r="AV1010" s="68"/>
      <c r="AW1010" s="68"/>
      <c r="AX1010" s="68"/>
    </row>
    <row r="1011" spans="1:52" ht="13.05" customHeight="1">
      <c r="A1011" s="14"/>
      <c r="B1011" s="79"/>
      <c r="C1011" s="80" t="s">
        <v>212</v>
      </c>
      <c r="D1011" s="1350" t="s">
        <v>1287</v>
      </c>
      <c r="E1011" s="1351"/>
      <c r="F1011" s="1351"/>
      <c r="G1011" s="1351"/>
      <c r="H1011" s="1351"/>
      <c r="I1011" s="1351"/>
      <c r="J1011" s="1351"/>
      <c r="K1011" s="1351"/>
      <c r="L1011" s="1351"/>
      <c r="M1011" s="1351"/>
      <c r="N1011" s="1351"/>
      <c r="O1011" s="1351"/>
      <c r="P1011" s="1351"/>
      <c r="Q1011" s="1351"/>
      <c r="R1011" s="1351"/>
      <c r="S1011" s="1351"/>
      <c r="T1011" s="1351"/>
      <c r="U1011" s="1351"/>
      <c r="V1011" s="1351"/>
      <c r="W1011" s="1351"/>
      <c r="X1011" s="1351"/>
      <c r="Y1011" s="1351"/>
      <c r="Z1011" s="1351"/>
      <c r="AA1011" s="1351"/>
      <c r="AB1011" s="1351"/>
      <c r="AC1011" s="1351"/>
      <c r="AD1011" s="1351"/>
      <c r="AE1011" s="1352"/>
      <c r="AF1011" s="79"/>
      <c r="AG1011" s="1458" t="s">
        <v>669</v>
      </c>
      <c r="AH1011" s="1459"/>
      <c r="AI1011" s="87"/>
      <c r="AJ1011" s="1332">
        <f>ROUND(IF(AG1011="yes",AJ992*0.02,0),0)</f>
        <v>0</v>
      </c>
      <c r="AK1011" s="1333"/>
      <c r="AL1011" s="1333"/>
      <c r="AM1011" s="1333"/>
      <c r="AN1011" s="1333"/>
      <c r="AO1011" s="1333"/>
      <c r="AP1011" s="1333"/>
      <c r="AQ1011" s="1334"/>
      <c r="AR1011" s="68"/>
      <c r="AS1011" s="68"/>
      <c r="AT1011" s="68"/>
      <c r="AU1011" s="68"/>
      <c r="AV1011" s="68"/>
      <c r="AW1011" s="68"/>
      <c r="AX1011" s="68"/>
    </row>
    <row r="1012" spans="1:52" ht="14.25" customHeight="1">
      <c r="A1012" s="14"/>
      <c r="B1012" s="73"/>
      <c r="C1012" s="74"/>
      <c r="D1012" s="1449" t="s">
        <v>1288</v>
      </c>
      <c r="E1012" s="1450"/>
      <c r="F1012" s="1450"/>
      <c r="G1012" s="1450"/>
      <c r="H1012" s="1450"/>
      <c r="I1012" s="1450"/>
      <c r="J1012" s="1450"/>
      <c r="K1012" s="1450"/>
      <c r="L1012" s="1450"/>
      <c r="M1012" s="1450"/>
      <c r="N1012" s="1450"/>
      <c r="O1012" s="1450"/>
      <c r="P1012" s="1450"/>
      <c r="Q1012" s="1450"/>
      <c r="R1012" s="1450"/>
      <c r="S1012" s="1450"/>
      <c r="T1012" s="1450"/>
      <c r="U1012" s="1450"/>
      <c r="V1012" s="1450"/>
      <c r="W1012" s="1450"/>
      <c r="X1012" s="1450"/>
      <c r="Y1012" s="1450"/>
      <c r="Z1012" s="1450"/>
      <c r="AA1012" s="1450"/>
      <c r="AB1012" s="1450"/>
      <c r="AC1012" s="1450"/>
      <c r="AD1012" s="1450"/>
      <c r="AE1012" s="1451"/>
      <c r="AF1012" s="77"/>
      <c r="AG1012" s="7"/>
      <c r="AH1012" s="7"/>
      <c r="AI1012" s="78"/>
      <c r="AJ1012" s="1338"/>
      <c r="AK1012" s="1339"/>
      <c r="AL1012" s="1339"/>
      <c r="AM1012" s="1339"/>
      <c r="AN1012" s="1339"/>
      <c r="AO1012" s="1339"/>
      <c r="AP1012" s="1339"/>
      <c r="AQ1012" s="1340"/>
      <c r="AR1012" s="68"/>
      <c r="AS1012" s="68"/>
      <c r="AT1012" s="68"/>
      <c r="AU1012" s="68"/>
      <c r="AV1012" s="68"/>
      <c r="AW1012" s="68"/>
      <c r="AX1012" s="3" t="s">
        <v>1841</v>
      </c>
      <c r="AZ1012" s="3" t="s">
        <v>2606</v>
      </c>
    </row>
    <row r="1013" spans="1:52" ht="13.05" customHeight="1">
      <c r="A1013" s="14"/>
      <c r="B1013" s="79"/>
      <c r="C1013" s="80" t="s">
        <v>215</v>
      </c>
      <c r="D1013" s="1350" t="s">
        <v>1289</v>
      </c>
      <c r="E1013" s="1351"/>
      <c r="F1013" s="1351"/>
      <c r="G1013" s="1351"/>
      <c r="H1013" s="1351"/>
      <c r="I1013" s="1351"/>
      <c r="J1013" s="1351"/>
      <c r="K1013" s="1351"/>
      <c r="L1013" s="1351"/>
      <c r="M1013" s="1351"/>
      <c r="N1013" s="1351"/>
      <c r="O1013" s="1351"/>
      <c r="P1013" s="1351"/>
      <c r="Q1013" s="1351"/>
      <c r="R1013" s="1351"/>
      <c r="S1013" s="1351"/>
      <c r="T1013" s="1351"/>
      <c r="U1013" s="1351"/>
      <c r="V1013" s="1351"/>
      <c r="W1013" s="1351"/>
      <c r="X1013" s="1351"/>
      <c r="Y1013" s="1351"/>
      <c r="Z1013" s="1351"/>
      <c r="AA1013" s="1351"/>
      <c r="AB1013" s="1351"/>
      <c r="AC1013" s="1351"/>
      <c r="AD1013" s="1351"/>
      <c r="AE1013" s="1352"/>
      <c r="AF1013" s="79"/>
      <c r="AG1013" s="1458" t="s">
        <v>669</v>
      </c>
      <c r="AH1013" s="1459"/>
      <c r="AI1013" s="79"/>
      <c r="AJ1013" s="1332">
        <f>ROUND(IF(AG1013="yes",AJ992*0.02,0),0)</f>
        <v>0</v>
      </c>
      <c r="AK1013" s="1333"/>
      <c r="AL1013" s="1333"/>
      <c r="AM1013" s="1333"/>
      <c r="AN1013" s="1333"/>
      <c r="AO1013" s="1333"/>
      <c r="AP1013" s="1333"/>
      <c r="AQ1013" s="1334"/>
      <c r="AR1013" s="68"/>
      <c r="AS1013" s="68"/>
      <c r="AT1013" s="68"/>
      <c r="AU1013" s="68"/>
      <c r="AV1013" s="68"/>
      <c r="AW1013" s="68"/>
      <c r="AX1013" s="3">
        <v>1</v>
      </c>
      <c r="AY1013" s="200">
        <f>IF((_xlfn.XLOOKUP(AX1013,$C$1065:$C$1103,$A$1065:$A$1103,"",0,1))="Yes",AZ1013,0)</f>
        <v>0.2</v>
      </c>
      <c r="AZ1013" s="1255">
        <v>0.2</v>
      </c>
    </row>
    <row r="1014" spans="1:52" ht="13.05" customHeight="1">
      <c r="A1014" s="14"/>
      <c r="B1014" s="73"/>
      <c r="C1014" s="74"/>
      <c r="D1014" s="1435" t="s">
        <v>1290</v>
      </c>
      <c r="E1014" s="1436"/>
      <c r="F1014" s="1436"/>
      <c r="G1014" s="1436"/>
      <c r="H1014" s="1436"/>
      <c r="I1014" s="1436"/>
      <c r="J1014" s="1436"/>
      <c r="K1014" s="1436"/>
      <c r="L1014" s="1436"/>
      <c r="M1014" s="1436"/>
      <c r="N1014" s="1436"/>
      <c r="O1014" s="1436"/>
      <c r="P1014" s="1436"/>
      <c r="Q1014" s="1436"/>
      <c r="R1014" s="1436"/>
      <c r="S1014" s="1436"/>
      <c r="T1014" s="1436"/>
      <c r="U1014" s="1436"/>
      <c r="V1014" s="1436"/>
      <c r="W1014" s="1436"/>
      <c r="X1014" s="1436"/>
      <c r="Y1014" s="1436"/>
      <c r="Z1014" s="1436"/>
      <c r="AA1014" s="1436"/>
      <c r="AB1014" s="1436"/>
      <c r="AC1014" s="1436"/>
      <c r="AD1014" s="1436"/>
      <c r="AE1014" s="1437"/>
      <c r="AF1014" s="1376" t="str">
        <f>IF(AND(AG1013="yes",T212&lt;&gt;1),"The project may not be eligible for this boost","")</f>
        <v/>
      </c>
      <c r="AG1014" s="1377"/>
      <c r="AH1014" s="1377"/>
      <c r="AI1014" s="1378"/>
      <c r="AJ1014" s="1335"/>
      <c r="AK1014" s="1336"/>
      <c r="AL1014" s="1336"/>
      <c r="AM1014" s="1336"/>
      <c r="AN1014" s="1336"/>
      <c r="AO1014" s="1336"/>
      <c r="AP1014" s="1336"/>
      <c r="AQ1014" s="1337"/>
      <c r="AR1014" s="68"/>
      <c r="AS1014" s="68"/>
      <c r="AT1014" s="68"/>
      <c r="AU1014" s="68"/>
      <c r="AV1014" s="68"/>
      <c r="AW1014" s="68"/>
      <c r="AX1014" s="3">
        <v>2</v>
      </c>
      <c r="AY1014" s="200">
        <f t="shared" ref="AY1014:AY1023" si="54">IF((_xlfn.XLOOKUP(AX1014,$C$1065:$C$1103,$A$1065:$A$1103,"",0,1))="Yes",AZ1014,0)</f>
        <v>0</v>
      </c>
      <c r="AZ1014" s="1255">
        <v>0.15</v>
      </c>
    </row>
    <row r="1015" spans="1:52" ht="13.05" customHeight="1">
      <c r="A1015" s="14"/>
      <c r="B1015" s="75"/>
      <c r="C1015" s="76"/>
      <c r="D1015" s="1449"/>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1379"/>
      <c r="AG1015" s="1380"/>
      <c r="AH1015" s="1380"/>
      <c r="AI1015" s="1381"/>
      <c r="AJ1015" s="1338"/>
      <c r="AK1015" s="1339"/>
      <c r="AL1015" s="1339"/>
      <c r="AM1015" s="1339"/>
      <c r="AN1015" s="1339"/>
      <c r="AO1015" s="1339"/>
      <c r="AP1015" s="1339"/>
      <c r="AQ1015" s="1340"/>
      <c r="AR1015" s="68"/>
      <c r="AS1015" s="68"/>
      <c r="AT1015" s="68"/>
      <c r="AU1015" s="68"/>
      <c r="AV1015" s="68"/>
      <c r="AW1015" s="68"/>
      <c r="AX1015" s="3">
        <v>3</v>
      </c>
      <c r="AY1015" s="200">
        <f t="shared" si="54"/>
        <v>0</v>
      </c>
      <c r="AZ1015" s="1255">
        <v>0.05</v>
      </c>
    </row>
    <row r="1016" spans="1:52" ht="13.05" customHeight="1">
      <c r="A1016" s="14"/>
      <c r="B1016" s="79"/>
      <c r="C1016" s="80" t="s">
        <v>218</v>
      </c>
      <c r="D1016" s="1460" t="s">
        <v>2235</v>
      </c>
      <c r="E1016" s="1461"/>
      <c r="F1016" s="1461"/>
      <c r="G1016" s="1461"/>
      <c r="H1016" s="1461"/>
      <c r="I1016" s="1461"/>
      <c r="J1016" s="1461"/>
      <c r="K1016" s="1461"/>
      <c r="L1016" s="1461"/>
      <c r="M1016" s="1461"/>
      <c r="N1016" s="1461"/>
      <c r="O1016" s="1461"/>
      <c r="P1016" s="1461"/>
      <c r="Q1016" s="1461"/>
      <c r="R1016" s="1461"/>
      <c r="S1016" s="1461"/>
      <c r="T1016" s="1461"/>
      <c r="U1016" s="1461"/>
      <c r="V1016" s="1461"/>
      <c r="W1016" s="1461"/>
      <c r="X1016" s="1461"/>
      <c r="Y1016" s="1461"/>
      <c r="Z1016" s="1461"/>
      <c r="AA1016" s="1461"/>
      <c r="AB1016" s="1461"/>
      <c r="AC1016" s="1461"/>
      <c r="AD1016" s="1461"/>
      <c r="AE1016" s="1462"/>
      <c r="AF1016" s="79"/>
      <c r="AG1016" s="1458" t="s">
        <v>669</v>
      </c>
      <c r="AH1016" s="1459"/>
      <c r="AI1016" s="87"/>
      <c r="AJ1016" s="1332">
        <f>IF(AG1016="yes",AJ992*AY1024,0)</f>
        <v>0</v>
      </c>
      <c r="AK1016" s="1333"/>
      <c r="AL1016" s="1333"/>
      <c r="AM1016" s="1333"/>
      <c r="AN1016" s="1333"/>
      <c r="AO1016" s="1333"/>
      <c r="AP1016" s="1333"/>
      <c r="AQ1016" s="1334"/>
      <c r="AR1016" s="68"/>
      <c r="AS1016" s="68"/>
      <c r="AT1016" s="68"/>
      <c r="AU1016" s="68"/>
      <c r="AV1016" s="68"/>
      <c r="AW1016" s="68"/>
      <c r="AX1016" s="3">
        <v>4</v>
      </c>
      <c r="AY1016" s="200">
        <f t="shared" si="54"/>
        <v>0</v>
      </c>
      <c r="AZ1016" s="1255">
        <v>0.02</v>
      </c>
    </row>
    <row r="1017" spans="1:52" ht="13.05" customHeight="1">
      <c r="A1017" s="14"/>
      <c r="B1017" s="73"/>
      <c r="C1017" s="74"/>
      <c r="D1017" s="1435" t="s">
        <v>1291</v>
      </c>
      <c r="E1017" s="1436"/>
      <c r="F1017" s="1436"/>
      <c r="G1017" s="1436"/>
      <c r="H1017" s="1436"/>
      <c r="I1017" s="1436"/>
      <c r="J1017" s="1436"/>
      <c r="K1017" s="1436"/>
      <c r="L1017" s="1436"/>
      <c r="M1017" s="1436"/>
      <c r="N1017" s="1436"/>
      <c r="O1017" s="1436"/>
      <c r="P1017" s="1436"/>
      <c r="Q1017" s="1436"/>
      <c r="R1017" s="1436"/>
      <c r="S1017" s="1436"/>
      <c r="T1017" s="1436"/>
      <c r="U1017" s="1436"/>
      <c r="V1017" s="1436"/>
      <c r="W1017" s="1436"/>
      <c r="X1017" s="1436"/>
      <c r="Y1017" s="1436"/>
      <c r="Z1017" s="1436"/>
      <c r="AA1017" s="1436"/>
      <c r="AB1017" s="1436"/>
      <c r="AC1017" s="1436"/>
      <c r="AD1017" s="1436"/>
      <c r="AE1017" s="1437"/>
      <c r="AF1017" s="1370" t="str">
        <f>IF(AND(AG1016="Yes",AY1024=0),AY1027,"")</f>
        <v/>
      </c>
      <c r="AG1017" s="1371"/>
      <c r="AH1017" s="1371"/>
      <c r="AI1017" s="1372"/>
      <c r="AJ1017" s="1335"/>
      <c r="AK1017" s="1336"/>
      <c r="AL1017" s="1336"/>
      <c r="AM1017" s="1336"/>
      <c r="AN1017" s="1336"/>
      <c r="AO1017" s="1336"/>
      <c r="AP1017" s="1336"/>
      <c r="AQ1017" s="1337"/>
      <c r="AR1017" s="68"/>
      <c r="AS1017" s="68"/>
      <c r="AT1017" s="68"/>
      <c r="AU1017" s="68"/>
      <c r="AV1017" s="68"/>
      <c r="AW1017" s="68"/>
      <c r="AX1017" s="3">
        <v>5</v>
      </c>
      <c r="AY1017" s="200">
        <f t="shared" si="54"/>
        <v>0</v>
      </c>
      <c r="AZ1017" s="1255">
        <v>0.04</v>
      </c>
    </row>
    <row r="1018" spans="1:52" ht="13.05" customHeight="1">
      <c r="A1018" s="14"/>
      <c r="B1018" s="73"/>
      <c r="C1018" s="74"/>
      <c r="D1018" s="1435"/>
      <c r="E1018" s="1436"/>
      <c r="F1018" s="1436"/>
      <c r="G1018" s="1436"/>
      <c r="H1018" s="1436"/>
      <c r="I1018" s="1436"/>
      <c r="J1018" s="1436"/>
      <c r="K1018" s="1436"/>
      <c r="L1018" s="1436"/>
      <c r="M1018" s="1436"/>
      <c r="N1018" s="1436"/>
      <c r="O1018" s="1436"/>
      <c r="P1018" s="1436"/>
      <c r="Q1018" s="1436"/>
      <c r="R1018" s="1436"/>
      <c r="S1018" s="1436"/>
      <c r="T1018" s="1436"/>
      <c r="U1018" s="1436"/>
      <c r="V1018" s="1436"/>
      <c r="W1018" s="1436"/>
      <c r="X1018" s="1436"/>
      <c r="Y1018" s="1436"/>
      <c r="Z1018" s="1436"/>
      <c r="AA1018" s="1436"/>
      <c r="AB1018" s="1436"/>
      <c r="AC1018" s="1436"/>
      <c r="AD1018" s="1436"/>
      <c r="AE1018" s="1437"/>
      <c r="AF1018" s="1370"/>
      <c r="AG1018" s="1371"/>
      <c r="AH1018" s="1371"/>
      <c r="AI1018" s="1372"/>
      <c r="AJ1018" s="1335"/>
      <c r="AK1018" s="1336"/>
      <c r="AL1018" s="1336"/>
      <c r="AM1018" s="1336"/>
      <c r="AN1018" s="1336"/>
      <c r="AO1018" s="1336"/>
      <c r="AP1018" s="1336"/>
      <c r="AQ1018" s="1337"/>
      <c r="AR1018" s="68"/>
      <c r="AS1018" s="68"/>
      <c r="AT1018" s="68"/>
      <c r="AU1018" s="68"/>
      <c r="AV1018" s="68"/>
      <c r="AW1018" s="68"/>
      <c r="AX1018" s="3">
        <v>6</v>
      </c>
      <c r="AY1018" s="200">
        <f t="shared" si="54"/>
        <v>0</v>
      </c>
      <c r="AZ1018" s="1255">
        <v>0.04</v>
      </c>
    </row>
    <row r="1019" spans="1:52" ht="13.05" customHeight="1">
      <c r="A1019" s="14"/>
      <c r="B1019" s="81"/>
      <c r="C1019" s="82"/>
      <c r="D1019" s="1449"/>
      <c r="E1019" s="1450"/>
      <c r="F1019" s="1450"/>
      <c r="G1019" s="1450"/>
      <c r="H1019" s="1450"/>
      <c r="I1019" s="1450"/>
      <c r="J1019" s="1450"/>
      <c r="K1019" s="1450"/>
      <c r="L1019" s="1450"/>
      <c r="M1019" s="1450"/>
      <c r="N1019" s="1450"/>
      <c r="O1019" s="1450"/>
      <c r="P1019" s="1450"/>
      <c r="Q1019" s="1450"/>
      <c r="R1019" s="1450"/>
      <c r="S1019" s="1450"/>
      <c r="T1019" s="1450"/>
      <c r="U1019" s="1450"/>
      <c r="V1019" s="1450"/>
      <c r="W1019" s="1450"/>
      <c r="X1019" s="1450"/>
      <c r="Y1019" s="1450"/>
      <c r="Z1019" s="1450"/>
      <c r="AA1019" s="1450"/>
      <c r="AB1019" s="1450"/>
      <c r="AC1019" s="1450"/>
      <c r="AD1019" s="1450"/>
      <c r="AE1019" s="1451"/>
      <c r="AF1019" s="1373"/>
      <c r="AG1019" s="1374"/>
      <c r="AH1019" s="1374"/>
      <c r="AI1019" s="1375"/>
      <c r="AJ1019" s="1338"/>
      <c r="AK1019" s="1339"/>
      <c r="AL1019" s="1339"/>
      <c r="AM1019" s="1339"/>
      <c r="AN1019" s="1339"/>
      <c r="AO1019" s="1339"/>
      <c r="AP1019" s="1339"/>
      <c r="AQ1019" s="1340"/>
      <c r="AR1019" s="68"/>
      <c r="AS1019" s="68"/>
      <c r="AT1019" s="68"/>
      <c r="AU1019" s="68"/>
      <c r="AV1019" s="68"/>
      <c r="AW1019" s="68"/>
      <c r="AX1019" s="3">
        <v>7</v>
      </c>
      <c r="AY1019" s="200">
        <f t="shared" si="54"/>
        <v>0</v>
      </c>
      <c r="AZ1019" s="1255">
        <v>0.01</v>
      </c>
    </row>
    <row r="1020" spans="1:52" ht="13.05" customHeight="1">
      <c r="A1020" s="14"/>
      <c r="B1020" s="79"/>
      <c r="C1020" s="80" t="s">
        <v>223</v>
      </c>
      <c r="D1020" s="1341" t="s">
        <v>1292</v>
      </c>
      <c r="E1020" s="1342"/>
      <c r="F1020" s="1342"/>
      <c r="G1020" s="1342"/>
      <c r="H1020" s="1342"/>
      <c r="I1020" s="1342"/>
      <c r="J1020" s="1342"/>
      <c r="K1020" s="1342"/>
      <c r="L1020" s="1342"/>
      <c r="M1020" s="1342"/>
      <c r="N1020" s="1342"/>
      <c r="O1020" s="1342"/>
      <c r="P1020" s="1342"/>
      <c r="Q1020" s="1342"/>
      <c r="R1020" s="1342"/>
      <c r="S1020" s="1342"/>
      <c r="T1020" s="1342"/>
      <c r="U1020" s="1342"/>
      <c r="V1020" s="1342"/>
      <c r="W1020" s="1342"/>
      <c r="X1020" s="1342"/>
      <c r="Y1020" s="1342"/>
      <c r="Z1020" s="1342"/>
      <c r="AA1020" s="1342"/>
      <c r="AB1020" s="1342"/>
      <c r="AC1020" s="1342"/>
      <c r="AD1020" s="1342"/>
      <c r="AE1020" s="1343"/>
      <c r="AF1020" s="79"/>
      <c r="AG1020" s="1458" t="s">
        <v>669</v>
      </c>
      <c r="AH1020" s="1459"/>
      <c r="AI1020" s="87"/>
      <c r="AJ1020" s="1332">
        <f>ROUND(IF(AND(AG1020="Yes",J1024&lt;&gt;"N/A",AF1023&lt;&gt;""),MIN(AF1023,(0.15*AJ992)),0),0)</f>
        <v>0</v>
      </c>
      <c r="AK1020" s="1333"/>
      <c r="AL1020" s="1333"/>
      <c r="AM1020" s="1333"/>
      <c r="AN1020" s="1333"/>
      <c r="AO1020" s="1333"/>
      <c r="AP1020" s="1333"/>
      <c r="AQ1020" s="1334"/>
      <c r="AR1020" s="68"/>
      <c r="AS1020" s="68"/>
      <c r="AT1020" s="68"/>
      <c r="AU1020" s="68"/>
      <c r="AV1020" s="68"/>
      <c r="AW1020" s="68"/>
      <c r="AX1020" s="3">
        <v>8</v>
      </c>
      <c r="AY1020" s="200">
        <f t="shared" si="54"/>
        <v>0</v>
      </c>
      <c r="AZ1020" s="1255">
        <v>0.01</v>
      </c>
    </row>
    <row r="1021" spans="1:52" ht="13.05" customHeight="1">
      <c r="A1021" s="14"/>
      <c r="B1021" s="81"/>
      <c r="C1021" s="84"/>
      <c r="D1021" s="1344"/>
      <c r="E1021" s="1345"/>
      <c r="F1021" s="1345"/>
      <c r="G1021" s="1345"/>
      <c r="H1021" s="1345"/>
      <c r="I1021" s="1345"/>
      <c r="J1021" s="1345"/>
      <c r="K1021" s="1345"/>
      <c r="L1021" s="1345"/>
      <c r="M1021" s="1345"/>
      <c r="N1021" s="1345"/>
      <c r="O1021" s="1345"/>
      <c r="P1021" s="1345"/>
      <c r="Q1021" s="1345"/>
      <c r="R1021" s="1345"/>
      <c r="S1021" s="1345"/>
      <c r="T1021" s="1345"/>
      <c r="U1021" s="1345"/>
      <c r="V1021" s="1345"/>
      <c r="W1021" s="1345"/>
      <c r="X1021" s="1345"/>
      <c r="Y1021" s="1345"/>
      <c r="Z1021" s="1345"/>
      <c r="AA1021" s="1345"/>
      <c r="AB1021" s="1345"/>
      <c r="AC1021" s="1345"/>
      <c r="AD1021" s="1345"/>
      <c r="AE1021" s="1346"/>
      <c r="AF1021" s="1552" t="str">
        <f>IF(AG1020="yes","Please Select Type and Enter Amount:","")</f>
        <v/>
      </c>
      <c r="AG1021" s="1553"/>
      <c r="AH1021" s="1553"/>
      <c r="AI1021" s="1554"/>
      <c r="AJ1021" s="1335"/>
      <c r="AK1021" s="1336"/>
      <c r="AL1021" s="1336"/>
      <c r="AM1021" s="1336"/>
      <c r="AN1021" s="1336"/>
      <c r="AO1021" s="1336"/>
      <c r="AP1021" s="1336"/>
      <c r="AQ1021" s="1337"/>
      <c r="AR1021" s="68"/>
      <c r="AS1021" s="68"/>
      <c r="AT1021" s="68"/>
      <c r="AU1021" s="68"/>
      <c r="AV1021" s="68"/>
      <c r="AW1021" s="68"/>
      <c r="AX1021" s="3">
        <v>9</v>
      </c>
      <c r="AY1021" s="200">
        <f t="shared" si="54"/>
        <v>0</v>
      </c>
      <c r="AZ1021" s="1255">
        <v>0.01</v>
      </c>
    </row>
    <row r="1022" spans="1:52" ht="13.05" customHeight="1">
      <c r="A1022" s="14"/>
      <c r="B1022" s="81"/>
      <c r="C1022" s="84"/>
      <c r="D1022" s="1435" t="s">
        <v>1293</v>
      </c>
      <c r="E1022" s="1436"/>
      <c r="F1022" s="1436"/>
      <c r="G1022" s="1436"/>
      <c r="H1022" s="1436"/>
      <c r="I1022" s="1436"/>
      <c r="J1022" s="1436"/>
      <c r="K1022" s="1436"/>
      <c r="L1022" s="1436"/>
      <c r="M1022" s="1436"/>
      <c r="N1022" s="1436"/>
      <c r="O1022" s="1436"/>
      <c r="P1022" s="1436"/>
      <c r="Q1022" s="1436"/>
      <c r="R1022" s="1436"/>
      <c r="S1022" s="1436"/>
      <c r="T1022" s="1436"/>
      <c r="U1022" s="1436"/>
      <c r="V1022" s="1436"/>
      <c r="W1022" s="1436"/>
      <c r="X1022" s="1436"/>
      <c r="Y1022" s="1436"/>
      <c r="Z1022" s="1436"/>
      <c r="AA1022" s="1436"/>
      <c r="AB1022" s="1436"/>
      <c r="AC1022" s="1436"/>
      <c r="AD1022" s="1436"/>
      <c r="AE1022" s="1437"/>
      <c r="AF1022" s="1552"/>
      <c r="AG1022" s="1553"/>
      <c r="AH1022" s="1553"/>
      <c r="AI1022" s="1554"/>
      <c r="AJ1022" s="1335"/>
      <c r="AK1022" s="1336"/>
      <c r="AL1022" s="1336"/>
      <c r="AM1022" s="1336"/>
      <c r="AN1022" s="1336"/>
      <c r="AO1022" s="1336"/>
      <c r="AP1022" s="1336"/>
      <c r="AQ1022" s="1337"/>
      <c r="AR1022" s="68"/>
      <c r="AS1022" s="68"/>
      <c r="AT1022" s="68"/>
      <c r="AU1022" s="68"/>
      <c r="AV1022" s="68"/>
      <c r="AW1022" s="68"/>
      <c r="AX1022" s="3">
        <v>10</v>
      </c>
      <c r="AY1022" s="200">
        <f t="shared" si="54"/>
        <v>0</v>
      </c>
      <c r="AZ1022" s="1255">
        <v>0.02</v>
      </c>
    </row>
    <row r="1023" spans="1:52" ht="13.05" customHeight="1">
      <c r="A1023" s="14"/>
      <c r="B1023" s="81"/>
      <c r="C1023" s="84"/>
      <c r="D1023" s="1435"/>
      <c r="E1023" s="1436"/>
      <c r="F1023" s="1436"/>
      <c r="G1023" s="1436"/>
      <c r="H1023" s="1436"/>
      <c r="I1023" s="1436"/>
      <c r="J1023" s="1436"/>
      <c r="K1023" s="1436"/>
      <c r="L1023" s="1436"/>
      <c r="M1023" s="1436"/>
      <c r="N1023" s="1436"/>
      <c r="O1023" s="1436"/>
      <c r="P1023" s="1436"/>
      <c r="Q1023" s="1436"/>
      <c r="R1023" s="1436"/>
      <c r="S1023" s="1436"/>
      <c r="T1023" s="1436"/>
      <c r="U1023" s="1436"/>
      <c r="V1023" s="1436"/>
      <c r="W1023" s="1436"/>
      <c r="X1023" s="1436"/>
      <c r="Y1023" s="1436"/>
      <c r="Z1023" s="1436"/>
      <c r="AA1023" s="1436"/>
      <c r="AB1023" s="1436"/>
      <c r="AC1023" s="1436"/>
      <c r="AD1023" s="1436"/>
      <c r="AE1023" s="1437"/>
      <c r="AF1023" s="1415"/>
      <c r="AG1023" s="1415"/>
      <c r="AH1023" s="1415"/>
      <c r="AI1023" s="1415"/>
      <c r="AJ1023" s="1335"/>
      <c r="AK1023" s="1336"/>
      <c r="AL1023" s="1336"/>
      <c r="AM1023" s="1336"/>
      <c r="AN1023" s="1336"/>
      <c r="AO1023" s="1336"/>
      <c r="AP1023" s="1336"/>
      <c r="AQ1023" s="1337"/>
      <c r="AR1023" s="68"/>
      <c r="AS1023" s="68"/>
      <c r="AT1023" s="68"/>
      <c r="AU1023" s="68"/>
      <c r="AV1023" s="68"/>
      <c r="AW1023" s="68"/>
      <c r="AX1023" s="3">
        <v>11</v>
      </c>
      <c r="AY1023" s="200">
        <f t="shared" si="54"/>
        <v>0</v>
      </c>
      <c r="AZ1023" s="1255">
        <v>0.02</v>
      </c>
    </row>
    <row r="1024" spans="1:52" ht="13.05" customHeight="1">
      <c r="A1024" s="14"/>
      <c r="B1024" s="81"/>
      <c r="C1024" s="84"/>
      <c r="D1024" s="526" t="s">
        <v>359</v>
      </c>
      <c r="E1024" s="90"/>
      <c r="F1024" s="90"/>
      <c r="G1024" s="104"/>
      <c r="H1024" s="104"/>
      <c r="I1024" s="49"/>
      <c r="J1024" s="1594" t="s">
        <v>591</v>
      </c>
      <c r="K1024" s="1595"/>
      <c r="L1024" s="1595"/>
      <c r="M1024" s="1595"/>
      <c r="N1024" s="1595"/>
      <c r="O1024" s="1595"/>
      <c r="P1024" s="1595"/>
      <c r="Q1024" s="1595"/>
      <c r="R1024" s="1595"/>
      <c r="S1024" s="1595"/>
      <c r="T1024" s="1595"/>
      <c r="U1024" s="1595"/>
      <c r="V1024" s="1595"/>
      <c r="W1024" s="1595"/>
      <c r="X1024" s="1595"/>
      <c r="Y1024" s="1595"/>
      <c r="Z1024" s="1595"/>
      <c r="AA1024" s="1595"/>
      <c r="AB1024" s="1595"/>
      <c r="AC1024" s="1595"/>
      <c r="AD1024" s="1595"/>
      <c r="AE1024" s="1596"/>
      <c r="AF1024" s="1415"/>
      <c r="AG1024" s="1415"/>
      <c r="AH1024" s="1415"/>
      <c r="AI1024" s="1415"/>
      <c r="AJ1024" s="1338"/>
      <c r="AK1024" s="1339"/>
      <c r="AL1024" s="1339"/>
      <c r="AM1024" s="1339"/>
      <c r="AN1024" s="1339"/>
      <c r="AO1024" s="1339"/>
      <c r="AP1024" s="1339"/>
      <c r="AQ1024" s="1340"/>
      <c r="AR1024" s="68"/>
      <c r="AS1024" s="68"/>
      <c r="AT1024" s="68"/>
      <c r="AU1024" s="68"/>
      <c r="AV1024" s="68"/>
      <c r="AW1024" s="68"/>
      <c r="AX1024" s="1032" t="s">
        <v>2605</v>
      </c>
      <c r="AY1024" s="201">
        <f>IF(SUM(AY1013:AY1023)&lt;=0.2,SUM(AY1013:AY1023),0.2)</f>
        <v>0.2</v>
      </c>
    </row>
    <row r="1025" spans="1:57" ht="13.05" customHeight="1">
      <c r="A1025" s="14"/>
      <c r="B1025" s="79"/>
      <c r="C1025" s="80" t="s">
        <v>229</v>
      </c>
      <c r="D1025" s="1350" t="s">
        <v>1294</v>
      </c>
      <c r="E1025" s="1351"/>
      <c r="F1025" s="1351"/>
      <c r="G1025" s="1351"/>
      <c r="H1025" s="1351"/>
      <c r="I1025" s="1351"/>
      <c r="J1025" s="1351"/>
      <c r="K1025" s="1351"/>
      <c r="L1025" s="1351"/>
      <c r="M1025" s="1351"/>
      <c r="N1025" s="1351"/>
      <c r="O1025" s="1351"/>
      <c r="P1025" s="1351"/>
      <c r="Q1025" s="1351"/>
      <c r="R1025" s="1351"/>
      <c r="S1025" s="1351"/>
      <c r="T1025" s="1351"/>
      <c r="U1025" s="1351"/>
      <c r="V1025" s="1351"/>
      <c r="W1025" s="1351"/>
      <c r="X1025" s="1351"/>
      <c r="Y1025" s="1351"/>
      <c r="Z1025" s="1351"/>
      <c r="AA1025" s="1351"/>
      <c r="AB1025" s="1351"/>
      <c r="AC1025" s="1351"/>
      <c r="AD1025" s="1351"/>
      <c r="AE1025" s="1352"/>
      <c r="AF1025" s="79"/>
      <c r="AG1025" s="1458" t="s">
        <v>545</v>
      </c>
      <c r="AH1025" s="1459"/>
      <c r="AI1025" s="87"/>
      <c r="AJ1025" s="1332">
        <f>ROUND(IF(AG1025="Yes",AF1027,0),0)</f>
        <v>1619851</v>
      </c>
      <c r="AK1025" s="1333"/>
      <c r="AL1025" s="1333"/>
      <c r="AM1025" s="1333"/>
      <c r="AN1025" s="1333"/>
      <c r="AO1025" s="1333"/>
      <c r="AP1025" s="1333"/>
      <c r="AQ1025" s="1334"/>
      <c r="AR1025" s="68"/>
      <c r="AS1025" s="68"/>
      <c r="AT1025" s="68"/>
      <c r="AU1025" s="68"/>
      <c r="AV1025" s="68"/>
      <c r="AW1025" s="68"/>
      <c r="AX1025" s="68"/>
      <c r="AY1025" s="68"/>
    </row>
    <row r="1026" spans="1:57" ht="13.05" customHeight="1">
      <c r="A1026" s="14"/>
      <c r="B1026" s="73"/>
      <c r="C1026" s="74"/>
      <c r="D1026" s="1435" t="s">
        <v>1690</v>
      </c>
      <c r="E1026" s="1436"/>
      <c r="F1026" s="1436"/>
      <c r="G1026" s="1436"/>
      <c r="H1026" s="1436"/>
      <c r="I1026" s="1436"/>
      <c r="J1026" s="1436"/>
      <c r="K1026" s="1436"/>
      <c r="L1026" s="1436"/>
      <c r="M1026" s="1436"/>
      <c r="N1026" s="1436"/>
      <c r="O1026" s="1436"/>
      <c r="P1026" s="1436"/>
      <c r="Q1026" s="1436"/>
      <c r="R1026" s="1436"/>
      <c r="S1026" s="1436"/>
      <c r="T1026" s="1436"/>
      <c r="U1026" s="1436"/>
      <c r="V1026" s="1436"/>
      <c r="W1026" s="1436"/>
      <c r="X1026" s="1436"/>
      <c r="Y1026" s="1436"/>
      <c r="Z1026" s="1436"/>
      <c r="AA1026" s="1436"/>
      <c r="AB1026" s="1436"/>
      <c r="AC1026" s="1436"/>
      <c r="AD1026" s="1436"/>
      <c r="AE1026" s="1437"/>
      <c r="AF1026" s="1353" t="str">
        <f>IF(AG1025="yes","Enter Amount:","")</f>
        <v>Enter Amount:</v>
      </c>
      <c r="AG1026" s="1354"/>
      <c r="AH1026" s="1354"/>
      <c r="AI1026" s="1355"/>
      <c r="AJ1026" s="1335"/>
      <c r="AK1026" s="1336"/>
      <c r="AL1026" s="1336"/>
      <c r="AM1026" s="1336"/>
      <c r="AN1026" s="1336"/>
      <c r="AO1026" s="1336"/>
      <c r="AP1026" s="1336"/>
      <c r="AQ1026" s="1337"/>
      <c r="AR1026" s="68"/>
      <c r="AS1026" s="68"/>
      <c r="AT1026" s="68"/>
      <c r="AU1026" s="68"/>
      <c r="AV1026" s="68"/>
      <c r="AW1026" s="68"/>
      <c r="AX1026" s="68"/>
      <c r="AY1026" s="68"/>
    </row>
    <row r="1027" spans="1:57" ht="13.05" customHeight="1">
      <c r="A1027" s="14"/>
      <c r="B1027" s="73"/>
      <c r="C1027" s="74"/>
      <c r="D1027" s="1435"/>
      <c r="E1027" s="1436"/>
      <c r="F1027" s="1436"/>
      <c r="G1027" s="1436"/>
      <c r="H1027" s="1436"/>
      <c r="I1027" s="1436"/>
      <c r="J1027" s="1436"/>
      <c r="K1027" s="1436"/>
      <c r="L1027" s="1436"/>
      <c r="M1027" s="1436"/>
      <c r="N1027" s="1436"/>
      <c r="O1027" s="1436"/>
      <c r="P1027" s="1436"/>
      <c r="Q1027" s="1436"/>
      <c r="R1027" s="1436"/>
      <c r="S1027" s="1436"/>
      <c r="T1027" s="1436"/>
      <c r="U1027" s="1436"/>
      <c r="V1027" s="1436"/>
      <c r="W1027" s="1436"/>
      <c r="X1027" s="1436"/>
      <c r="Y1027" s="1436"/>
      <c r="Z1027" s="1436"/>
      <c r="AA1027" s="1436"/>
      <c r="AB1027" s="1436"/>
      <c r="AC1027" s="1436"/>
      <c r="AD1027" s="1436"/>
      <c r="AE1027" s="1437"/>
      <c r="AF1027" s="1415">
        <v>1619851</v>
      </c>
      <c r="AG1027" s="1415"/>
      <c r="AH1027" s="1415"/>
      <c r="AI1027" s="1415"/>
      <c r="AJ1027" s="1335"/>
      <c r="AK1027" s="1336"/>
      <c r="AL1027" s="1336"/>
      <c r="AM1027" s="1336"/>
      <c r="AN1027" s="1336"/>
      <c r="AO1027" s="1336"/>
      <c r="AP1027" s="1336"/>
      <c r="AQ1027" s="1337"/>
      <c r="AR1027" s="68"/>
      <c r="AS1027" s="68"/>
      <c r="AT1027" s="68"/>
      <c r="AU1027" s="68"/>
      <c r="AV1027" s="68"/>
      <c r="AW1027" s="68"/>
      <c r="AX1027" s="68"/>
      <c r="AY1027" s="14" t="str">
        <f>"Select items beginning on row #"&amp;TEXT(ROW(A1061),"#")&amp;" to claim this boost"</f>
        <v>Select items beginning on row #1061 to claim this boost</v>
      </c>
    </row>
    <row r="1028" spans="1:57" ht="13.05" customHeight="1">
      <c r="A1028" s="14"/>
      <c r="B1028" s="85"/>
      <c r="C1028" s="84"/>
      <c r="D1028" s="1449"/>
      <c r="E1028" s="1450"/>
      <c r="F1028" s="1450"/>
      <c r="G1028" s="1450"/>
      <c r="H1028" s="1450"/>
      <c r="I1028" s="1450"/>
      <c r="J1028" s="1450"/>
      <c r="K1028" s="1450"/>
      <c r="L1028" s="1450"/>
      <c r="M1028" s="1450"/>
      <c r="N1028" s="1450"/>
      <c r="O1028" s="1450"/>
      <c r="P1028" s="1450"/>
      <c r="Q1028" s="1450"/>
      <c r="R1028" s="1450"/>
      <c r="S1028" s="1450"/>
      <c r="T1028" s="1450"/>
      <c r="U1028" s="1450"/>
      <c r="V1028" s="1450"/>
      <c r="W1028" s="1450"/>
      <c r="X1028" s="1450"/>
      <c r="Y1028" s="1450"/>
      <c r="Z1028" s="1450"/>
      <c r="AA1028" s="1450"/>
      <c r="AB1028" s="1450"/>
      <c r="AC1028" s="1450"/>
      <c r="AD1028" s="1450"/>
      <c r="AE1028" s="1451"/>
      <c r="AF1028" s="1415"/>
      <c r="AG1028" s="1415"/>
      <c r="AH1028" s="1415"/>
      <c r="AI1028" s="1415"/>
      <c r="AJ1028" s="1338"/>
      <c r="AK1028" s="1339"/>
      <c r="AL1028" s="1339"/>
      <c r="AM1028" s="1339"/>
      <c r="AN1028" s="1339"/>
      <c r="AO1028" s="1339"/>
      <c r="AP1028" s="1339"/>
      <c r="AQ1028" s="1340"/>
      <c r="AR1028" s="68"/>
      <c r="AS1028" s="68"/>
      <c r="AT1028" s="68"/>
      <c r="AU1028" s="68"/>
      <c r="AV1028" s="68"/>
      <c r="AW1028" s="68"/>
      <c r="AX1028" s="68"/>
      <c r="AY1028" s="68"/>
    </row>
    <row r="1029" spans="1:57" ht="13.05" customHeight="1">
      <c r="A1029" s="14"/>
      <c r="B1029" s="79"/>
      <c r="C1029" s="80" t="s">
        <v>234</v>
      </c>
      <c r="D1029" s="1460" t="s">
        <v>1295</v>
      </c>
      <c r="E1029" s="1461"/>
      <c r="F1029" s="1461"/>
      <c r="G1029" s="1461"/>
      <c r="H1029" s="1461"/>
      <c r="I1029" s="1461"/>
      <c r="J1029" s="1461"/>
      <c r="K1029" s="1461"/>
      <c r="L1029" s="1461"/>
      <c r="M1029" s="1461"/>
      <c r="N1029" s="1461"/>
      <c r="O1029" s="1461"/>
      <c r="P1029" s="1461"/>
      <c r="Q1029" s="1461"/>
      <c r="R1029" s="1461"/>
      <c r="S1029" s="1461"/>
      <c r="T1029" s="1461"/>
      <c r="U1029" s="1461"/>
      <c r="V1029" s="1461"/>
      <c r="W1029" s="1461"/>
      <c r="X1029" s="1461"/>
      <c r="Y1029" s="1461"/>
      <c r="Z1029" s="1461"/>
      <c r="AA1029" s="1461"/>
      <c r="AB1029" s="1461"/>
      <c r="AC1029" s="1461"/>
      <c r="AD1029" s="1461"/>
      <c r="AE1029" s="1462"/>
      <c r="AF1029" s="79"/>
      <c r="AG1029" s="1458" t="s">
        <v>545</v>
      </c>
      <c r="AH1029" s="1459"/>
      <c r="AI1029" s="87"/>
      <c r="AJ1029" s="1332">
        <f>ROUND(IF(AG1029="yes",(AJ992*0.1),0),0)</f>
        <v>2072718</v>
      </c>
      <c r="AK1029" s="1333"/>
      <c r="AL1029" s="1333"/>
      <c r="AM1029" s="1333"/>
      <c r="AN1029" s="1333"/>
      <c r="AO1029" s="1333"/>
      <c r="AP1029" s="1333"/>
      <c r="AQ1029" s="1334"/>
      <c r="AR1029" s="68"/>
      <c r="AS1029" s="68"/>
      <c r="AT1029" s="68"/>
      <c r="AU1029" s="68"/>
      <c r="AV1029" s="68"/>
      <c r="AW1029" s="68"/>
      <c r="AX1029" s="68"/>
      <c r="AY1029" s="68"/>
    </row>
    <row r="1030" spans="1:57" ht="13.05" customHeight="1">
      <c r="A1030" s="14"/>
      <c r="B1030" s="73"/>
      <c r="C1030" s="74"/>
      <c r="D1030" s="1435" t="s">
        <v>1296</v>
      </c>
      <c r="E1030" s="1436"/>
      <c r="F1030" s="1436"/>
      <c r="G1030" s="1436"/>
      <c r="H1030" s="1436"/>
      <c r="I1030" s="1436"/>
      <c r="J1030" s="1436"/>
      <c r="K1030" s="1436"/>
      <c r="L1030" s="1436"/>
      <c r="M1030" s="1436"/>
      <c r="N1030" s="1436"/>
      <c r="O1030" s="1436"/>
      <c r="P1030" s="1436"/>
      <c r="Q1030" s="1436"/>
      <c r="R1030" s="1436"/>
      <c r="S1030" s="1436"/>
      <c r="T1030" s="1436"/>
      <c r="U1030" s="1436"/>
      <c r="V1030" s="1436"/>
      <c r="W1030" s="1436"/>
      <c r="X1030" s="1436"/>
      <c r="Y1030" s="1436"/>
      <c r="Z1030" s="1436"/>
      <c r="AA1030" s="1436"/>
      <c r="AB1030" s="1436"/>
      <c r="AC1030" s="1436"/>
      <c r="AD1030" s="1436"/>
      <c r="AE1030" s="1437"/>
      <c r="AF1030" s="73"/>
      <c r="AG1030" s="14"/>
      <c r="AH1030" s="14"/>
      <c r="AI1030" s="83"/>
      <c r="AJ1030" s="1335"/>
      <c r="AK1030" s="1336"/>
      <c r="AL1030" s="1336"/>
      <c r="AM1030" s="1336"/>
      <c r="AN1030" s="1336"/>
      <c r="AO1030" s="1336"/>
      <c r="AP1030" s="1336"/>
      <c r="AQ1030" s="1337"/>
      <c r="AR1030" s="68"/>
      <c r="AS1030" s="68"/>
      <c r="AT1030" s="68"/>
      <c r="AU1030" s="68"/>
      <c r="AV1030" s="68"/>
      <c r="AW1030" s="68"/>
      <c r="AX1030" s="68"/>
      <c r="AY1030" s="68"/>
    </row>
    <row r="1031" spans="1:57" ht="13.05" customHeight="1">
      <c r="A1031" s="14"/>
      <c r="B1031" s="77"/>
      <c r="C1031" s="74"/>
      <c r="D1031" s="1449"/>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1"/>
      <c r="AF1031" s="73"/>
      <c r="AG1031" s="14"/>
      <c r="AH1031" s="14"/>
      <c r="AI1031" s="83"/>
      <c r="AJ1031" s="1338"/>
      <c r="AK1031" s="1339"/>
      <c r="AL1031" s="1339"/>
      <c r="AM1031" s="1339"/>
      <c r="AN1031" s="1339"/>
      <c r="AO1031" s="1339"/>
      <c r="AP1031" s="1339"/>
      <c r="AQ1031" s="1340"/>
      <c r="AR1031" s="68"/>
      <c r="AS1031" s="68"/>
      <c r="AT1031" s="68"/>
      <c r="AU1031" s="68"/>
      <c r="AV1031" s="68"/>
      <c r="AW1031" s="68"/>
      <c r="AX1031" s="68"/>
      <c r="AY1031" s="68"/>
    </row>
    <row r="1032" spans="1:57" ht="13.05" customHeight="1">
      <c r="A1032" s="14"/>
      <c r="B1032" s="73"/>
      <c r="C1032" s="339" t="s">
        <v>687</v>
      </c>
      <c r="D1032" s="1350" t="s">
        <v>1686</v>
      </c>
      <c r="E1032" s="1351"/>
      <c r="F1032" s="1351"/>
      <c r="G1032" s="1351"/>
      <c r="H1032" s="1351"/>
      <c r="I1032" s="1351"/>
      <c r="J1032" s="1351"/>
      <c r="K1032" s="1351"/>
      <c r="L1032" s="1351"/>
      <c r="M1032" s="1351"/>
      <c r="N1032" s="1351"/>
      <c r="O1032" s="1351"/>
      <c r="P1032" s="1351"/>
      <c r="Q1032" s="1351"/>
      <c r="R1032" s="1351"/>
      <c r="S1032" s="1351"/>
      <c r="T1032" s="1351"/>
      <c r="U1032" s="1351"/>
      <c r="V1032" s="1351"/>
      <c r="W1032" s="1351"/>
      <c r="X1032" s="1351"/>
      <c r="Y1032" s="1351"/>
      <c r="Z1032" s="1351"/>
      <c r="AA1032" s="1351"/>
      <c r="AB1032" s="1351"/>
      <c r="AC1032" s="1351"/>
      <c r="AD1032" s="1351"/>
      <c r="AE1032" s="1352"/>
      <c r="AF1032" s="79"/>
      <c r="AG1032" s="1458" t="s">
        <v>669</v>
      </c>
      <c r="AH1032" s="1459"/>
      <c r="AI1032" s="87"/>
      <c r="AJ1032" s="1332">
        <f>ROUND(IF(AG1032="yes",(AJ992*0.15),0),0)</f>
        <v>0</v>
      </c>
      <c r="AK1032" s="1333"/>
      <c r="AL1032" s="1333"/>
      <c r="AM1032" s="1333"/>
      <c r="AN1032" s="1333"/>
      <c r="AO1032" s="1333"/>
      <c r="AP1032" s="1333"/>
      <c r="AQ1032" s="1334"/>
      <c r="AR1032" s="68"/>
      <c r="AS1032" s="68"/>
      <c r="AT1032" s="68"/>
      <c r="AU1032" s="68"/>
      <c r="AV1032" s="68"/>
      <c r="AW1032" s="68"/>
      <c r="AX1032" s="68"/>
      <c r="AY1032" s="68"/>
    </row>
    <row r="1033" spans="1:57" ht="13.05" customHeight="1">
      <c r="A1033" s="14"/>
      <c r="B1033" s="73"/>
      <c r="C1033" s="74"/>
      <c r="D1033" s="1463"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464"/>
      <c r="AF1033" s="915"/>
      <c r="AG1033" s="916"/>
      <c r="AH1033" s="916"/>
      <c r="AI1033" s="917"/>
      <c r="AJ1033" s="1335"/>
      <c r="AK1033" s="1336"/>
      <c r="AL1033" s="1336"/>
      <c r="AM1033" s="1336"/>
      <c r="AN1033" s="1336"/>
      <c r="AO1033" s="1336"/>
      <c r="AP1033" s="1336"/>
      <c r="AQ1033" s="1337"/>
      <c r="AR1033" s="68"/>
      <c r="AS1033" s="68"/>
      <c r="AT1033" s="68"/>
      <c r="AU1033" s="68"/>
      <c r="AV1033" s="68"/>
      <c r="AW1033" s="68"/>
      <c r="AX1033" s="68"/>
      <c r="AY1033" s="68"/>
    </row>
    <row r="1034" spans="1:57" ht="13.05" customHeight="1">
      <c r="A1034" s="14"/>
      <c r="B1034" s="73"/>
      <c r="C1034" s="74"/>
      <c r="D1034" s="1463"/>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464"/>
      <c r="AF1034" s="915"/>
      <c r="AG1034" s="916"/>
      <c r="AH1034" s="916"/>
      <c r="AI1034" s="917"/>
      <c r="AJ1034" s="1335"/>
      <c r="AK1034" s="1336"/>
      <c r="AL1034" s="1336"/>
      <c r="AM1034" s="1336"/>
      <c r="AN1034" s="1336"/>
      <c r="AO1034" s="1336"/>
      <c r="AP1034" s="1336"/>
      <c r="AQ1034" s="1337"/>
      <c r="AR1034" s="68"/>
      <c r="AS1034" s="68"/>
      <c r="AT1034" s="68"/>
      <c r="AU1034" s="68"/>
      <c r="AV1034" s="68"/>
      <c r="AW1034" s="68"/>
      <c r="AX1034" s="68"/>
      <c r="AY1034" s="68"/>
    </row>
    <row r="1035" spans="1:57" ht="13.05" customHeight="1">
      <c r="A1035" s="14"/>
      <c r="B1035" s="73"/>
      <c r="C1035" s="74"/>
      <c r="D1035" s="1465"/>
      <c r="E1035" s="1466"/>
      <c r="F1035" s="1466"/>
      <c r="G1035" s="1466"/>
      <c r="H1035" s="1466"/>
      <c r="I1035" s="1466"/>
      <c r="J1035" s="1466"/>
      <c r="K1035" s="1466"/>
      <c r="L1035" s="1466"/>
      <c r="M1035" s="1466"/>
      <c r="N1035" s="1466"/>
      <c r="O1035" s="1466"/>
      <c r="P1035" s="1466"/>
      <c r="Q1035" s="1466"/>
      <c r="R1035" s="1466"/>
      <c r="S1035" s="1466"/>
      <c r="T1035" s="1466"/>
      <c r="U1035" s="1466"/>
      <c r="V1035" s="1466"/>
      <c r="W1035" s="1466"/>
      <c r="X1035" s="1466"/>
      <c r="Y1035" s="1466"/>
      <c r="Z1035" s="1466"/>
      <c r="AA1035" s="1466"/>
      <c r="AB1035" s="1466"/>
      <c r="AC1035" s="1466"/>
      <c r="AD1035" s="1466"/>
      <c r="AE1035" s="1467"/>
      <c r="AF1035" s="918"/>
      <c r="AG1035" s="919"/>
      <c r="AH1035" s="919"/>
      <c r="AI1035" s="920"/>
      <c r="AJ1035" s="1338"/>
      <c r="AK1035" s="1339"/>
      <c r="AL1035" s="1339"/>
      <c r="AM1035" s="1339"/>
      <c r="AN1035" s="1339"/>
      <c r="AO1035" s="1339"/>
      <c r="AP1035" s="1339"/>
      <c r="AQ1035" s="1340"/>
      <c r="AR1035" s="68"/>
      <c r="AS1035" s="68"/>
      <c r="AT1035" s="68"/>
      <c r="AU1035" s="68"/>
      <c r="AV1035" s="68"/>
      <c r="AW1035" s="68"/>
      <c r="AX1035" s="68"/>
      <c r="AY1035" s="68"/>
    </row>
    <row r="1036" spans="1:57" ht="13.05" customHeight="1">
      <c r="A1036" s="14"/>
      <c r="B1036" s="73"/>
      <c r="C1036" s="339" t="s">
        <v>687</v>
      </c>
      <c r="D1036" s="1460" t="s">
        <v>1688</v>
      </c>
      <c r="E1036" s="1461"/>
      <c r="F1036" s="1461"/>
      <c r="G1036" s="1461"/>
      <c r="H1036" s="1461"/>
      <c r="I1036" s="1461"/>
      <c r="J1036" s="1461"/>
      <c r="K1036" s="1461"/>
      <c r="L1036" s="1461"/>
      <c r="M1036" s="1461"/>
      <c r="N1036" s="1461"/>
      <c r="O1036" s="1461"/>
      <c r="P1036" s="1461"/>
      <c r="Q1036" s="1461"/>
      <c r="R1036" s="1461"/>
      <c r="S1036" s="1461"/>
      <c r="T1036" s="1461"/>
      <c r="U1036" s="1461"/>
      <c r="V1036" s="1461"/>
      <c r="W1036" s="1461"/>
      <c r="X1036" s="1461"/>
      <c r="Y1036" s="1461"/>
      <c r="Z1036" s="1461"/>
      <c r="AA1036" s="1461"/>
      <c r="AB1036" s="1461"/>
      <c r="AC1036" s="1461"/>
      <c r="AD1036" s="1461"/>
      <c r="AE1036" s="1462"/>
      <c r="AF1036" s="73"/>
      <c r="AG1036" s="1637" t="s">
        <v>669</v>
      </c>
      <c r="AH1036" s="1638"/>
      <c r="AI1036" s="83"/>
      <c r="AJ1036" s="1332">
        <f>ROUND(IF(AND(AG1036="yes",AJ1032=0),(AJ992*0.1),0),0)</f>
        <v>0</v>
      </c>
      <c r="AK1036" s="1333"/>
      <c r="AL1036" s="1333"/>
      <c r="AM1036" s="1333"/>
      <c r="AN1036" s="1333"/>
      <c r="AO1036" s="1333"/>
      <c r="AP1036" s="1333"/>
      <c r="AQ1036" s="1334"/>
      <c r="AR1036" s="68"/>
      <c r="AS1036" s="68"/>
      <c r="AT1036" s="68"/>
      <c r="AU1036" s="68"/>
      <c r="AV1036" s="68"/>
      <c r="AW1036" s="68"/>
      <c r="AX1036" s="68"/>
      <c r="AY1036" s="68"/>
    </row>
    <row r="1037" spans="1:57" ht="13.05" customHeight="1">
      <c r="A1037" s="14"/>
      <c r="B1037" s="73"/>
      <c r="C1037" s="74"/>
      <c r="D1037" s="1463"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464"/>
      <c r="AF1037" s="73"/>
      <c r="AG1037" s="14"/>
      <c r="AH1037" s="14"/>
      <c r="AI1037" s="83"/>
      <c r="AJ1037" s="1335"/>
      <c r="AK1037" s="1336"/>
      <c r="AL1037" s="1336"/>
      <c r="AM1037" s="1336"/>
      <c r="AN1037" s="1336"/>
      <c r="AO1037" s="1336"/>
      <c r="AP1037" s="1336"/>
      <c r="AQ1037" s="1337"/>
      <c r="AR1037" s="68"/>
      <c r="AS1037" s="68"/>
      <c r="AT1037" s="68"/>
      <c r="AU1037" s="68"/>
      <c r="AV1037" s="68"/>
      <c r="AW1037" s="68"/>
      <c r="AX1037" s="68"/>
      <c r="AY1037" s="68"/>
    </row>
    <row r="1038" spans="1:57" ht="13.05" customHeight="1">
      <c r="A1038" s="14"/>
      <c r="B1038" s="73"/>
      <c r="C1038" s="74"/>
      <c r="D1038" s="1463"/>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464"/>
      <c r="AF1038" s="73"/>
      <c r="AG1038" s="14"/>
      <c r="AH1038" s="14"/>
      <c r="AI1038" s="83"/>
      <c r="AJ1038" s="1335"/>
      <c r="AK1038" s="1336"/>
      <c r="AL1038" s="1336"/>
      <c r="AM1038" s="1336"/>
      <c r="AN1038" s="1336"/>
      <c r="AO1038" s="1336"/>
      <c r="AP1038" s="1336"/>
      <c r="AQ1038" s="1337"/>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05" customHeight="1">
      <c r="A1039" s="14"/>
      <c r="B1039" s="73"/>
      <c r="C1039" s="74"/>
      <c r="D1039" s="1463"/>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464"/>
      <c r="AF1039" s="73"/>
      <c r="AG1039" s="14"/>
      <c r="AH1039" s="14"/>
      <c r="AI1039" s="83"/>
      <c r="AJ1039" s="1335"/>
      <c r="AK1039" s="1336"/>
      <c r="AL1039" s="1336"/>
      <c r="AM1039" s="1336"/>
      <c r="AN1039" s="1336"/>
      <c r="AO1039" s="1336"/>
      <c r="AP1039" s="1336"/>
      <c r="AQ1039" s="1337"/>
      <c r="AR1039" s="68"/>
      <c r="AS1039" s="68"/>
      <c r="AT1039" s="68"/>
      <c r="AU1039" s="68"/>
      <c r="AV1039" s="68"/>
      <c r="AW1039" s="68"/>
      <c r="AX1039" s="68"/>
      <c r="AY1039" s="68"/>
      <c r="BA1039">
        <f>IFERROR((($CI$753+$CM$753)/$AG$440),0)</f>
        <v>0.75555555555555554</v>
      </c>
      <c r="BB1039" s="3" t="s">
        <v>2492</v>
      </c>
    </row>
    <row r="1040" spans="1:57" ht="13.05" customHeight="1">
      <c r="A1040" s="14"/>
      <c r="B1040" s="73"/>
      <c r="C1040" s="74"/>
      <c r="D1040" s="1465"/>
      <c r="E1040" s="1466"/>
      <c r="F1040" s="1466"/>
      <c r="G1040" s="1466"/>
      <c r="H1040" s="1466"/>
      <c r="I1040" s="1466"/>
      <c r="J1040" s="1466"/>
      <c r="K1040" s="1466"/>
      <c r="L1040" s="1466"/>
      <c r="M1040" s="1466"/>
      <c r="N1040" s="1466"/>
      <c r="O1040" s="1466"/>
      <c r="P1040" s="1466"/>
      <c r="Q1040" s="1466"/>
      <c r="R1040" s="1466"/>
      <c r="S1040" s="1466"/>
      <c r="T1040" s="1466"/>
      <c r="U1040" s="1466"/>
      <c r="V1040" s="1466"/>
      <c r="W1040" s="1466"/>
      <c r="X1040" s="1466"/>
      <c r="Y1040" s="1466"/>
      <c r="Z1040" s="1466"/>
      <c r="AA1040" s="1466"/>
      <c r="AB1040" s="1466"/>
      <c r="AC1040" s="1466"/>
      <c r="AD1040" s="1466"/>
      <c r="AE1040" s="1467"/>
      <c r="AF1040" s="73"/>
      <c r="AG1040" s="14"/>
      <c r="AH1040" s="14"/>
      <c r="AI1040" s="83"/>
      <c r="AJ1040" s="1335"/>
      <c r="AK1040" s="1336"/>
      <c r="AL1040" s="1336"/>
      <c r="AM1040" s="1336"/>
      <c r="AN1040" s="1336"/>
      <c r="AO1040" s="1336"/>
      <c r="AP1040" s="1336"/>
      <c r="AQ1040" s="1337"/>
      <c r="AR1040" s="68"/>
      <c r="AS1040" s="68"/>
      <c r="AT1040" s="68"/>
      <c r="AU1040" s="68"/>
      <c r="AV1040" s="68"/>
      <c r="AW1040" s="68"/>
      <c r="AX1040" s="68"/>
      <c r="AY1040" s="68"/>
      <c r="BA1040" t="b">
        <f>'Points System'!AJ164="Yes"</f>
        <v>0</v>
      </c>
      <c r="BB1040" s="3" t="s">
        <v>2489</v>
      </c>
    </row>
    <row r="1041" spans="1:56" ht="13.05" customHeight="1">
      <c r="A1041" s="14"/>
      <c r="B1041" s="79"/>
      <c r="C1041" s="131" t="s">
        <v>1010</v>
      </c>
      <c r="D1041" s="1350" t="s">
        <v>1297</v>
      </c>
      <c r="E1041" s="1351"/>
      <c r="F1041" s="1351"/>
      <c r="G1041" s="1351"/>
      <c r="H1041" s="1351"/>
      <c r="I1041" s="1351"/>
      <c r="J1041" s="1351"/>
      <c r="K1041" s="1351"/>
      <c r="L1041" s="1351"/>
      <c r="M1041" s="1351"/>
      <c r="N1041" s="1351"/>
      <c r="O1041" s="1351"/>
      <c r="P1041" s="1351"/>
      <c r="Q1041" s="1351"/>
      <c r="R1041" s="1351"/>
      <c r="S1041" s="1351"/>
      <c r="T1041" s="1351"/>
      <c r="U1041" s="1351"/>
      <c r="V1041" s="1351"/>
      <c r="W1041" s="1351"/>
      <c r="X1041" s="1351"/>
      <c r="Y1041" s="1351"/>
      <c r="Z1041" s="1351"/>
      <c r="AA1041" s="1351"/>
      <c r="AB1041" s="1351"/>
      <c r="AC1041" s="1351"/>
      <c r="AD1041" s="1351"/>
      <c r="AE1041" s="1352"/>
      <c r="AF1041" s="79"/>
      <c r="AG1041" s="1458" t="s">
        <v>669</v>
      </c>
      <c r="AH1041" s="1459"/>
      <c r="AI1041" s="87"/>
      <c r="AJ1041" s="1332">
        <f>ROUND(IF(AG1041="yes",(AJ992*0.1),0),0)</f>
        <v>0</v>
      </c>
      <c r="AK1041" s="1333"/>
      <c r="AL1041" s="1333"/>
      <c r="AM1041" s="1333"/>
      <c r="AN1041" s="1333"/>
      <c r="AO1041" s="1333"/>
      <c r="AP1041" s="1333"/>
      <c r="AQ1041" s="1334"/>
      <c r="AR1041" s="68"/>
      <c r="AS1041" s="68"/>
      <c r="AT1041" s="68"/>
      <c r="AU1041" s="68"/>
      <c r="AV1041" s="68"/>
      <c r="AW1041" s="68"/>
      <c r="AX1041" s="68"/>
      <c r="AY1041" s="68"/>
      <c r="BA1041">
        <f>Q212</f>
        <v>0</v>
      </c>
      <c r="BB1041" s="3" t="s">
        <v>2490</v>
      </c>
    </row>
    <row r="1042" spans="1:56" ht="13.05" customHeight="1">
      <c r="A1042" s="14"/>
      <c r="B1042" s="73"/>
      <c r="C1042" s="74"/>
      <c r="D1042" s="1435" t="s">
        <v>2144</v>
      </c>
      <c r="E1042" s="1436"/>
      <c r="F1042" s="1436"/>
      <c r="G1042" s="1436"/>
      <c r="H1042" s="1436"/>
      <c r="I1042" s="1436"/>
      <c r="J1042" s="1436"/>
      <c r="K1042" s="1436"/>
      <c r="L1042" s="1436"/>
      <c r="M1042" s="1436"/>
      <c r="N1042" s="1436"/>
      <c r="O1042" s="1436"/>
      <c r="P1042" s="1436"/>
      <c r="Q1042" s="1436"/>
      <c r="R1042" s="1436"/>
      <c r="S1042" s="1436"/>
      <c r="T1042" s="1436"/>
      <c r="U1042" s="1436"/>
      <c r="V1042" s="1436"/>
      <c r="W1042" s="1436"/>
      <c r="X1042" s="1436"/>
      <c r="Y1042" s="1436"/>
      <c r="Z1042" s="1436"/>
      <c r="AA1042" s="1436"/>
      <c r="AB1042" s="1436"/>
      <c r="AC1042" s="1436"/>
      <c r="AD1042" s="1436"/>
      <c r="AE1042" s="1437"/>
      <c r="AF1042" s="73"/>
      <c r="AG1042" s="14"/>
      <c r="AH1042" s="14"/>
      <c r="AI1042" s="83"/>
      <c r="AJ1042" s="1335"/>
      <c r="AK1042" s="1336"/>
      <c r="AL1042" s="1336"/>
      <c r="AM1042" s="1336"/>
      <c r="AN1042" s="1336"/>
      <c r="AO1042" s="1336"/>
      <c r="AP1042" s="1336"/>
      <c r="AQ1042" s="1337"/>
      <c r="AR1042" s="68"/>
      <c r="AS1042" s="68"/>
      <c r="AT1042" s="68"/>
      <c r="AU1042" s="68"/>
      <c r="AV1042" s="68"/>
      <c r="AW1042" s="68"/>
      <c r="AX1042" s="68"/>
      <c r="AY1042" s="68"/>
      <c r="BA1042" s="1184">
        <f>T212</f>
        <v>0</v>
      </c>
      <c r="BB1042" s="3" t="s">
        <v>2491</v>
      </c>
    </row>
    <row r="1043" spans="1:56" ht="13.05" customHeight="1">
      <c r="A1043" s="14"/>
      <c r="B1043" s="73"/>
      <c r="C1043" s="74"/>
      <c r="D1043" s="1435"/>
      <c r="E1043" s="1436"/>
      <c r="F1043" s="1436"/>
      <c r="G1043" s="1436"/>
      <c r="H1043" s="1436"/>
      <c r="I1043" s="1436"/>
      <c r="J1043" s="1436"/>
      <c r="K1043" s="1436"/>
      <c r="L1043" s="1436"/>
      <c r="M1043" s="1436"/>
      <c r="N1043" s="1436"/>
      <c r="O1043" s="1436"/>
      <c r="P1043" s="1436"/>
      <c r="Q1043" s="1436"/>
      <c r="R1043" s="1436"/>
      <c r="S1043" s="1436"/>
      <c r="T1043" s="1436"/>
      <c r="U1043" s="1436"/>
      <c r="V1043" s="1436"/>
      <c r="W1043" s="1436"/>
      <c r="X1043" s="1436"/>
      <c r="Y1043" s="1436"/>
      <c r="Z1043" s="1436"/>
      <c r="AA1043" s="1436"/>
      <c r="AB1043" s="1436"/>
      <c r="AC1043" s="1436"/>
      <c r="AD1043" s="1436"/>
      <c r="AE1043" s="1437"/>
      <c r="AF1043" s="73"/>
      <c r="AG1043" s="14"/>
      <c r="AH1043" s="14"/>
      <c r="AI1043" s="83"/>
      <c r="AJ1043" s="1335"/>
      <c r="AK1043" s="1336"/>
      <c r="AL1043" s="1336"/>
      <c r="AM1043" s="1336"/>
      <c r="AN1043" s="1336"/>
      <c r="AO1043" s="1336"/>
      <c r="AP1043" s="1336"/>
      <c r="AQ1043" s="1337"/>
      <c r="AR1043" s="68"/>
      <c r="AS1043" s="68"/>
      <c r="AT1043" s="68"/>
      <c r="AU1043" s="68"/>
      <c r="AV1043" s="68"/>
      <c r="AW1043" s="68"/>
      <c r="AX1043" s="68"/>
      <c r="AY1043" s="68"/>
    </row>
    <row r="1044" spans="1:56" ht="13.05" customHeight="1">
      <c r="A1044" s="14"/>
      <c r="B1044" s="73"/>
      <c r="C1044" s="74"/>
      <c r="D1044" s="1449"/>
      <c r="E1044" s="1450"/>
      <c r="F1044" s="1450"/>
      <c r="G1044" s="1450"/>
      <c r="H1044" s="1450"/>
      <c r="I1044" s="1450"/>
      <c r="J1044" s="1450"/>
      <c r="K1044" s="1450"/>
      <c r="L1044" s="1450"/>
      <c r="M1044" s="1450"/>
      <c r="N1044" s="1450"/>
      <c r="O1044" s="1450"/>
      <c r="P1044" s="1450"/>
      <c r="Q1044" s="1450"/>
      <c r="R1044" s="1450"/>
      <c r="S1044" s="1450"/>
      <c r="T1044" s="1450"/>
      <c r="U1044" s="1450"/>
      <c r="V1044" s="1450"/>
      <c r="W1044" s="1450"/>
      <c r="X1044" s="1450"/>
      <c r="Y1044" s="1450"/>
      <c r="Z1044" s="1450"/>
      <c r="AA1044" s="1450"/>
      <c r="AB1044" s="1450"/>
      <c r="AC1044" s="1450"/>
      <c r="AD1044" s="1450"/>
      <c r="AE1044" s="1451"/>
      <c r="AF1044" s="73"/>
      <c r="AG1044" s="14"/>
      <c r="AH1044" s="14"/>
      <c r="AI1044" s="83"/>
      <c r="AJ1044" s="1338"/>
      <c r="AK1044" s="1339"/>
      <c r="AL1044" s="1339"/>
      <c r="AM1044" s="1339"/>
      <c r="AN1044" s="1339"/>
      <c r="AO1044" s="1339"/>
      <c r="AP1044" s="1339"/>
      <c r="AQ1044" s="1340"/>
      <c r="AR1044" s="68"/>
      <c r="AS1044" s="68"/>
      <c r="AT1044" s="68"/>
      <c r="AU1044" s="68"/>
      <c r="AV1044" s="68"/>
      <c r="AW1044" s="68"/>
      <c r="AX1044" s="68"/>
      <c r="AY1044" s="68"/>
    </row>
    <row r="1045" spans="1:56" ht="13.05" customHeight="1">
      <c r="A1045" s="14"/>
      <c r="B1045" s="79"/>
      <c r="C1045" s="131" t="s">
        <v>1684</v>
      </c>
      <c r="D1045" s="1460" t="s">
        <v>1864</v>
      </c>
      <c r="E1045" s="1461"/>
      <c r="F1045" s="1461"/>
      <c r="G1045" s="1461"/>
      <c r="H1045" s="1461"/>
      <c r="I1045" s="1461"/>
      <c r="J1045" s="1461"/>
      <c r="K1045" s="1461"/>
      <c r="L1045" s="1461"/>
      <c r="M1045" s="1461"/>
      <c r="N1045" s="1461"/>
      <c r="O1045" s="1461"/>
      <c r="P1045" s="1461"/>
      <c r="Q1045" s="1461"/>
      <c r="R1045" s="1461"/>
      <c r="S1045" s="1461"/>
      <c r="T1045" s="1461"/>
      <c r="U1045" s="1461"/>
      <c r="V1045" s="1461"/>
      <c r="W1045" s="1461"/>
      <c r="X1045" s="1461"/>
      <c r="Y1045" s="1461"/>
      <c r="Z1045" s="1461"/>
      <c r="AA1045" s="1461"/>
      <c r="AB1045" s="1461"/>
      <c r="AC1045" s="1461"/>
      <c r="AD1045" s="1461"/>
      <c r="AE1045" s="1462"/>
      <c r="AF1045" s="79"/>
      <c r="AG1045" s="1562" t="str">
        <f>IF(X1048&gt;0,"Yes","No")</f>
        <v>Yes</v>
      </c>
      <c r="AH1045" s="1563"/>
      <c r="AI1045" s="87"/>
      <c r="AJ1045" s="1332">
        <f>IF((X1048=0),0,AY1005*AJ992)</f>
        <v>12850854.08</v>
      </c>
      <c r="AK1045" s="1333"/>
      <c r="AL1045" s="1333"/>
      <c r="AM1045" s="1333"/>
      <c r="AN1045" s="1333"/>
      <c r="AO1045" s="1333"/>
      <c r="AP1045" s="1333"/>
      <c r="AQ1045" s="133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05" customHeight="1">
      <c r="A1046" s="14"/>
      <c r="B1046" s="73"/>
      <c r="C1046" s="442"/>
      <c r="D1046" s="1435" t="s">
        <v>1299</v>
      </c>
      <c r="E1046" s="1436"/>
      <c r="F1046" s="1436"/>
      <c r="G1046" s="1436"/>
      <c r="H1046" s="1436"/>
      <c r="I1046" s="1436"/>
      <c r="J1046" s="1436"/>
      <c r="K1046" s="1436"/>
      <c r="L1046" s="1436"/>
      <c r="M1046" s="1436"/>
      <c r="N1046" s="1436"/>
      <c r="O1046" s="1436"/>
      <c r="P1046" s="1436"/>
      <c r="Q1046" s="1436"/>
      <c r="R1046" s="1436"/>
      <c r="S1046" s="1436"/>
      <c r="T1046" s="1436"/>
      <c r="U1046" s="1436"/>
      <c r="V1046" s="1436"/>
      <c r="W1046" s="1436"/>
      <c r="X1046" s="1436"/>
      <c r="Y1046" s="1436"/>
      <c r="Z1046" s="1436"/>
      <c r="AA1046" s="1436"/>
      <c r="AB1046" s="1436"/>
      <c r="AC1046" s="1436"/>
      <c r="AD1046" s="1436"/>
      <c r="AE1046" s="1437"/>
      <c r="AF1046" s="73"/>
      <c r="AG1046" s="443"/>
      <c r="AH1046" s="443"/>
      <c r="AI1046" s="83"/>
      <c r="AJ1046" s="1335"/>
      <c r="AK1046" s="1336"/>
      <c r="AL1046" s="1336"/>
      <c r="AM1046" s="1336"/>
      <c r="AN1046" s="1336"/>
      <c r="AO1046" s="1336"/>
      <c r="AP1046" s="1336"/>
      <c r="AQ1046" s="1337"/>
      <c r="AR1046" s="68"/>
      <c r="AS1046" s="68"/>
      <c r="AT1046" s="68"/>
      <c r="AU1046" s="13"/>
      <c r="AV1046" s="68"/>
      <c r="AW1046" s="68"/>
      <c r="AX1046" s="68"/>
      <c r="AY1046" s="68"/>
      <c r="AZ1046" s="962">
        <f>'Sources and Uses Budget'!S97*BA1046</f>
        <v>4363514.55</v>
      </c>
      <c r="BA1046" s="1182">
        <f>IF(BA1040,20%,15%)</f>
        <v>0.15</v>
      </c>
      <c r="BB1046" s="3" t="s">
        <v>2478</v>
      </c>
      <c r="BC1046" s="3" t="s">
        <v>2479</v>
      </c>
      <c r="BD1046" s="3"/>
    </row>
    <row r="1047" spans="1:56" ht="13.05" customHeight="1">
      <c r="A1047" s="14"/>
      <c r="B1047" s="73"/>
      <c r="C1047" s="442"/>
      <c r="D1047" s="1435"/>
      <c r="E1047" s="1436"/>
      <c r="F1047" s="1436"/>
      <c r="G1047" s="1436"/>
      <c r="H1047" s="1436"/>
      <c r="I1047" s="1436"/>
      <c r="J1047" s="1436"/>
      <c r="K1047" s="1436"/>
      <c r="L1047" s="1436"/>
      <c r="M1047" s="1436"/>
      <c r="N1047" s="1436"/>
      <c r="O1047" s="1436"/>
      <c r="P1047" s="1436"/>
      <c r="Q1047" s="1436"/>
      <c r="R1047" s="1436"/>
      <c r="S1047" s="1436"/>
      <c r="T1047" s="1436"/>
      <c r="U1047" s="1436"/>
      <c r="V1047" s="1436"/>
      <c r="W1047" s="1436"/>
      <c r="X1047" s="1436"/>
      <c r="Y1047" s="1436"/>
      <c r="Z1047" s="1436"/>
      <c r="AA1047" s="1436"/>
      <c r="AB1047" s="1436"/>
      <c r="AC1047" s="1436"/>
      <c r="AD1047" s="1436"/>
      <c r="AE1047" s="1437"/>
      <c r="AF1047" s="73"/>
      <c r="AG1047" s="443"/>
      <c r="AH1047" s="443"/>
      <c r="AI1047" s="83"/>
      <c r="AJ1047" s="1335"/>
      <c r="AK1047" s="1336"/>
      <c r="AL1047" s="1336"/>
      <c r="AM1047" s="1336"/>
      <c r="AN1047" s="1336"/>
      <c r="AO1047" s="1336"/>
      <c r="AP1047" s="1336"/>
      <c r="AQ1047" s="1337"/>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05" customHeight="1">
      <c r="A1048" s="14"/>
      <c r="B1048" s="77"/>
      <c r="C1048" s="78"/>
      <c r="D1048" s="132" t="s">
        <v>972</v>
      </c>
      <c r="E1048" s="133"/>
      <c r="F1048" s="133"/>
      <c r="G1048" s="133"/>
      <c r="H1048" s="133"/>
      <c r="I1048" s="1560">
        <f>AY1003</f>
        <v>45</v>
      </c>
      <c r="J1048" s="1561"/>
      <c r="K1048" s="7"/>
      <c r="L1048" s="133"/>
      <c r="M1048" s="133"/>
      <c r="N1048" s="133"/>
      <c r="O1048" s="133"/>
      <c r="P1048" s="133"/>
      <c r="Q1048" s="133"/>
      <c r="R1048" s="133"/>
      <c r="S1048" s="133"/>
      <c r="T1048" s="133"/>
      <c r="U1048" s="133"/>
      <c r="V1048" s="134" t="s">
        <v>973</v>
      </c>
      <c r="W1048" s="48"/>
      <c r="X1048" s="1558">
        <f>CI753</f>
        <v>28</v>
      </c>
      <c r="Y1048" s="1559"/>
      <c r="Z1048" s="48"/>
      <c r="AA1048" s="48"/>
      <c r="AB1048" s="48"/>
      <c r="AC1048" s="48"/>
      <c r="AD1048" s="48"/>
      <c r="AE1048" s="49"/>
      <c r="AF1048" s="924"/>
      <c r="AG1048" s="925"/>
      <c r="AH1048" s="925"/>
      <c r="AI1048" s="926"/>
      <c r="AJ1048" s="1338"/>
      <c r="AK1048" s="1339"/>
      <c r="AL1048" s="1339"/>
      <c r="AM1048" s="1339"/>
      <c r="AN1048" s="1339"/>
      <c r="AO1048" s="1339"/>
      <c r="AP1048" s="1339"/>
      <c r="AQ1048" s="134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3.05" customHeight="1">
      <c r="A1049" s="14"/>
      <c r="B1049" s="79"/>
      <c r="C1049" s="131" t="s">
        <v>1685</v>
      </c>
      <c r="D1049" s="1350" t="s">
        <v>2170</v>
      </c>
      <c r="E1049" s="1351"/>
      <c r="F1049" s="1351"/>
      <c r="G1049" s="1351"/>
      <c r="H1049" s="1351"/>
      <c r="I1049" s="1351"/>
      <c r="J1049" s="1351"/>
      <c r="K1049" s="1351"/>
      <c r="L1049" s="1351"/>
      <c r="M1049" s="1351"/>
      <c r="N1049" s="1351"/>
      <c r="O1049" s="1351"/>
      <c r="P1049" s="1351"/>
      <c r="Q1049" s="1351"/>
      <c r="R1049" s="1351"/>
      <c r="S1049" s="1351"/>
      <c r="T1049" s="1351"/>
      <c r="U1049" s="1351"/>
      <c r="V1049" s="1351"/>
      <c r="W1049" s="1351"/>
      <c r="X1049" s="1351"/>
      <c r="Y1049" s="1351"/>
      <c r="Z1049" s="1351"/>
      <c r="AA1049" s="1351"/>
      <c r="AB1049" s="1351"/>
      <c r="AC1049" s="1351"/>
      <c r="AD1049" s="1351"/>
      <c r="AE1049" s="1352"/>
      <c r="AF1049" s="73"/>
      <c r="AG1049" s="1562" t="str">
        <f>IF(X1052&gt;0,"Yes","No")</f>
        <v>Yes</v>
      </c>
      <c r="AH1049" s="1563"/>
      <c r="AI1049" s="83"/>
      <c r="AJ1049" s="1332">
        <f>IF((X1052=0),0,(2*AY1006)*AJ992)</f>
        <v>5389067.8399999999</v>
      </c>
      <c r="AK1049" s="1333"/>
      <c r="AL1049" s="1333"/>
      <c r="AM1049" s="1333"/>
      <c r="AN1049" s="1333"/>
      <c r="AO1049" s="1333"/>
      <c r="AP1049" s="1333"/>
      <c r="AQ1049" s="1334"/>
      <c r="AR1049" s="68"/>
      <c r="AS1049" s="68"/>
      <c r="AT1049" s="68"/>
      <c r="AU1049" s="14"/>
      <c r="AV1049" s="68"/>
      <c r="AW1049" s="68"/>
      <c r="AX1049" s="68"/>
      <c r="AY1049" s="68"/>
      <c r="AZ1049" s="962">
        <f>AZ1045*BA1049</f>
        <v>0</v>
      </c>
      <c r="BA1049" s="1182">
        <v>0.15</v>
      </c>
      <c r="BB1049" s="3" t="s">
        <v>2478</v>
      </c>
      <c r="BC1049" s="3" t="s">
        <v>2482</v>
      </c>
      <c r="BD1049" s="3"/>
    </row>
    <row r="1050" spans="1:56" ht="13.05" customHeight="1">
      <c r="A1050" s="14"/>
      <c r="B1050" s="73"/>
      <c r="C1050" s="442"/>
      <c r="D1050" s="1435" t="s">
        <v>1298</v>
      </c>
      <c r="E1050" s="1436"/>
      <c r="F1050" s="1436"/>
      <c r="G1050" s="1436"/>
      <c r="H1050" s="1436"/>
      <c r="I1050" s="1436"/>
      <c r="J1050" s="1436"/>
      <c r="K1050" s="1436"/>
      <c r="L1050" s="1436"/>
      <c r="M1050" s="1436"/>
      <c r="N1050" s="1436"/>
      <c r="O1050" s="1436"/>
      <c r="P1050" s="1436"/>
      <c r="Q1050" s="1436"/>
      <c r="R1050" s="1436"/>
      <c r="S1050" s="1436"/>
      <c r="T1050" s="1436"/>
      <c r="U1050" s="1436"/>
      <c r="V1050" s="1436"/>
      <c r="W1050" s="1436"/>
      <c r="X1050" s="1436"/>
      <c r="Y1050" s="1436"/>
      <c r="Z1050" s="1436"/>
      <c r="AA1050" s="1436"/>
      <c r="AB1050" s="1436"/>
      <c r="AC1050" s="1436"/>
      <c r="AD1050" s="1436"/>
      <c r="AE1050" s="1437"/>
      <c r="AF1050" s="73"/>
      <c r="AG1050" s="443"/>
      <c r="AH1050" s="443"/>
      <c r="AI1050" s="83"/>
      <c r="AJ1050" s="1335"/>
      <c r="AK1050" s="1336"/>
      <c r="AL1050" s="1336"/>
      <c r="AM1050" s="1336"/>
      <c r="AN1050" s="1336"/>
      <c r="AO1050" s="1336"/>
      <c r="AP1050" s="1336"/>
      <c r="AQ1050" s="1337"/>
      <c r="AR1050" s="68"/>
      <c r="AS1050" s="68"/>
      <c r="AT1050" s="68"/>
      <c r="AU1050" s="68"/>
      <c r="AV1050" s="68"/>
      <c r="AW1050" s="68"/>
      <c r="AX1050" s="68"/>
      <c r="AY1050" s="68"/>
      <c r="AZ1050" s="962"/>
      <c r="BA1050" s="3"/>
      <c r="BB1050" s="3"/>
      <c r="BC1050" s="3"/>
      <c r="BD1050" s="3"/>
    </row>
    <row r="1051" spans="1:56" ht="13.05" customHeight="1">
      <c r="A1051" s="14"/>
      <c r="B1051" s="73"/>
      <c r="C1051" s="83"/>
      <c r="D1051" s="1435"/>
      <c r="E1051" s="1436"/>
      <c r="F1051" s="1436"/>
      <c r="G1051" s="1436"/>
      <c r="H1051" s="1436"/>
      <c r="I1051" s="1436"/>
      <c r="J1051" s="1436"/>
      <c r="K1051" s="1436"/>
      <c r="L1051" s="1436"/>
      <c r="M1051" s="1436"/>
      <c r="N1051" s="1436"/>
      <c r="O1051" s="1436"/>
      <c r="P1051" s="1436"/>
      <c r="Q1051" s="1436"/>
      <c r="R1051" s="1436"/>
      <c r="S1051" s="1436"/>
      <c r="T1051" s="1436"/>
      <c r="U1051" s="1436"/>
      <c r="V1051" s="1436"/>
      <c r="W1051" s="1436"/>
      <c r="X1051" s="1436"/>
      <c r="Y1051" s="1436"/>
      <c r="Z1051" s="1436"/>
      <c r="AA1051" s="1436"/>
      <c r="AB1051" s="1436"/>
      <c r="AC1051" s="1436"/>
      <c r="AD1051" s="1436"/>
      <c r="AE1051" s="1437"/>
      <c r="AF1051" s="921"/>
      <c r="AG1051" s="922"/>
      <c r="AH1051" s="922"/>
      <c r="AI1051" s="923"/>
      <c r="AJ1051" s="1335"/>
      <c r="AK1051" s="1336"/>
      <c r="AL1051" s="1336"/>
      <c r="AM1051" s="1336"/>
      <c r="AN1051" s="1336"/>
      <c r="AO1051" s="1336"/>
      <c r="AP1051" s="1336"/>
      <c r="AQ1051" s="133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560">
        <f>AY1003</f>
        <v>45</v>
      </c>
      <c r="J1052" s="1561"/>
      <c r="K1052" s="14"/>
      <c r="L1052" s="133"/>
      <c r="M1052" s="133"/>
      <c r="N1052" s="133"/>
      <c r="O1052" s="133"/>
      <c r="P1052" s="133"/>
      <c r="Q1052" s="133"/>
      <c r="R1052" s="133"/>
      <c r="S1052" s="133"/>
      <c r="T1052" s="133"/>
      <c r="U1052" s="133"/>
      <c r="V1052" s="134" t="s">
        <v>974</v>
      </c>
      <c r="X1052" s="1558">
        <f>CM753</f>
        <v>6</v>
      </c>
      <c r="Y1052" s="1559"/>
      <c r="AF1052" s="924"/>
      <c r="AG1052" s="925"/>
      <c r="AH1052" s="925"/>
      <c r="AI1052" s="926"/>
      <c r="AJ1052" s="1338"/>
      <c r="AK1052" s="1339"/>
      <c r="AL1052" s="1339"/>
      <c r="AM1052" s="1339"/>
      <c r="AN1052" s="1339"/>
      <c r="AO1052" s="1339"/>
      <c r="AP1052" s="1339"/>
      <c r="AQ1052" s="1340"/>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05" customHeight="1">
      <c r="A1053" s="14"/>
      <c r="B1053" s="102"/>
      <c r="C1053" s="103"/>
      <c r="D1053" s="1639" t="s">
        <v>513</v>
      </c>
      <c r="E1053" s="1639"/>
      <c r="F1053" s="1639"/>
      <c r="G1053" s="1639"/>
      <c r="H1053" s="1639"/>
      <c r="I1053" s="1639"/>
      <c r="J1053" s="1639"/>
      <c r="K1053" s="1639"/>
      <c r="L1053" s="1639"/>
      <c r="M1053" s="1639"/>
      <c r="N1053" s="1639"/>
      <c r="O1053" s="1639"/>
      <c r="P1053" s="1639"/>
      <c r="Q1053" s="1639"/>
      <c r="R1053" s="1639"/>
      <c r="S1053" s="1639"/>
      <c r="T1053" s="1639"/>
      <c r="U1053" s="1639"/>
      <c r="V1053" s="1639"/>
      <c r="W1053" s="1639"/>
      <c r="X1053" s="1639"/>
      <c r="Y1053" s="1639"/>
      <c r="Z1053" s="1639"/>
      <c r="AA1053" s="1639"/>
      <c r="AB1053" s="1639"/>
      <c r="AC1053" s="1639"/>
      <c r="AD1053" s="1639"/>
      <c r="AE1053" s="1639"/>
      <c r="AF1053" s="1639"/>
      <c r="AG1053" s="1639"/>
      <c r="AH1053" s="1639"/>
      <c r="AI1053" s="1640"/>
      <c r="AJ1053" s="1587">
        <f>SUM(AJ992:AQ1052)</f>
        <v>46805111.920000002</v>
      </c>
      <c r="AK1053" s="1588"/>
      <c r="AL1053" s="1588"/>
      <c r="AM1053" s="1588"/>
      <c r="AN1053" s="1588"/>
      <c r="AO1053" s="1588"/>
      <c r="AP1053" s="1588"/>
      <c r="AQ1053" s="1589"/>
      <c r="AR1053" s="68"/>
      <c r="AS1053" s="68"/>
      <c r="AT1053" s="68"/>
      <c r="AU1053" s="68"/>
      <c r="AV1053" s="68"/>
      <c r="AW1053" s="68"/>
      <c r="AX1053" s="68"/>
      <c r="AY1053" s="68"/>
      <c r="AZ1053" s="1181">
        <v>6000000</v>
      </c>
      <c r="BA1053" s="3" t="s">
        <v>2485</v>
      </c>
      <c r="BB1053" s="3"/>
      <c r="BC1053" s="3"/>
      <c r="BD1053" s="3"/>
    </row>
    <row r="1054" spans="1:56" ht="13.0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0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1">
        <f>'Sources and Uses Budget'!S107+'Sources and Uses Budget'!T107</f>
        <v>33453611</v>
      </c>
      <c r="AB1056" s="1861"/>
      <c r="AC1056" s="1861"/>
      <c r="AD1056" s="1861"/>
      <c r="AE1056" s="1861"/>
      <c r="AF1056" s="186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4363514.55</v>
      </c>
      <c r="BB1056" s="3" t="s">
        <v>2487</v>
      </c>
      <c r="BC1056" s="3"/>
      <c r="BD1056" s="3"/>
    </row>
    <row r="1057" spans="1:54" ht="13.0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2">
        <f>IFERROR((AA1056-BA1059)/(AJ1053-AJ1045-AJ1049),"")</f>
        <v>1.1058948671442408</v>
      </c>
      <c r="AB1057" s="1863"/>
      <c r="AC1057" s="1863"/>
      <c r="AD1057" s="1863"/>
      <c r="AE1057" s="1863"/>
      <c r="AF1057" s="186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6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5"/>
      <c r="I1058" s="1865"/>
      <c r="J1058" s="1865"/>
      <c r="K1058" s="1865"/>
      <c r="L1058" s="1865"/>
      <c r="M1058" s="1865"/>
      <c r="N1058" s="1865"/>
      <c r="O1058" s="1865"/>
      <c r="P1058" s="1865"/>
      <c r="Q1058" s="1865"/>
      <c r="R1058" s="1865"/>
      <c r="S1058" s="1865"/>
      <c r="T1058" s="1865"/>
      <c r="U1058" s="1865"/>
      <c r="V1058" s="1865"/>
      <c r="W1058" s="1865"/>
      <c r="X1058" s="1865"/>
      <c r="Y1058" s="1865"/>
      <c r="Z1058" s="1865"/>
      <c r="AA1058" s="1865"/>
      <c r="AB1058" s="1865"/>
      <c r="AC1058" s="1865"/>
      <c r="AD1058" s="1865"/>
      <c r="AE1058" s="1865"/>
      <c r="AF1058" s="1865"/>
      <c r="AG1058" s="1865"/>
      <c r="AH1058" s="1865"/>
      <c r="AI1058" s="1865"/>
      <c r="AJ1058" s="1865"/>
      <c r="AK1058" s="1865"/>
      <c r="AL1058" s="1865"/>
      <c r="AM1058" s="1865"/>
      <c r="AN1058" s="1865"/>
      <c r="AO1058" s="68"/>
      <c r="AP1058" s="68"/>
      <c r="AQ1058" s="68"/>
      <c r="AR1058" s="68"/>
      <c r="AS1058" s="68"/>
      <c r="AT1058" s="68"/>
      <c r="AU1058" s="68"/>
      <c r="AV1058" s="14"/>
      <c r="AW1058" s="14"/>
      <c r="AX1058" s="14"/>
      <c r="AY1058" s="14"/>
      <c r="BA1058" s="1185">
        <f>'Sources and Uses Budget'!$S$104+'Sources and Uses Budget'!$T$104</f>
        <v>4363514</v>
      </c>
      <c r="BB1058" s="3" t="s">
        <v>2493</v>
      </c>
    </row>
    <row r="1059" spans="1:54" ht="13.05" customHeight="1">
      <c r="A1059" s="14"/>
      <c r="B1059" s="14"/>
      <c r="C1059" s="208"/>
      <c r="D1059" s="858"/>
      <c r="E1059" s="858"/>
      <c r="F1059" s="858"/>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68"/>
      <c r="AP1059" s="68"/>
      <c r="AQ1059" s="68"/>
      <c r="AR1059" s="68"/>
      <c r="AS1059" s="68"/>
      <c r="AT1059" s="68"/>
      <c r="AU1059" s="68"/>
      <c r="AV1059" s="14"/>
      <c r="AW1059" s="14"/>
      <c r="AX1059" s="14"/>
      <c r="AY1059" s="14"/>
      <c r="BA1059" s="1186">
        <f>MAX($BA$1058-$BA$1055,0)</f>
        <v>1863514</v>
      </c>
      <c r="BB1059" s="3" t="s">
        <v>2494</v>
      </c>
    </row>
    <row r="1060" spans="1:54" ht="13.05" customHeight="1">
      <c r="A1060" s="88"/>
      <c r="B1060" s="1172"/>
      <c r="C1060" s="1172"/>
      <c r="D1060" s="1172"/>
      <c r="E1060" s="1172"/>
      <c r="F1060" s="1172"/>
      <c r="G1060" s="1865"/>
      <c r="H1060" s="1865"/>
      <c r="I1060" s="1865"/>
      <c r="J1060" s="1865"/>
      <c r="K1060" s="1865"/>
      <c r="L1060" s="1865"/>
      <c r="M1060" s="1865"/>
      <c r="N1060" s="1865"/>
      <c r="O1060" s="1865"/>
      <c r="P1060" s="1865"/>
      <c r="Q1060" s="1865"/>
      <c r="R1060" s="1865"/>
      <c r="S1060" s="1865"/>
      <c r="T1060" s="1865"/>
      <c r="U1060" s="1865"/>
      <c r="V1060" s="1865"/>
      <c r="W1060" s="1865"/>
      <c r="X1060" s="1865"/>
      <c r="Y1060" s="1865"/>
      <c r="Z1060" s="1865"/>
      <c r="AA1060" s="1865"/>
      <c r="AB1060" s="1865"/>
      <c r="AC1060" s="1865"/>
      <c r="AD1060" s="1865"/>
      <c r="AE1060" s="1865"/>
      <c r="AF1060" s="1865"/>
      <c r="AG1060" s="1865"/>
      <c r="AH1060" s="1865"/>
      <c r="AI1060" s="1865"/>
      <c r="AJ1060" s="1865"/>
      <c r="AK1060" s="1865"/>
      <c r="AL1060" s="1865"/>
      <c r="AM1060" s="1865"/>
      <c r="AN1060" s="1865"/>
      <c r="AO1060" s="1172"/>
      <c r="AP1060" s="1172"/>
      <c r="AQ1060" s="68"/>
      <c r="AR1060" s="68"/>
      <c r="AS1060" s="68"/>
      <c r="AT1060" s="68"/>
      <c r="AU1060" s="68"/>
      <c r="AV1060" s="68"/>
      <c r="AW1060" s="68"/>
      <c r="AX1060" s="68"/>
      <c r="AY1060" s="68"/>
    </row>
    <row r="1061" spans="1:54" ht="13.05" customHeight="1">
      <c r="A1061" s="1369" t="s">
        <v>794</v>
      </c>
      <c r="B1061" s="1369"/>
      <c r="C1061" s="1369"/>
      <c r="D1061" s="1369"/>
      <c r="E1061" s="1369"/>
      <c r="F1061" s="1369"/>
      <c r="G1061" s="1369"/>
      <c r="H1061" s="1369"/>
      <c r="I1061" s="1369"/>
      <c r="J1061" s="1369"/>
      <c r="K1061" s="1369"/>
      <c r="L1061" s="1369"/>
      <c r="M1061" s="1369"/>
      <c r="N1061" s="1369"/>
      <c r="O1061" s="1369"/>
      <c r="P1061" s="1369"/>
      <c r="Q1061" s="1369"/>
      <c r="R1061" s="1369"/>
      <c r="S1061" s="1369"/>
      <c r="T1061" s="1369"/>
      <c r="U1061" s="1369"/>
      <c r="V1061" s="1369"/>
      <c r="W1061" s="1369"/>
      <c r="X1061" s="1369"/>
      <c r="Y1061" s="1369"/>
      <c r="Z1061" s="1369"/>
      <c r="AA1061" s="1369"/>
      <c r="AB1061" s="1369"/>
      <c r="AC1061" s="1369"/>
      <c r="AD1061" s="1369"/>
      <c r="AE1061" s="1369"/>
      <c r="AF1061" s="1369"/>
      <c r="AG1061" s="1369"/>
      <c r="AH1061" s="1369"/>
      <c r="AI1061" s="1369"/>
      <c r="AJ1061" s="1369"/>
      <c r="AK1061" s="1369"/>
      <c r="AL1061" s="1369"/>
      <c r="AM1061" s="1369"/>
      <c r="AN1061" s="1369"/>
      <c r="AO1061" s="1369"/>
      <c r="AP1061" s="1369"/>
      <c r="AQ1061" s="1369"/>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56" t="s">
        <v>545</v>
      </c>
      <c r="B1065" s="1356"/>
      <c r="C1065" s="1357">
        <v>1</v>
      </c>
      <c r="D1065" s="1357"/>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57"/>
      <c r="D1066" s="13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56" t="s">
        <v>591</v>
      </c>
      <c r="B1067" s="1356"/>
      <c r="C1067" s="1357">
        <v>2</v>
      </c>
      <c r="D1067" s="1357"/>
      <c r="E1067" s="1360" t="s">
        <v>2237</v>
      </c>
      <c r="F1067" s="1360"/>
      <c r="G1067" s="1360"/>
      <c r="H1067" s="1360"/>
      <c r="I1067" s="1360"/>
      <c r="J1067" s="1360"/>
      <c r="K1067" s="1360"/>
      <c r="L1067" s="1360"/>
      <c r="M1067" s="1360"/>
      <c r="N1067" s="1360"/>
      <c r="O1067" s="1360"/>
      <c r="P1067" s="1360"/>
      <c r="Q1067" s="1360"/>
      <c r="R1067" s="1360"/>
      <c r="S1067" s="1360"/>
      <c r="T1067" s="1360"/>
      <c r="U1067" s="1360"/>
      <c r="V1067" s="1360"/>
      <c r="W1067" s="1360"/>
      <c r="X1067" s="1360"/>
      <c r="Y1067" s="1360"/>
      <c r="Z1067" s="1360"/>
      <c r="AA1067" s="1360"/>
      <c r="AB1067" s="1360"/>
      <c r="AC1067" s="1360"/>
      <c r="AD1067" s="1360"/>
      <c r="AE1067" s="1360"/>
      <c r="AF1067" s="1360"/>
      <c r="AG1067" s="1360"/>
      <c r="AH1067" s="1360"/>
      <c r="AI1067" s="1360"/>
      <c r="AJ1067" s="1360"/>
      <c r="AK1067" s="1360"/>
      <c r="AL1067" s="1360"/>
      <c r="AM1067" s="1360"/>
      <c r="AN1067" s="1360"/>
      <c r="AO1067" s="1360"/>
      <c r="AP1067" s="1360"/>
      <c r="AQ1067" s="1360"/>
      <c r="AR1067" s="1360"/>
      <c r="AS1067" s="14"/>
      <c r="AT1067" s="14"/>
      <c r="AV1067" s="68"/>
      <c r="AW1067" s="68"/>
      <c r="AX1067" s="68"/>
      <c r="AY1067" s="68"/>
    </row>
    <row r="1068" spans="1:54" ht="13.05" customHeight="1">
      <c r="A1068" s="198"/>
      <c r="B1068" s="67"/>
      <c r="C1068" s="1357"/>
      <c r="D1068" s="1357"/>
      <c r="E1068" s="1360"/>
      <c r="F1068" s="1360"/>
      <c r="G1068" s="1360"/>
      <c r="H1068" s="1360"/>
      <c r="I1068" s="1360"/>
      <c r="J1068" s="1360"/>
      <c r="K1068" s="1360"/>
      <c r="L1068" s="1360"/>
      <c r="M1068" s="1360"/>
      <c r="N1068" s="1360"/>
      <c r="O1068" s="1360"/>
      <c r="P1068" s="1360"/>
      <c r="Q1068" s="1360"/>
      <c r="R1068" s="1360"/>
      <c r="S1068" s="1360"/>
      <c r="T1068" s="1360"/>
      <c r="U1068" s="1360"/>
      <c r="V1068" s="1360"/>
      <c r="W1068" s="1360"/>
      <c r="X1068" s="1360"/>
      <c r="Y1068" s="1360"/>
      <c r="Z1068" s="1360"/>
      <c r="AA1068" s="1360"/>
      <c r="AB1068" s="1360"/>
      <c r="AC1068" s="1360"/>
      <c r="AD1068" s="1360"/>
      <c r="AE1068" s="1360"/>
      <c r="AF1068" s="1360"/>
      <c r="AG1068" s="1360"/>
      <c r="AH1068" s="1360"/>
      <c r="AI1068" s="1360"/>
      <c r="AJ1068" s="1360"/>
      <c r="AK1068" s="1360"/>
      <c r="AL1068" s="1360"/>
      <c r="AM1068" s="1360"/>
      <c r="AN1068" s="1360"/>
      <c r="AO1068" s="1360"/>
      <c r="AP1068" s="1360"/>
      <c r="AQ1068" s="1360"/>
      <c r="AR1068" s="1360"/>
      <c r="AS1068" s="14"/>
      <c r="AT1068" s="14"/>
      <c r="AV1068" s="68"/>
      <c r="AW1068" s="68"/>
      <c r="AX1068" s="68"/>
      <c r="AY1068" s="68"/>
    </row>
    <row r="1069" spans="1:54" ht="13.05" customHeight="1">
      <c r="A1069" s="198"/>
      <c r="B1069" s="67"/>
      <c r="C1069" s="1357"/>
      <c r="D1069" s="13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56" t="s">
        <v>591</v>
      </c>
      <c r="B1070" s="1356"/>
      <c r="C1070" s="1359">
        <v>3</v>
      </c>
      <c r="D1070" s="1359"/>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05" customHeight="1">
      <c r="A1071" s="1"/>
      <c r="B1071" s="1"/>
      <c r="C1071" s="1359"/>
      <c r="D1071" s="1359"/>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05" customHeight="1">
      <c r="A1072" s="1"/>
      <c r="B1072" s="1"/>
      <c r="C1072" s="1359"/>
      <c r="D1072" s="1359"/>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05" customHeight="1">
      <c r="A1073" s="1"/>
      <c r="B1073" s="1"/>
      <c r="C1073" s="1359"/>
      <c r="D1073" s="1359"/>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05" customHeight="1">
      <c r="A1074" s="2"/>
      <c r="B1074" s="25"/>
      <c r="C1074" s="1359"/>
      <c r="D1074" s="135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05" customHeight="1">
      <c r="A1075" s="1356" t="s">
        <v>591</v>
      </c>
      <c r="B1075" s="1356"/>
      <c r="C1075" s="1359">
        <v>4</v>
      </c>
      <c r="D1075" s="1359"/>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05" customHeight="1">
      <c r="A1076" s="1"/>
      <c r="B1076" s="1"/>
      <c r="C1076" s="1359"/>
      <c r="D1076" s="1359"/>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05" customHeight="1">
      <c r="A1077" s="1"/>
      <c r="B1077" s="1"/>
      <c r="C1077" s="1359"/>
      <c r="D1077" s="1359"/>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05" customHeight="1">
      <c r="A1078" s="1"/>
      <c r="B1078" s="1"/>
      <c r="C1078" s="1359"/>
      <c r="D1078" s="1359"/>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05" customHeight="1">
      <c r="A1079" s="1"/>
      <c r="B1079" s="1"/>
      <c r="C1079" s="1359"/>
      <c r="D1079" s="1359"/>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05" customHeight="1">
      <c r="A1080" s="1"/>
      <c r="B1080" s="1"/>
      <c r="C1080" s="1359"/>
      <c r="D1080" s="135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05" customHeight="1">
      <c r="A1081" s="1356" t="s">
        <v>591</v>
      </c>
      <c r="B1081" s="1356"/>
      <c r="C1081" s="1359">
        <v>5</v>
      </c>
      <c r="D1081" s="1359"/>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05" customHeight="1">
      <c r="A1082" s="4"/>
      <c r="B1082" s="4"/>
      <c r="C1082" s="1359"/>
      <c r="D1082" s="1359"/>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05" customHeight="1">
      <c r="A1083" s="4"/>
      <c r="B1083" s="4"/>
      <c r="C1083" s="1359"/>
      <c r="D1083" s="1359"/>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05" customHeight="1">
      <c r="A1084" s="35"/>
      <c r="B1084" s="25"/>
      <c r="C1084" s="1359"/>
      <c r="D1084" s="135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05" customHeight="1">
      <c r="A1085" s="1356" t="s">
        <v>591</v>
      </c>
      <c r="B1085" s="1356"/>
      <c r="C1085" s="1359">
        <v>6</v>
      </c>
      <c r="D1085" s="1359"/>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0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05" customHeight="1">
      <c r="A1087" s="1"/>
      <c r="B1087" s="1"/>
      <c r="C1087" s="1359"/>
      <c r="D1087" s="1359"/>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05" customHeight="1">
      <c r="A1088" s="35"/>
      <c r="B1088" s="25"/>
      <c r="C1088" s="1359"/>
      <c r="D1088" s="135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05" customHeight="1">
      <c r="A1089" s="1356" t="s">
        <v>591</v>
      </c>
      <c r="B1089" s="1356"/>
      <c r="C1089" s="1359">
        <v>7</v>
      </c>
      <c r="D1089" s="1359"/>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05" customHeight="1">
      <c r="A1090" s="1"/>
      <c r="B1090" s="1"/>
      <c r="C1090" s="1359"/>
      <c r="D1090" s="1359"/>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05" customHeight="1">
      <c r="A1091" s="1"/>
      <c r="B1091" s="1"/>
      <c r="C1091" s="1359"/>
      <c r="D1091" s="1359"/>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05" customHeight="1">
      <c r="A1092" s="1"/>
      <c r="B1092" s="1"/>
      <c r="C1092" s="1359"/>
      <c r="D1092" s="135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05" customHeight="1">
      <c r="A1093" s="35"/>
      <c r="B1093" s="25"/>
      <c r="C1093" s="1359"/>
      <c r="D1093" s="135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05" customHeight="1">
      <c r="A1094" s="1356" t="s">
        <v>591</v>
      </c>
      <c r="B1094" s="1356"/>
      <c r="C1094" s="1359">
        <v>8</v>
      </c>
      <c r="D1094" s="1359"/>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05" customHeight="1">
      <c r="A1095" s="35"/>
      <c r="B1095" s="25"/>
      <c r="C1095" s="1359"/>
      <c r="D1095" s="1359"/>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05" customHeight="1">
      <c r="A1096" s="35"/>
      <c r="B1096" s="25"/>
      <c r="C1096" s="1359"/>
      <c r="D1096" s="135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05" customHeight="1">
      <c r="A1097" s="1356" t="s">
        <v>591</v>
      </c>
      <c r="B1097" s="1356"/>
      <c r="C1097" s="1357">
        <v>9</v>
      </c>
      <c r="D1097" s="1357"/>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05" customHeight="1">
      <c r="A1098" s="1"/>
      <c r="B1098" s="1"/>
      <c r="C1098" s="1357"/>
      <c r="D1098" s="1357"/>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05" customHeight="1">
      <c r="A1099" s="35"/>
      <c r="B1099" s="25"/>
      <c r="C1099" s="1357"/>
      <c r="D1099" s="13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05" customHeight="1">
      <c r="A1100" s="1356" t="s">
        <v>591</v>
      </c>
      <c r="B1100" s="1356"/>
      <c r="C1100" s="1357">
        <v>10</v>
      </c>
      <c r="D1100" s="1357"/>
      <c r="E1100" s="1358" t="s">
        <v>2238</v>
      </c>
      <c r="F1100" s="1358"/>
      <c r="G1100" s="1358"/>
      <c r="H1100" s="1358"/>
      <c r="I1100" s="1358"/>
      <c r="J1100" s="1358"/>
      <c r="K1100" s="1358"/>
      <c r="L1100" s="1358"/>
      <c r="M1100" s="1358"/>
      <c r="N1100" s="1358"/>
      <c r="O1100" s="1358"/>
      <c r="P1100" s="1358"/>
      <c r="Q1100" s="1358"/>
      <c r="R1100" s="1358"/>
      <c r="S1100" s="1358"/>
      <c r="T1100" s="1358"/>
      <c r="U1100" s="1358"/>
      <c r="V1100" s="1358"/>
      <c r="W1100" s="1358"/>
      <c r="X1100" s="1358"/>
      <c r="Y1100" s="1358"/>
      <c r="Z1100" s="1358"/>
      <c r="AA1100" s="1358"/>
      <c r="AB1100" s="1358"/>
      <c r="AC1100" s="1358"/>
      <c r="AD1100" s="1358"/>
      <c r="AE1100" s="1358"/>
      <c r="AF1100" s="1358"/>
      <c r="AG1100" s="1358"/>
      <c r="AH1100" s="1358"/>
      <c r="AI1100" s="1358"/>
      <c r="AJ1100" s="1358"/>
      <c r="AK1100" s="1358"/>
      <c r="AL1100" s="1358"/>
      <c r="AM1100" s="1358"/>
      <c r="AN1100" s="1358"/>
      <c r="AO1100" s="1358"/>
      <c r="AP1100" s="1358"/>
      <c r="AQ1100" s="1358"/>
      <c r="AR1100" s="1358"/>
    </row>
    <row r="1101" spans="1:45" ht="13.05" customHeight="1">
      <c r="A1101" s="1"/>
      <c r="B1101" s="1"/>
      <c r="C1101" s="199"/>
      <c r="D1101" s="1161"/>
      <c r="E1101" s="1358"/>
      <c r="F1101" s="1358"/>
      <c r="G1101" s="1358"/>
      <c r="H1101" s="1358"/>
      <c r="I1101" s="1358"/>
      <c r="J1101" s="1358"/>
      <c r="K1101" s="1358"/>
      <c r="L1101" s="1358"/>
      <c r="M1101" s="1358"/>
      <c r="N1101" s="1358"/>
      <c r="O1101" s="1358"/>
      <c r="P1101" s="1358"/>
      <c r="Q1101" s="1358"/>
      <c r="R1101" s="1358"/>
      <c r="S1101" s="1358"/>
      <c r="T1101" s="1358"/>
      <c r="U1101" s="1358"/>
      <c r="V1101" s="1358"/>
      <c r="W1101" s="1358"/>
      <c r="X1101" s="1358"/>
      <c r="Y1101" s="1358"/>
      <c r="Z1101" s="1358"/>
      <c r="AA1101" s="1358"/>
      <c r="AB1101" s="1358"/>
      <c r="AC1101" s="1358"/>
      <c r="AD1101" s="1358"/>
      <c r="AE1101" s="1358"/>
      <c r="AF1101" s="1358"/>
      <c r="AG1101" s="1358"/>
      <c r="AH1101" s="1358"/>
      <c r="AI1101" s="1358"/>
      <c r="AJ1101" s="1358"/>
      <c r="AK1101" s="1358"/>
      <c r="AL1101" s="1358"/>
      <c r="AM1101" s="1358"/>
      <c r="AN1101" s="1358"/>
      <c r="AO1101" s="1358"/>
      <c r="AP1101" s="1358"/>
      <c r="AQ1101" s="1358"/>
      <c r="AR1101" s="1358"/>
    </row>
    <row r="1102" spans="1:45" ht="13.0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05" customHeight="1">
      <c r="A1103" s="1356" t="s">
        <v>591</v>
      </c>
      <c r="B1103" s="1356"/>
      <c r="C1103" s="1357">
        <v>11</v>
      </c>
      <c r="D1103" s="1357"/>
      <c r="E1103" s="1358" t="s">
        <v>2240</v>
      </c>
      <c r="F1103" s="1358"/>
      <c r="G1103" s="1358"/>
      <c r="H1103" s="1358"/>
      <c r="I1103" s="1358"/>
      <c r="J1103" s="1358"/>
      <c r="K1103" s="1358"/>
      <c r="L1103" s="1358"/>
      <c r="M1103" s="1358"/>
      <c r="N1103" s="1358"/>
      <c r="O1103" s="1358"/>
      <c r="P1103" s="1358"/>
      <c r="Q1103" s="1358"/>
      <c r="R1103" s="1358"/>
      <c r="S1103" s="1358"/>
      <c r="T1103" s="1358"/>
      <c r="U1103" s="1358"/>
      <c r="V1103" s="1358"/>
      <c r="W1103" s="1358"/>
      <c r="X1103" s="1358"/>
      <c r="Y1103" s="1358"/>
      <c r="Z1103" s="1358"/>
      <c r="AA1103" s="1358"/>
      <c r="AB1103" s="1358"/>
      <c r="AC1103" s="1358"/>
      <c r="AD1103" s="1358"/>
      <c r="AE1103" s="1358"/>
      <c r="AF1103" s="1358"/>
      <c r="AG1103" s="1358"/>
      <c r="AH1103" s="1358"/>
      <c r="AI1103" s="1358"/>
      <c r="AJ1103" s="1358"/>
      <c r="AK1103" s="1358"/>
      <c r="AL1103" s="1358"/>
      <c r="AM1103" s="1358"/>
      <c r="AN1103" s="1358"/>
      <c r="AO1103" s="1358"/>
      <c r="AP1103" s="1358"/>
      <c r="AQ1103" s="1358"/>
      <c r="AR1103" s="1358"/>
    </row>
    <row r="1104" spans="1:45" ht="13.05" customHeight="1">
      <c r="A1104" s="1"/>
      <c r="B1104" s="1"/>
      <c r="C1104" s="199"/>
      <c r="D1104" s="1161"/>
      <c r="E1104" s="1358"/>
      <c r="F1104" s="1358"/>
      <c r="G1104" s="1358"/>
      <c r="H1104" s="1358"/>
      <c r="I1104" s="1358"/>
      <c r="J1104" s="1358"/>
      <c r="K1104" s="1358"/>
      <c r="L1104" s="1358"/>
      <c r="M1104" s="1358"/>
      <c r="N1104" s="1358"/>
      <c r="O1104" s="1358"/>
      <c r="P1104" s="1358"/>
      <c r="Q1104" s="1358"/>
      <c r="R1104" s="1358"/>
      <c r="S1104" s="1358"/>
      <c r="T1104" s="1358"/>
      <c r="U1104" s="1358"/>
      <c r="V1104" s="1358"/>
      <c r="W1104" s="1358"/>
      <c r="X1104" s="1358"/>
      <c r="Y1104" s="1358"/>
      <c r="Z1104" s="1358"/>
      <c r="AA1104" s="1358"/>
      <c r="AB1104" s="1358"/>
      <c r="AC1104" s="1358"/>
      <c r="AD1104" s="1358"/>
      <c r="AE1104" s="1358"/>
      <c r="AF1104" s="1358"/>
      <c r="AG1104" s="1358"/>
      <c r="AH1104" s="1358"/>
      <c r="AI1104" s="1358"/>
      <c r="AJ1104" s="1358"/>
      <c r="AK1104" s="1358"/>
      <c r="AL1104" s="1358"/>
      <c r="AM1104" s="1358"/>
      <c r="AN1104" s="1358"/>
      <c r="AO1104" s="1358"/>
      <c r="AP1104" s="1358"/>
      <c r="AQ1104" s="1358"/>
      <c r="AR1104" s="1358"/>
    </row>
    <row r="1105" spans="1:37" ht="13.0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0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0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0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0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0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0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0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0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0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0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0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0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0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0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0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0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0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56" t="s">
        <v>591</v>
      </c>
      <c r="B1125" s="1356"/>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050000000000001"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DO792:DS792"/>
    <mergeCell ref="EO797:ES797"/>
    <mergeCell ref="DZ787:ED787"/>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6:DY796"/>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97:DS797"/>
    <mergeCell ref="DO789:DS789"/>
    <mergeCell ref="DO790:DS790"/>
    <mergeCell ref="DO791:DS791"/>
    <mergeCell ref="EO795:ES795"/>
    <mergeCell ref="DU797:DY797"/>
    <mergeCell ref="EJ788:EN788"/>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P750:CT750"/>
    <mergeCell ref="CU750:CY750"/>
    <mergeCell ref="DE739:DI739"/>
    <mergeCell ref="CP728:CT728"/>
    <mergeCell ref="CU728:CY728"/>
    <mergeCell ref="DE734:DI734"/>
    <mergeCell ref="CI752:CJ752"/>
    <mergeCell ref="DO793:DS793"/>
    <mergeCell ref="DO794:DS794"/>
    <mergeCell ref="DO795:DS795"/>
    <mergeCell ref="DO796:DS796"/>
    <mergeCell ref="CP748:CT748"/>
    <mergeCell ref="CU748:CY748"/>
    <mergeCell ref="CK746:CL746"/>
    <mergeCell ref="CM746:CN746"/>
    <mergeCell ref="CZ776:DD776"/>
    <mergeCell ref="CG749:CH749"/>
    <mergeCell ref="CP746:CT746"/>
    <mergeCell ref="CM741:CN741"/>
    <mergeCell ref="CG732:CH732"/>
    <mergeCell ref="CP734:CT734"/>
    <mergeCell ref="CK733:CL733"/>
    <mergeCell ref="CK732:CL732"/>
    <mergeCell ref="DJ776:DN776"/>
    <mergeCell ref="DO750:DS750"/>
    <mergeCell ref="DJ745:DN745"/>
    <mergeCell ref="DO745:DS745"/>
    <mergeCell ref="CU742:CY742"/>
    <mergeCell ref="CZ742:DD742"/>
    <mergeCell ref="DE742:DI742"/>
    <mergeCell ref="DJ742:DN742"/>
    <mergeCell ref="DO742:DS742"/>
    <mergeCell ref="DE744:DI744"/>
    <mergeCell ref="CG745:CH745"/>
    <mergeCell ref="CI745:CJ745"/>
    <mergeCell ref="CK752:CL752"/>
    <mergeCell ref="CP747:CT747"/>
    <mergeCell ref="CG748:CH748"/>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CI748:CJ748"/>
    <mergeCell ref="CM745:CN745"/>
    <mergeCell ref="X795:AB795"/>
    <mergeCell ref="DE789:DI789"/>
    <mergeCell ref="CM751:CN751"/>
    <mergeCell ref="AC750:AG750"/>
    <mergeCell ref="AC751:AG751"/>
    <mergeCell ref="X747:AB747"/>
    <mergeCell ref="CG746:CH746"/>
    <mergeCell ref="CI746:CJ746"/>
    <mergeCell ref="CG744:CH744"/>
    <mergeCell ref="CI744:CJ744"/>
    <mergeCell ref="CG750:CH750"/>
    <mergeCell ref="CU743:CY743"/>
    <mergeCell ref="CZ743:DD743"/>
    <mergeCell ref="DE743:DI743"/>
    <mergeCell ref="CG743:CH743"/>
    <mergeCell ref="DE751:DI75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FJ753:FN753"/>
    <mergeCell ref="DJ743:DN743"/>
    <mergeCell ref="DO743:DS743"/>
    <mergeCell ref="DO744:DS744"/>
    <mergeCell ref="EE749:EI749"/>
    <mergeCell ref="EZ753:FD753"/>
    <mergeCell ref="FE753:FI75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9:GC749"/>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DU741:DY741"/>
    <mergeCell ref="DZ741:ED741"/>
    <mergeCell ref="FY741:GC741"/>
    <mergeCell ref="DU750:DY750"/>
    <mergeCell ref="DZ750:ED750"/>
    <mergeCell ref="EE750:EI750"/>
    <mergeCell ref="EJ750:EN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Y747:GC747"/>
    <mergeCell ref="EZ748:FD748"/>
    <mergeCell ref="FE746:FI746"/>
    <mergeCell ref="FJ746:FN746"/>
    <mergeCell ref="FO746:FS746"/>
    <mergeCell ref="Z559:AD559"/>
    <mergeCell ref="T559:V559"/>
    <mergeCell ref="AI560:AL560"/>
    <mergeCell ref="FT742:FX742"/>
    <mergeCell ref="CM748:CN748"/>
    <mergeCell ref="FO743:FS743"/>
    <mergeCell ref="FT743:FX743"/>
    <mergeCell ref="DJ747:DN747"/>
    <mergeCell ref="DO747:DS747"/>
    <mergeCell ref="DU745:DY745"/>
    <mergeCell ref="FO747:FS747"/>
    <mergeCell ref="FT747:FX747"/>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E743:FI743"/>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EW636:FA636"/>
    <mergeCell ref="ER637:EV637"/>
    <mergeCell ref="ET749:EX749"/>
    <mergeCell ref="CI742:CJ742"/>
    <mergeCell ref="CI749:CJ749"/>
    <mergeCell ref="CK749:CL749"/>
    <mergeCell ref="CM749:CN749"/>
    <mergeCell ref="CP749:CT749"/>
    <mergeCell ref="CU749:CY749"/>
    <mergeCell ref="CZ749:DD749"/>
    <mergeCell ref="DE746:DI746"/>
    <mergeCell ref="EZ743:FD743"/>
    <mergeCell ref="CZ738:DD738"/>
    <mergeCell ref="CM736:CN736"/>
    <mergeCell ref="CI738:CJ738"/>
    <mergeCell ref="CP741:CT741"/>
    <mergeCell ref="CU740:CY740"/>
    <mergeCell ref="CU736:CY736"/>
    <mergeCell ref="CP723:CT723"/>
    <mergeCell ref="AH541:AK541"/>
    <mergeCell ref="AC535:AF535"/>
    <mergeCell ref="AI554:AL554"/>
    <mergeCell ref="AI558:AL558"/>
    <mergeCell ref="Q551:S553"/>
    <mergeCell ref="T551:V553"/>
    <mergeCell ref="M555:P555"/>
    <mergeCell ref="Q557:S557"/>
    <mergeCell ref="Z557:AD557"/>
    <mergeCell ref="AC540:AF540"/>
    <mergeCell ref="AC508:AF508"/>
    <mergeCell ref="AH537:AK537"/>
    <mergeCell ref="AC534:AF534"/>
    <mergeCell ref="AH542:AK542"/>
    <mergeCell ref="AH507:AK507"/>
    <mergeCell ref="AG450:AJ450"/>
    <mergeCell ref="D467:V467"/>
    <mergeCell ref="W557:Y557"/>
    <mergeCell ref="AE557:AH557"/>
    <mergeCell ref="C558:L558"/>
    <mergeCell ref="AH534:AK534"/>
    <mergeCell ref="AC539:AF539"/>
    <mergeCell ref="AE555:AH555"/>
    <mergeCell ref="W558:Y558"/>
    <mergeCell ref="AE558:AH558"/>
    <mergeCell ref="AH509:AK509"/>
    <mergeCell ref="AE556:AH556"/>
    <mergeCell ref="C555:L555"/>
    <mergeCell ref="C556:L556"/>
    <mergeCell ref="M556:P556"/>
    <mergeCell ref="Q555:S555"/>
    <mergeCell ref="AG441:AJ441"/>
    <mergeCell ref="AC538:AF538"/>
    <mergeCell ref="Z554:AD554"/>
    <mergeCell ref="AH531:AK531"/>
    <mergeCell ref="AH540:AK540"/>
    <mergeCell ref="AC515:AF515"/>
    <mergeCell ref="AC514:AF514"/>
    <mergeCell ref="AH538:AK538"/>
    <mergeCell ref="Q494:AK494"/>
    <mergeCell ref="AC455:AF455"/>
    <mergeCell ref="F457:AB458"/>
    <mergeCell ref="D466:V466"/>
    <mergeCell ref="Q491:AK491"/>
    <mergeCell ref="AH495:AK495"/>
    <mergeCell ref="D465:V465"/>
    <mergeCell ref="AC509:AF509"/>
    <mergeCell ref="Q485:AK485"/>
    <mergeCell ref="AC525:AF525"/>
    <mergeCell ref="W474:Y474"/>
    <mergeCell ref="D472:V472"/>
    <mergeCell ref="W472:Y472"/>
    <mergeCell ref="AE551:AH553"/>
    <mergeCell ref="AH510:AK510"/>
    <mergeCell ref="Z551:AD553"/>
    <mergeCell ref="B551:L553"/>
    <mergeCell ref="Q554:S554"/>
    <mergeCell ref="AC541:AF541"/>
    <mergeCell ref="T554:V554"/>
    <mergeCell ref="AI551:AL553"/>
    <mergeCell ref="AH515:AK515"/>
    <mergeCell ref="AG443:AJ443"/>
    <mergeCell ref="AG444:AJ444"/>
    <mergeCell ref="S405:AJ405"/>
    <mergeCell ref="AG379:AH379"/>
    <mergeCell ref="S392:U392"/>
    <mergeCell ref="AG390:AJ390"/>
    <mergeCell ref="Q391:U391"/>
    <mergeCell ref="N372:Q372"/>
    <mergeCell ref="AC505:AF505"/>
    <mergeCell ref="AH522:AK522"/>
    <mergeCell ref="D448:AF448"/>
    <mergeCell ref="AG445:AJ445"/>
    <mergeCell ref="AC522:AF522"/>
    <mergeCell ref="AC530:AF530"/>
    <mergeCell ref="Z555:AD555"/>
    <mergeCell ref="O535:AA535"/>
    <mergeCell ref="AH523:AK523"/>
    <mergeCell ref="AE554:AH554"/>
    <mergeCell ref="AH524:AK524"/>
    <mergeCell ref="AH525:AK525"/>
    <mergeCell ref="AC528:AF528"/>
    <mergeCell ref="C554:L554"/>
    <mergeCell ref="AH528:AK528"/>
    <mergeCell ref="AH506:AK506"/>
    <mergeCell ref="AG442:AJ442"/>
    <mergeCell ref="AG377:AH377"/>
    <mergeCell ref="E418:G418"/>
    <mergeCell ref="AD411:AE411"/>
    <mergeCell ref="F427:AH428"/>
    <mergeCell ref="J387:U387"/>
    <mergeCell ref="L508:AB508"/>
    <mergeCell ref="O520:AA520"/>
    <mergeCell ref="AH518:AK518"/>
    <mergeCell ref="AH514:AK514"/>
    <mergeCell ref="D440:AF440"/>
    <mergeCell ref="AH503:AK503"/>
    <mergeCell ref="AC500:AF500"/>
    <mergeCell ref="V377:W377"/>
    <mergeCell ref="Q492:AK492"/>
    <mergeCell ref="D446:AF446"/>
    <mergeCell ref="D447:AF447"/>
    <mergeCell ref="AG446:AJ446"/>
    <mergeCell ref="AG448:AJ448"/>
    <mergeCell ref="AC503:AF503"/>
    <mergeCell ref="AH504:AK504"/>
    <mergeCell ref="W471:Y471"/>
    <mergeCell ref="D449:AF449"/>
    <mergeCell ref="AH508:AK508"/>
    <mergeCell ref="AH513:AK51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AH529:AK529"/>
    <mergeCell ref="W561:Y561"/>
    <mergeCell ref="W562:Y562"/>
    <mergeCell ref="Z569:AK569"/>
    <mergeCell ref="AC526:AF526"/>
    <mergeCell ref="T562:V562"/>
    <mergeCell ref="AH532:AK532"/>
    <mergeCell ref="AC524:AF524"/>
    <mergeCell ref="AK742:AO742"/>
    <mergeCell ref="CP745:CT745"/>
    <mergeCell ref="X742:AB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Z628:AB628"/>
    <mergeCell ref="AE694:AF694"/>
    <mergeCell ref="A709:AT711"/>
    <mergeCell ref="G660:R660"/>
    <mergeCell ref="K729:N729"/>
    <mergeCell ref="Z677:AK677"/>
    <mergeCell ref="B718:F718"/>
    <mergeCell ref="G720:J720"/>
    <mergeCell ref="B721:F721"/>
    <mergeCell ref="AH539:AK539"/>
    <mergeCell ref="AG449:AJ449"/>
    <mergeCell ref="AC454:AF454"/>
    <mergeCell ref="W466:Y466"/>
    <mergeCell ref="W556:Y556"/>
    <mergeCell ref="T565:V565"/>
    <mergeCell ref="Z560:AD560"/>
    <mergeCell ref="AC536:AF536"/>
    <mergeCell ref="D468:V468"/>
    <mergeCell ref="AC512:AF512"/>
    <mergeCell ref="AC542:AF542"/>
    <mergeCell ref="B489:P490"/>
    <mergeCell ref="AC506:AF506"/>
    <mergeCell ref="Q489:R490"/>
    <mergeCell ref="Q488:AK488"/>
    <mergeCell ref="AH535:AK535"/>
    <mergeCell ref="AC532:AF532"/>
    <mergeCell ref="AC531:AF531"/>
    <mergeCell ref="AC501:AF501"/>
    <mergeCell ref="B501:H502"/>
    <mergeCell ref="O523:AA523"/>
    <mergeCell ref="M558:P558"/>
    <mergeCell ref="AH505:AK505"/>
    <mergeCell ref="AE564:AH564"/>
    <mergeCell ref="M559:P559"/>
    <mergeCell ref="C564:L564"/>
    <mergeCell ref="M564:P564"/>
    <mergeCell ref="Z558:AD558"/>
    <mergeCell ref="M562:P562"/>
    <mergeCell ref="M563:P563"/>
    <mergeCell ref="AI561:AL561"/>
    <mergeCell ref="Q564:S564"/>
    <mergeCell ref="AE561:AH561"/>
    <mergeCell ref="Q559:S559"/>
    <mergeCell ref="C627:L627"/>
    <mergeCell ref="P581:R581"/>
    <mergeCell ref="N591:O591"/>
    <mergeCell ref="Q560:S560"/>
    <mergeCell ref="Q565:S565"/>
    <mergeCell ref="Q561:S561"/>
    <mergeCell ref="C562:L562"/>
    <mergeCell ref="C560:L560"/>
    <mergeCell ref="N583:O583"/>
    <mergeCell ref="AK739:AO739"/>
    <mergeCell ref="B741:F741"/>
    <mergeCell ref="CZ726:DD726"/>
    <mergeCell ref="CK722:CL722"/>
    <mergeCell ref="AG689:AH689"/>
    <mergeCell ref="CK719:CL719"/>
    <mergeCell ref="CG724:CH724"/>
    <mergeCell ref="CG730:CH730"/>
    <mergeCell ref="CG728:CH728"/>
    <mergeCell ref="X718:AB718"/>
    <mergeCell ref="G721:J721"/>
    <mergeCell ref="G722:J722"/>
    <mergeCell ref="C559:L559"/>
    <mergeCell ref="AA582:AK582"/>
    <mergeCell ref="H573:R573"/>
    <mergeCell ref="B566:AL566"/>
    <mergeCell ref="AE560:AH560"/>
    <mergeCell ref="N575:O575"/>
    <mergeCell ref="X729:AB729"/>
    <mergeCell ref="AC637:AE637"/>
    <mergeCell ref="X714:AB717"/>
    <mergeCell ref="Z562:AD562"/>
    <mergeCell ref="M638:P638"/>
    <mergeCell ref="W638:Y638"/>
    <mergeCell ref="Z654:AK654"/>
    <mergeCell ref="P647:R647"/>
    <mergeCell ref="AI647:AK647"/>
    <mergeCell ref="CZ730:DD730"/>
    <mergeCell ref="AI679:AK679"/>
    <mergeCell ref="Z663:AE663"/>
    <mergeCell ref="Z643:AK643"/>
    <mergeCell ref="CP718:CT718"/>
    <mergeCell ref="CI718:CJ718"/>
    <mergeCell ref="CI724:CJ724"/>
    <mergeCell ref="CZ729:DD729"/>
    <mergeCell ref="CZ725:DD725"/>
    <mergeCell ref="CP726:CT726"/>
    <mergeCell ref="CP725:CT725"/>
    <mergeCell ref="X722:AB722"/>
    <mergeCell ref="Z685:AK685"/>
    <mergeCell ref="AE698:AI698"/>
    <mergeCell ref="AC714:AG717"/>
    <mergeCell ref="O718:S718"/>
    <mergeCell ref="AC722:AG722"/>
    <mergeCell ref="T727:W727"/>
    <mergeCell ref="G683:R683"/>
    <mergeCell ref="N681:O681"/>
    <mergeCell ref="X719:AB719"/>
    <mergeCell ref="G686:R686"/>
    <mergeCell ref="AG665:AH665"/>
    <mergeCell ref="T729:W729"/>
    <mergeCell ref="AH728:AJ728"/>
    <mergeCell ref="T728:W728"/>
    <mergeCell ref="N657:O657"/>
    <mergeCell ref="C631:L631"/>
    <mergeCell ref="C632:L632"/>
    <mergeCell ref="P687:R687"/>
    <mergeCell ref="R705:T705"/>
    <mergeCell ref="AM560:AS560"/>
    <mergeCell ref="AM557:AS557"/>
    <mergeCell ref="Z659:AK659"/>
    <mergeCell ref="AK634:AN634"/>
    <mergeCell ref="M635:P635"/>
    <mergeCell ref="M495:P495"/>
    <mergeCell ref="G646:R646"/>
    <mergeCell ref="CU751:CY751"/>
    <mergeCell ref="CU744:CY744"/>
    <mergeCell ref="CP751:CT751"/>
    <mergeCell ref="G668:R668"/>
    <mergeCell ref="CU726:CY726"/>
    <mergeCell ref="CK748:CL748"/>
    <mergeCell ref="CK750:CL750"/>
    <mergeCell ref="CM750:CN750"/>
    <mergeCell ref="CG747:CH747"/>
    <mergeCell ref="CI747:CJ747"/>
    <mergeCell ref="CK747:CL747"/>
    <mergeCell ref="CM747:CN747"/>
    <mergeCell ref="CP742:CT742"/>
    <mergeCell ref="CP743:CT743"/>
    <mergeCell ref="CK744:CL744"/>
    <mergeCell ref="CM744:CN744"/>
    <mergeCell ref="CG738:CH738"/>
    <mergeCell ref="CM737:CN737"/>
    <mergeCell ref="CU737:CY737"/>
    <mergeCell ref="CU746:CY746"/>
    <mergeCell ref="M637:P637"/>
    <mergeCell ref="AF634:AJ634"/>
    <mergeCell ref="W637:Y637"/>
    <mergeCell ref="AG657:AH657"/>
    <mergeCell ref="Z634:AB634"/>
    <mergeCell ref="T720:W720"/>
    <mergeCell ref="K714:N717"/>
    <mergeCell ref="C635:L635"/>
    <mergeCell ref="J386:U386"/>
    <mergeCell ref="T398:AJ398"/>
    <mergeCell ref="AG440:AJ440"/>
    <mergeCell ref="S401:U401"/>
    <mergeCell ref="AG401:AJ401"/>
    <mergeCell ref="AC387:AJ387"/>
    <mergeCell ref="V388:AJ388"/>
    <mergeCell ref="D443:AF443"/>
    <mergeCell ref="AG395:AJ395"/>
    <mergeCell ref="AI392:AJ392"/>
    <mergeCell ref="E420:AJ420"/>
    <mergeCell ref="AG447:AJ447"/>
    <mergeCell ref="W467:Y467"/>
    <mergeCell ref="Q556:S556"/>
    <mergeCell ref="M554:P554"/>
    <mergeCell ref="W465:Y465"/>
    <mergeCell ref="W469:Y469"/>
    <mergeCell ref="D469:V469"/>
    <mergeCell ref="W473:Y473"/>
    <mergeCell ref="T556:V556"/>
    <mergeCell ref="AC520:AF520"/>
    <mergeCell ref="AC527:AF527"/>
    <mergeCell ref="W551:Y553"/>
    <mergeCell ref="AH521:AK521"/>
    <mergeCell ref="C630:L630"/>
    <mergeCell ref="T399:AJ399"/>
    <mergeCell ref="AI339:AK339"/>
    <mergeCell ref="P348:Z348"/>
    <mergeCell ref="N373:AF374"/>
    <mergeCell ref="AJ355:AK355"/>
    <mergeCell ref="AJ356:AK356"/>
    <mergeCell ref="AD377:AE377"/>
    <mergeCell ref="AC371:AF371"/>
    <mergeCell ref="AG438:AJ438"/>
    <mergeCell ref="Y364:Z364"/>
    <mergeCell ref="N378:P378"/>
    <mergeCell ref="W418:Y418"/>
    <mergeCell ref="AG439:AJ439"/>
    <mergeCell ref="AE424:AF424"/>
    <mergeCell ref="N371:Q371"/>
    <mergeCell ref="V382:W382"/>
    <mergeCell ref="J367:K367"/>
    <mergeCell ref="Q394:U394"/>
    <mergeCell ref="AD412:AE412"/>
    <mergeCell ref="H414:AE415"/>
    <mergeCell ref="AE425:AF425"/>
    <mergeCell ref="I421:K421"/>
    <mergeCell ref="P418:R418"/>
    <mergeCell ref="AF418:AH418"/>
    <mergeCell ref="AC370:AF370"/>
    <mergeCell ref="AG394:AJ394"/>
    <mergeCell ref="P425:Q425"/>
    <mergeCell ref="I418:K418"/>
    <mergeCell ref="S413:T413"/>
    <mergeCell ref="AA340:AF340"/>
    <mergeCell ref="P344:AE344"/>
    <mergeCell ref="M357:N357"/>
    <mergeCell ref="AA338:AK338"/>
    <mergeCell ref="H337:R337"/>
    <mergeCell ref="P345:AE345"/>
    <mergeCell ref="R412:S412"/>
    <mergeCell ref="Q429:R429"/>
    <mergeCell ref="S377:T377"/>
    <mergeCell ref="D437:AF437"/>
    <mergeCell ref="D442:AF442"/>
    <mergeCell ref="AF430:AG430"/>
    <mergeCell ref="AG437:AJ437"/>
    <mergeCell ref="J388:U388"/>
    <mergeCell ref="P349:AE349"/>
    <mergeCell ref="AC385:AJ385"/>
    <mergeCell ref="H336:R336"/>
    <mergeCell ref="D441:AF441"/>
    <mergeCell ref="M358:N358"/>
    <mergeCell ref="H338:R338"/>
    <mergeCell ref="AG393:AJ393"/>
    <mergeCell ref="AG391:AJ391"/>
    <mergeCell ref="K404:AJ404"/>
    <mergeCell ref="AC386:AJ386"/>
    <mergeCell ref="K403:AJ403"/>
    <mergeCell ref="P346:AE346"/>
    <mergeCell ref="Q390:U390"/>
    <mergeCell ref="I410:AE410"/>
    <mergeCell ref="AI389:AJ389"/>
    <mergeCell ref="P347:Z347"/>
    <mergeCell ref="M355:N355"/>
    <mergeCell ref="D439:AF439"/>
    <mergeCell ref="AI397:AJ397"/>
    <mergeCell ref="AA336:AK336"/>
    <mergeCell ref="I392:N392"/>
    <mergeCell ref="Z205:AN205"/>
    <mergeCell ref="A222:AT223"/>
    <mergeCell ref="T200:U200"/>
    <mergeCell ref="X198:AT199"/>
    <mergeCell ref="AH194:AI194"/>
    <mergeCell ref="AC220:AQ220"/>
    <mergeCell ref="D205:M205"/>
    <mergeCell ref="J174:AB174"/>
    <mergeCell ref="M251:AE251"/>
    <mergeCell ref="M252:AE252"/>
    <mergeCell ref="N191:AE192"/>
    <mergeCell ref="D211:M211"/>
    <mergeCell ref="I185:AE185"/>
    <mergeCell ref="U236:W236"/>
    <mergeCell ref="O160:T160"/>
    <mergeCell ref="AI178:AK178"/>
    <mergeCell ref="H313:R313"/>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308:AF308"/>
    <mergeCell ref="W261:X261"/>
    <mergeCell ref="U263:W263"/>
    <mergeCell ref="M257:T257"/>
    <mergeCell ref="M256:AE256"/>
    <mergeCell ref="AA298:AK298"/>
    <mergeCell ref="AA292:AF292"/>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J173:S173"/>
    <mergeCell ref="O155:AH155"/>
    <mergeCell ref="O153:AH153"/>
    <mergeCell ref="O154:AH154"/>
    <mergeCell ref="O156:AH156"/>
    <mergeCell ref="O157:X157"/>
    <mergeCell ref="T195:U195"/>
    <mergeCell ref="E187:AE188"/>
    <mergeCell ref="I189:P189"/>
    <mergeCell ref="AH197:AI197"/>
    <mergeCell ref="R177:S177"/>
    <mergeCell ref="T189:AE189"/>
    <mergeCell ref="Y120:AK120"/>
    <mergeCell ref="M243:AE243"/>
    <mergeCell ref="D204:M204"/>
    <mergeCell ref="M238:T238"/>
    <mergeCell ref="T197:U197"/>
    <mergeCell ref="W253:X253"/>
    <mergeCell ref="AC253:AE253"/>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M237:AE237"/>
    <mergeCell ref="AA249:AK249"/>
    <mergeCell ref="AF243:AK243"/>
    <mergeCell ref="M234:T234"/>
    <mergeCell ref="F150:T150"/>
    <mergeCell ref="Y123:AK123"/>
    <mergeCell ref="M248:AE248"/>
    <mergeCell ref="P113:S113"/>
    <mergeCell ref="W234:X234"/>
    <mergeCell ref="T212:U212"/>
    <mergeCell ref="H330:R330"/>
    <mergeCell ref="P331:R331"/>
    <mergeCell ref="AA324:AF324"/>
    <mergeCell ref="H328:R328"/>
    <mergeCell ref="AI323:AK323"/>
    <mergeCell ref="AA320:AK320"/>
    <mergeCell ref="H317:R317"/>
    <mergeCell ref="P323:R323"/>
    <mergeCell ref="AA315:AF315"/>
    <mergeCell ref="V276:W276"/>
    <mergeCell ref="AA301:AK301"/>
    <mergeCell ref="AA296:AK296"/>
    <mergeCell ref="H301:R301"/>
    <mergeCell ref="L277:AD277"/>
    <mergeCell ref="AA331:AF331"/>
    <mergeCell ref="P315:R315"/>
    <mergeCell ref="M253:T253"/>
    <mergeCell ref="AA257:AK257"/>
    <mergeCell ref="M260:AE260"/>
    <mergeCell ref="M261:T261"/>
    <mergeCell ref="H312:R312"/>
    <mergeCell ref="AI307:AK307"/>
    <mergeCell ref="H304:R304"/>
    <mergeCell ref="H303:R303"/>
    <mergeCell ref="AI229:AJ229"/>
    <mergeCell ref="AI228:AJ228"/>
    <mergeCell ref="M235:AE235"/>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X180:Y180"/>
    <mergeCell ref="L276:S276"/>
    <mergeCell ref="L278:Q278"/>
    <mergeCell ref="AA289:AK289"/>
    <mergeCell ref="AH254:AK254"/>
    <mergeCell ref="M259:AE259"/>
    <mergeCell ref="L280:AD280"/>
    <mergeCell ref="L275:AD275"/>
    <mergeCell ref="H290:R290"/>
    <mergeCell ref="D220:Z220"/>
    <mergeCell ref="T193:AI193"/>
    <mergeCell ref="AI227:AJ227"/>
    <mergeCell ref="AP205:AQ205"/>
    <mergeCell ref="U175:V175"/>
    <mergeCell ref="AA314:AK314"/>
    <mergeCell ref="AA313:AK313"/>
    <mergeCell ref="H319:R319"/>
    <mergeCell ref="AA316:AF316"/>
    <mergeCell ref="AA297:AK297"/>
    <mergeCell ref="H288:R288"/>
    <mergeCell ref="L274:AJ274"/>
    <mergeCell ref="H289:R289"/>
    <mergeCell ref="H291:M291"/>
    <mergeCell ref="H299:M299"/>
    <mergeCell ref="H300:M300"/>
    <mergeCell ref="AA265:AK265"/>
    <mergeCell ref="H295:R295"/>
    <mergeCell ref="H298:R298"/>
    <mergeCell ref="AF251:AK251"/>
    <mergeCell ref="M244:AE244"/>
    <mergeCell ref="M247:R247"/>
    <mergeCell ref="AA293:AK293"/>
    <mergeCell ref="AA299:AF299"/>
    <mergeCell ref="AI299:AK299"/>
    <mergeCell ref="H297:R297"/>
    <mergeCell ref="AA300:AF300"/>
    <mergeCell ref="AH246:AK246"/>
    <mergeCell ref="AA311:AK311"/>
    <mergeCell ref="AA306:AK306"/>
    <mergeCell ref="AA303:AK303"/>
    <mergeCell ref="D270:H270"/>
    <mergeCell ref="X270:AC270"/>
    <mergeCell ref="Z263:AE263"/>
    <mergeCell ref="H311:R311"/>
    <mergeCell ref="H308:M308"/>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N363:O363"/>
    <mergeCell ref="AA337:AK337"/>
    <mergeCell ref="AA332:AF332"/>
    <mergeCell ref="H332:M332"/>
    <mergeCell ref="AC456:AF456"/>
    <mergeCell ref="Q393:U393"/>
    <mergeCell ref="AG380:AH380"/>
    <mergeCell ref="W470:Y470"/>
    <mergeCell ref="D471:V471"/>
    <mergeCell ref="O532:AA532"/>
    <mergeCell ref="P424:Q424"/>
    <mergeCell ref="AC521:AF521"/>
    <mergeCell ref="AH527:AK527"/>
    <mergeCell ref="AC517:AF517"/>
    <mergeCell ref="D473:V473"/>
    <mergeCell ref="AC504:AF504"/>
    <mergeCell ref="D470:V470"/>
    <mergeCell ref="D438:AF438"/>
    <mergeCell ref="M254:AE254"/>
    <mergeCell ref="AA290:AK290"/>
    <mergeCell ref="AH262:AK262"/>
    <mergeCell ref="T267:X267"/>
    <mergeCell ref="AA319:AK319"/>
    <mergeCell ref="AA291:AF291"/>
    <mergeCell ref="AI291:AK291"/>
    <mergeCell ref="H327:R327"/>
    <mergeCell ref="H306:R306"/>
    <mergeCell ref="AA304:AK304"/>
    <mergeCell ref="AA309:AK309"/>
    <mergeCell ref="AA307:AF307"/>
    <mergeCell ref="AA305:AK305"/>
    <mergeCell ref="AA317:AK317"/>
    <mergeCell ref="AA328:AK328"/>
    <mergeCell ref="AA327:AK327"/>
    <mergeCell ref="AI315:AK315"/>
    <mergeCell ref="AA312:AK312"/>
    <mergeCell ref="AA329:AK329"/>
    <mergeCell ref="M263:R263"/>
    <mergeCell ref="M265:T265"/>
    <mergeCell ref="H314:R314"/>
    <mergeCell ref="H316:M316"/>
    <mergeCell ref="AA322:AK322"/>
    <mergeCell ref="H292:M292"/>
    <mergeCell ref="H309:R309"/>
    <mergeCell ref="O529:AA529"/>
    <mergeCell ref="AA323:AF323"/>
    <mergeCell ref="H320:R320"/>
    <mergeCell ref="H296:R296"/>
    <mergeCell ref="H323:M323"/>
    <mergeCell ref="AA330:AK330"/>
    <mergeCell ref="H324:M324"/>
    <mergeCell ref="AA325:AK325"/>
    <mergeCell ref="H315:M315"/>
    <mergeCell ref="H321:R321"/>
    <mergeCell ref="H322:R322"/>
    <mergeCell ref="AA321:AK321"/>
    <mergeCell ref="H325:R325"/>
    <mergeCell ref="H307:M307"/>
    <mergeCell ref="H329:R329"/>
    <mergeCell ref="AH501:AK501"/>
    <mergeCell ref="G474:V474"/>
    <mergeCell ref="AH526:AK526"/>
    <mergeCell ref="P421:R421"/>
    <mergeCell ref="S489:AK490"/>
    <mergeCell ref="AC507:AF507"/>
    <mergeCell ref="AE402:AJ402"/>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R411:S411"/>
    <mergeCell ref="AH519:AK519"/>
    <mergeCell ref="AH536:AK536"/>
    <mergeCell ref="AA335:AK335"/>
    <mergeCell ref="AC347:AE347"/>
    <mergeCell ref="P343:AE343"/>
    <mergeCell ref="W554:Y554"/>
    <mergeCell ref="W555:Y555"/>
    <mergeCell ref="Z561:AD561"/>
    <mergeCell ref="G586:R586"/>
    <mergeCell ref="W560:Y560"/>
    <mergeCell ref="P572:R572"/>
    <mergeCell ref="AI605:AK605"/>
    <mergeCell ref="G604:R604"/>
    <mergeCell ref="G577:R577"/>
    <mergeCell ref="C561:L561"/>
    <mergeCell ref="W563:Y563"/>
    <mergeCell ref="W564:Y564"/>
    <mergeCell ref="W565:Y565"/>
    <mergeCell ref="G594:R594"/>
    <mergeCell ref="Z594:AK594"/>
    <mergeCell ref="C563:L563"/>
    <mergeCell ref="AE565:AH565"/>
    <mergeCell ref="G578:R578"/>
    <mergeCell ref="AE563:AH563"/>
    <mergeCell ref="M560:P560"/>
    <mergeCell ref="Q563:S563"/>
    <mergeCell ref="AI565:AL565"/>
    <mergeCell ref="P597:R597"/>
    <mergeCell ref="Z581:AE581"/>
    <mergeCell ref="Z586:AK586"/>
    <mergeCell ref="AF574:AK574"/>
    <mergeCell ref="Z585:AK585"/>
    <mergeCell ref="G579:R579"/>
    <mergeCell ref="G589:L589"/>
    <mergeCell ref="G569:R569"/>
    <mergeCell ref="Z579:AK579"/>
    <mergeCell ref="G601:R601"/>
    <mergeCell ref="AA573:AK573"/>
    <mergeCell ref="G571:R571"/>
    <mergeCell ref="Z652:AK652"/>
    <mergeCell ref="G714:J717"/>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B729:F729"/>
    <mergeCell ref="G719:J719"/>
    <mergeCell ref="B730:F730"/>
    <mergeCell ref="T743:W743"/>
    <mergeCell ref="K744:N744"/>
    <mergeCell ref="O744:S744"/>
    <mergeCell ref="K740:N740"/>
    <mergeCell ref="O776:S776"/>
    <mergeCell ref="O769:S772"/>
    <mergeCell ref="X791:AB791"/>
    <mergeCell ref="X738:AB738"/>
    <mergeCell ref="O751:S751"/>
    <mergeCell ref="T751:W751"/>
    <mergeCell ref="K748:N748"/>
    <mergeCell ref="AK741:AO741"/>
    <mergeCell ref="J783:N786"/>
    <mergeCell ref="O791:S791"/>
    <mergeCell ref="AH742:AJ742"/>
    <mergeCell ref="B753:F753"/>
    <mergeCell ref="O752:S752"/>
    <mergeCell ref="B751:F751"/>
    <mergeCell ref="AH745:AJ745"/>
    <mergeCell ref="X789:AB789"/>
    <mergeCell ref="AC774:AG774"/>
    <mergeCell ref="X777:AB777"/>
    <mergeCell ref="T776:W776"/>
    <mergeCell ref="T774:W774"/>
    <mergeCell ref="AC740:AG740"/>
    <mergeCell ref="AC741:AG741"/>
    <mergeCell ref="B742:F742"/>
    <mergeCell ref="B743:F743"/>
    <mergeCell ref="X740:AB740"/>
    <mergeCell ref="AC742:AG742"/>
    <mergeCell ref="AC745:AG745"/>
    <mergeCell ref="AC746:AG746"/>
    <mergeCell ref="T745:W745"/>
    <mergeCell ref="AK748:AO748"/>
    <mergeCell ref="O743:S743"/>
    <mergeCell ref="J789:N789"/>
    <mergeCell ref="X745:AB745"/>
    <mergeCell ref="J774:N774"/>
    <mergeCell ref="O756:R756"/>
    <mergeCell ref="AC749:AG749"/>
    <mergeCell ref="X746:AB746"/>
    <mergeCell ref="K751:N751"/>
    <mergeCell ref="M827:P827"/>
    <mergeCell ref="J797:N797"/>
    <mergeCell ref="J795:N795"/>
    <mergeCell ref="X752:AB752"/>
    <mergeCell ref="Q828:T828"/>
    <mergeCell ref="O787:S787"/>
    <mergeCell ref="Q826:T826"/>
    <mergeCell ref="Y823:AB824"/>
    <mergeCell ref="O745:S745"/>
    <mergeCell ref="T748:W748"/>
    <mergeCell ref="AG756:AJ756"/>
    <mergeCell ref="O775:S775"/>
    <mergeCell ref="C766:AR768"/>
    <mergeCell ref="AK745:AO745"/>
    <mergeCell ref="J794:N794"/>
    <mergeCell ref="J769:N772"/>
    <mergeCell ref="AG823:AJ824"/>
    <mergeCell ref="AC797:AG797"/>
    <mergeCell ref="AC787:AG787"/>
    <mergeCell ref="AC753:AG753"/>
    <mergeCell ref="O753:S753"/>
    <mergeCell ref="AC743:AG743"/>
    <mergeCell ref="AC744:AG744"/>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73:AB773"/>
    <mergeCell ref="O789:S789"/>
    <mergeCell ref="J775:N775"/>
    <mergeCell ref="AC776:AG776"/>
    <mergeCell ref="AC792:AG792"/>
    <mergeCell ref="AC826:AF826"/>
    <mergeCell ref="AC777:AG777"/>
    <mergeCell ref="T794:W794"/>
    <mergeCell ref="T792:W792"/>
    <mergeCell ref="O777:S777"/>
    <mergeCell ref="T787:W787"/>
    <mergeCell ref="T789:W789"/>
    <mergeCell ref="O795:S795"/>
    <mergeCell ref="AC791:AG791"/>
    <mergeCell ref="AC794:AG794"/>
    <mergeCell ref="AC795:AG795"/>
    <mergeCell ref="Q823:T824"/>
    <mergeCell ref="W852:AC852"/>
    <mergeCell ref="W854:AC854"/>
    <mergeCell ref="U825:X825"/>
    <mergeCell ref="M823:P824"/>
    <mergeCell ref="Q825:T825"/>
    <mergeCell ref="O790:S790"/>
    <mergeCell ref="J788:N788"/>
    <mergeCell ref="M828:P828"/>
    <mergeCell ref="Z813:AE813"/>
    <mergeCell ref="C798:AN799"/>
    <mergeCell ref="J793:N793"/>
    <mergeCell ref="C829:H829"/>
    <mergeCell ref="U829:X829"/>
    <mergeCell ref="X794:AB794"/>
    <mergeCell ref="J790:N790"/>
    <mergeCell ref="AC789:AG789"/>
    <mergeCell ref="AC790:AG790"/>
    <mergeCell ref="Z817:AE817"/>
    <mergeCell ref="AC827:AF827"/>
    <mergeCell ref="X788:AB788"/>
    <mergeCell ref="O797:S797"/>
    <mergeCell ref="Q827:T827"/>
    <mergeCell ref="O793:S793"/>
    <mergeCell ref="AC828:AF828"/>
    <mergeCell ref="P816:Y816"/>
    <mergeCell ref="Z809:AE809"/>
    <mergeCell ref="W842:AC842"/>
    <mergeCell ref="O788:S788"/>
    <mergeCell ref="C828:H828"/>
    <mergeCell ref="Q829:T829"/>
    <mergeCell ref="T791:W791"/>
    <mergeCell ref="T788:W788"/>
    <mergeCell ref="M861:V861"/>
    <mergeCell ref="F939:T939"/>
    <mergeCell ref="AE959:AK959"/>
    <mergeCell ref="AZ851:BA851"/>
    <mergeCell ref="AC890:AH890"/>
    <mergeCell ref="Q830:T830"/>
    <mergeCell ref="AG831:AJ831"/>
    <mergeCell ref="X793:AB793"/>
    <mergeCell ref="Z818:AE818"/>
    <mergeCell ref="T795:W795"/>
    <mergeCell ref="T793:W793"/>
    <mergeCell ref="J792:N792"/>
    <mergeCell ref="Z806:AE806"/>
    <mergeCell ref="Z814:AE814"/>
    <mergeCell ref="M829:P829"/>
    <mergeCell ref="Z815:AE815"/>
    <mergeCell ref="Z808:AE808"/>
    <mergeCell ref="AA938:AF938"/>
    <mergeCell ref="U923:Z923"/>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901:BE901"/>
    <mergeCell ref="AC886:AH886"/>
    <mergeCell ref="BD904:BE904"/>
    <mergeCell ref="BD906:BF906"/>
    <mergeCell ref="BD905:BF905"/>
    <mergeCell ref="BD910:BE910"/>
    <mergeCell ref="F937:T937"/>
    <mergeCell ref="U937:Z937"/>
    <mergeCell ref="AA937:AF937"/>
    <mergeCell ref="M871:V871"/>
    <mergeCell ref="AA932:AF932"/>
    <mergeCell ref="AA967:AG967"/>
    <mergeCell ref="F926:T926"/>
    <mergeCell ref="F927:T927"/>
    <mergeCell ref="F928:T928"/>
    <mergeCell ref="U926:Z926"/>
    <mergeCell ref="AA926:AF926"/>
    <mergeCell ref="U927:Z927"/>
    <mergeCell ref="AA927:AF927"/>
    <mergeCell ref="F929:T929"/>
    <mergeCell ref="AC887:AH887"/>
    <mergeCell ref="AE956:AK956"/>
    <mergeCell ref="F946:H946"/>
    <mergeCell ref="I948:T948"/>
    <mergeCell ref="BD902:BE902"/>
    <mergeCell ref="BD900:BE900"/>
    <mergeCell ref="BD899:BE899"/>
    <mergeCell ref="Q832:T832"/>
    <mergeCell ref="AG830:AJ830"/>
    <mergeCell ref="U832:X832"/>
    <mergeCell ref="M832:P832"/>
    <mergeCell ref="W866:AC866"/>
    <mergeCell ref="W859:AC859"/>
    <mergeCell ref="W849:AC849"/>
    <mergeCell ref="M830:P830"/>
    <mergeCell ref="C832:L832"/>
    <mergeCell ref="W857:AC857"/>
    <mergeCell ref="AC889:AH889"/>
    <mergeCell ref="AC894:AH894"/>
    <mergeCell ref="Z899:AE899"/>
    <mergeCell ref="F942:T942"/>
    <mergeCell ref="U942:Z942"/>
    <mergeCell ref="AA942:AF942"/>
    <mergeCell ref="C892:AB892"/>
    <mergeCell ref="U924:Z924"/>
    <mergeCell ref="F940:T940"/>
    <mergeCell ref="U939:Z939"/>
    <mergeCell ref="U940:Z940"/>
    <mergeCell ref="AA931:AF931"/>
    <mergeCell ref="U932:Z932"/>
    <mergeCell ref="AC895:AH895"/>
    <mergeCell ref="AA933:AF933"/>
    <mergeCell ref="Z900:AE900"/>
    <mergeCell ref="AA941:AF941"/>
    <mergeCell ref="AA929:AF929"/>
    <mergeCell ref="U930:Z930"/>
    <mergeCell ref="AA930:AF930"/>
    <mergeCell ref="W847:AC847"/>
    <mergeCell ref="W876:AC876"/>
    <mergeCell ref="B722:F722"/>
    <mergeCell ref="AG673:AH673"/>
    <mergeCell ref="B728:F728"/>
    <mergeCell ref="B725:F725"/>
    <mergeCell ref="B724:F724"/>
    <mergeCell ref="B727:F727"/>
    <mergeCell ref="H680:R680"/>
    <mergeCell ref="N673:O673"/>
    <mergeCell ref="G687:L687"/>
    <mergeCell ref="T722:W722"/>
    <mergeCell ref="G676:R676"/>
    <mergeCell ref="O722:S722"/>
    <mergeCell ref="G734:J734"/>
    <mergeCell ref="O729:S729"/>
    <mergeCell ref="N689:O689"/>
    <mergeCell ref="T742:W742"/>
    <mergeCell ref="E707:AK707"/>
    <mergeCell ref="W706:AK706"/>
    <mergeCell ref="AH739:AJ739"/>
    <mergeCell ref="AH740:AJ740"/>
    <mergeCell ref="O714:S717"/>
    <mergeCell ref="AE696:AI696"/>
    <mergeCell ref="K718:N718"/>
    <mergeCell ref="B734:F734"/>
    <mergeCell ref="B723:F723"/>
    <mergeCell ref="G685:R685"/>
    <mergeCell ref="AK727:AO727"/>
    <mergeCell ref="AH724:AJ724"/>
    <mergeCell ref="B738:F738"/>
    <mergeCell ref="AC737:AG737"/>
    <mergeCell ref="AH741:AJ741"/>
    <mergeCell ref="AK740:AO740"/>
    <mergeCell ref="Z660:AK660"/>
    <mergeCell ref="G663:L663"/>
    <mergeCell ref="B714:F717"/>
    <mergeCell ref="K727:N727"/>
    <mergeCell ref="K726:N726"/>
    <mergeCell ref="K737:N737"/>
    <mergeCell ref="J704:X704"/>
    <mergeCell ref="K720:N720"/>
    <mergeCell ref="T714:W717"/>
    <mergeCell ref="AE693:AF693"/>
    <mergeCell ref="G671:L671"/>
    <mergeCell ref="G723:J723"/>
    <mergeCell ref="O725:S725"/>
    <mergeCell ref="O726:S726"/>
    <mergeCell ref="X736:AB736"/>
    <mergeCell ref="T735:W735"/>
    <mergeCell ref="T734:W734"/>
    <mergeCell ref="X733:AB733"/>
    <mergeCell ref="G732:J732"/>
    <mergeCell ref="X734:AB734"/>
    <mergeCell ref="AH718:AJ718"/>
    <mergeCell ref="AC718:AG718"/>
    <mergeCell ref="T732:W732"/>
    <mergeCell ref="T731:W731"/>
    <mergeCell ref="K735:N735"/>
    <mergeCell ref="O730:S730"/>
    <mergeCell ref="G731:J731"/>
    <mergeCell ref="G661:R661"/>
    <mergeCell ref="H664:R664"/>
    <mergeCell ref="P663:R663"/>
    <mergeCell ref="B735:F735"/>
    <mergeCell ref="B720:F720"/>
    <mergeCell ref="G654:R654"/>
    <mergeCell ref="CM722:CN722"/>
    <mergeCell ref="CG722:CH722"/>
    <mergeCell ref="G677:R677"/>
    <mergeCell ref="Z678:AK678"/>
    <mergeCell ref="Z679:AE679"/>
    <mergeCell ref="Z670:AK670"/>
    <mergeCell ref="X727:AB727"/>
    <mergeCell ref="X726:AB726"/>
    <mergeCell ref="G729:J729"/>
    <mergeCell ref="G655:L655"/>
    <mergeCell ref="AG649:AH649"/>
    <mergeCell ref="AK714:AO717"/>
    <mergeCell ref="AK718:AO718"/>
    <mergeCell ref="AK729:AO729"/>
    <mergeCell ref="AC719:AG719"/>
    <mergeCell ref="AC729:AG729"/>
    <mergeCell ref="O728:S728"/>
    <mergeCell ref="G718:J718"/>
    <mergeCell ref="G670:R670"/>
    <mergeCell ref="Z669:AK669"/>
    <mergeCell ref="G662:R662"/>
    <mergeCell ref="AG681:AH681"/>
    <mergeCell ref="AI687:AK687"/>
    <mergeCell ref="J705:O705"/>
    <mergeCell ref="Z668:AK668"/>
    <mergeCell ref="O723:S723"/>
    <mergeCell ref="X723:AB723"/>
    <mergeCell ref="T719:W719"/>
    <mergeCell ref="O724:S724"/>
    <mergeCell ref="AH719:AJ719"/>
    <mergeCell ref="CK725:CL725"/>
    <mergeCell ref="CI719:CJ719"/>
    <mergeCell ref="CM739:CN739"/>
    <mergeCell ref="CI737:CJ737"/>
    <mergeCell ref="X728:AB728"/>
    <mergeCell ref="O719:S719"/>
    <mergeCell ref="K724:N724"/>
    <mergeCell ref="CG737:CH737"/>
    <mergeCell ref="K725:N725"/>
    <mergeCell ref="X720:AB720"/>
    <mergeCell ref="CM735:CN735"/>
    <mergeCell ref="CM720:CN720"/>
    <mergeCell ref="G678:R678"/>
    <mergeCell ref="P679:R679"/>
    <mergeCell ref="K730:N730"/>
    <mergeCell ref="T725:W725"/>
    <mergeCell ref="G724:J724"/>
    <mergeCell ref="AK730:AO730"/>
    <mergeCell ref="AH729:AJ729"/>
    <mergeCell ref="AK726:AO726"/>
    <mergeCell ref="AH726:AJ726"/>
    <mergeCell ref="CM718:CN718"/>
    <mergeCell ref="G725:J725"/>
    <mergeCell ref="K739:N739"/>
    <mergeCell ref="CZ741:DD741"/>
    <mergeCell ref="AC736:AG736"/>
    <mergeCell ref="CG729:CH729"/>
    <mergeCell ref="CG723:CH723"/>
    <mergeCell ref="CG720:CH720"/>
    <mergeCell ref="CU733:CY733"/>
    <mergeCell ref="CZ740:DD740"/>
    <mergeCell ref="CU741:CY741"/>
    <mergeCell ref="CZ739:DD739"/>
    <mergeCell ref="CK734:CL734"/>
    <mergeCell ref="CM734:CN734"/>
    <mergeCell ref="AK737:AO737"/>
    <mergeCell ref="AC727:AG727"/>
    <mergeCell ref="AC728:AG728"/>
    <mergeCell ref="AC732:AG732"/>
    <mergeCell ref="AH735:AJ735"/>
    <mergeCell ref="CM724:CN724"/>
    <mergeCell ref="CG741:CH741"/>
    <mergeCell ref="CI741:CJ741"/>
    <mergeCell ref="CI722:CJ722"/>
    <mergeCell ref="CG721:CH721"/>
    <mergeCell ref="CK720:CL720"/>
    <mergeCell ref="CG731:CH731"/>
    <mergeCell ref="CK741:CL741"/>
    <mergeCell ref="CZ720:DD720"/>
    <mergeCell ref="AC733:AG733"/>
    <mergeCell ref="CG740:CH740"/>
    <mergeCell ref="CM740:CN740"/>
    <mergeCell ref="CU731:CY731"/>
    <mergeCell ref="CK726:CL726"/>
    <mergeCell ref="CU734:CY734"/>
    <mergeCell ref="CI736:CJ736"/>
    <mergeCell ref="AO640:AS640"/>
    <mergeCell ref="DE730:DI730"/>
    <mergeCell ref="CM730:CN730"/>
    <mergeCell ref="CK727:CL727"/>
    <mergeCell ref="DE728:DI728"/>
    <mergeCell ref="CU729:CY729"/>
    <mergeCell ref="CM729:CN729"/>
    <mergeCell ref="CM723:CN723"/>
    <mergeCell ref="CM725:CN725"/>
    <mergeCell ref="CK730:CL730"/>
    <mergeCell ref="CP729:CT729"/>
    <mergeCell ref="CP724:CT724"/>
    <mergeCell ref="CP727:CT727"/>
    <mergeCell ref="DE725:DI725"/>
    <mergeCell ref="DE729:DI729"/>
    <mergeCell ref="CZ728:DD728"/>
    <mergeCell ref="CU730:CY730"/>
    <mergeCell ref="CK729:CL729"/>
    <mergeCell ref="CU724:CY724"/>
    <mergeCell ref="CI723:CJ723"/>
    <mergeCell ref="CI728:CJ728"/>
    <mergeCell ref="CU722:CY722"/>
    <mergeCell ref="CZ721:DD721"/>
    <mergeCell ref="CZ722:DD722"/>
    <mergeCell ref="CP721:CT721"/>
    <mergeCell ref="DE720:DI720"/>
    <mergeCell ref="AK722:AO722"/>
    <mergeCell ref="DE719:DI719"/>
    <mergeCell ref="CP730:CT730"/>
    <mergeCell ref="CI726:CJ726"/>
    <mergeCell ref="CG726:CH726"/>
    <mergeCell ref="CM727:CN727"/>
    <mergeCell ref="P655:R655"/>
    <mergeCell ref="CG719:CH719"/>
    <mergeCell ref="CI721:CJ721"/>
    <mergeCell ref="G653:R653"/>
    <mergeCell ref="P671:R671"/>
    <mergeCell ref="CU727:CY727"/>
    <mergeCell ref="CK724:CL724"/>
    <mergeCell ref="CG725:CH725"/>
    <mergeCell ref="CG727:CH727"/>
    <mergeCell ref="N649:O649"/>
    <mergeCell ref="Z605:AE605"/>
    <mergeCell ref="Z609:AK609"/>
    <mergeCell ref="N607:O607"/>
    <mergeCell ref="G593:R593"/>
    <mergeCell ref="G605:L605"/>
    <mergeCell ref="H606:R606"/>
    <mergeCell ref="AI597:AK597"/>
    <mergeCell ref="G644:R644"/>
    <mergeCell ref="Q630:S630"/>
    <mergeCell ref="G651:R651"/>
    <mergeCell ref="G652:R652"/>
    <mergeCell ref="AO633:AS633"/>
    <mergeCell ref="Z655:AE655"/>
    <mergeCell ref="T634:V634"/>
    <mergeCell ref="Z630:AB630"/>
    <mergeCell ref="AF637:AJ637"/>
    <mergeCell ref="AC636:AE636"/>
    <mergeCell ref="Z647:AE647"/>
    <mergeCell ref="Z612:AK612"/>
    <mergeCell ref="AC627:AE627"/>
    <mergeCell ref="AF636:AJ636"/>
    <mergeCell ref="AF630:AJ630"/>
    <mergeCell ref="H582:R582"/>
    <mergeCell ref="G610:R610"/>
    <mergeCell ref="A617:AT618"/>
    <mergeCell ref="B624:L626"/>
    <mergeCell ref="Z613:AE613"/>
    <mergeCell ref="AC629:AE629"/>
    <mergeCell ref="G603:R603"/>
    <mergeCell ref="G597:L597"/>
    <mergeCell ref="Z588:AK588"/>
    <mergeCell ref="W629:Y629"/>
    <mergeCell ref="Q624:S626"/>
    <mergeCell ref="Z611:AK611"/>
    <mergeCell ref="C628:L628"/>
    <mergeCell ref="T628:V628"/>
    <mergeCell ref="P605:R605"/>
    <mergeCell ref="M627:P627"/>
    <mergeCell ref="M629:P629"/>
    <mergeCell ref="W624:Y626"/>
    <mergeCell ref="W628:Y628"/>
    <mergeCell ref="M628:P628"/>
    <mergeCell ref="Z610:AK610"/>
    <mergeCell ref="AF628:AJ628"/>
    <mergeCell ref="AC628:AE628"/>
    <mergeCell ref="AK627:AN627"/>
    <mergeCell ref="AA614:AK614"/>
    <mergeCell ref="AC624:AE626"/>
    <mergeCell ref="AA606:AK606"/>
    <mergeCell ref="Z603:AK603"/>
    <mergeCell ref="Z602:AK602"/>
    <mergeCell ref="AE559:AH559"/>
    <mergeCell ref="AI559:AL559"/>
    <mergeCell ref="AC513:AF513"/>
    <mergeCell ref="AC518:AF518"/>
    <mergeCell ref="AH517:AK517"/>
    <mergeCell ref="C557:L557"/>
    <mergeCell ref="AC533:AF533"/>
    <mergeCell ref="M551:P553"/>
    <mergeCell ref="AC510:AF510"/>
    <mergeCell ref="AC516:AF516"/>
    <mergeCell ref="Z577:AK577"/>
    <mergeCell ref="T561:V561"/>
    <mergeCell ref="AI563:AL563"/>
    <mergeCell ref="Z563:AD563"/>
    <mergeCell ref="T560:V560"/>
    <mergeCell ref="G572:L572"/>
    <mergeCell ref="G645:R645"/>
    <mergeCell ref="T624:V626"/>
    <mergeCell ref="T627:V627"/>
    <mergeCell ref="M624:P626"/>
    <mergeCell ref="AA598:AK598"/>
    <mergeCell ref="AC635:AE635"/>
    <mergeCell ref="Z601:AK601"/>
    <mergeCell ref="Z597:AE597"/>
    <mergeCell ref="AF629:AJ629"/>
    <mergeCell ref="AI613:AK613"/>
    <mergeCell ref="Q634:S634"/>
    <mergeCell ref="AK636:AN636"/>
    <mergeCell ref="C637:L637"/>
    <mergeCell ref="Z627:AB627"/>
    <mergeCell ref="AI581:AK581"/>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N599:O599"/>
    <mergeCell ref="AA590:AK590"/>
    <mergeCell ref="AI589:AK589"/>
    <mergeCell ref="Z596:AK596"/>
    <mergeCell ref="H598:R598"/>
    <mergeCell ref="AG583:AH583"/>
    <mergeCell ref="G588:R588"/>
    <mergeCell ref="Z580:AK580"/>
    <mergeCell ref="Z595:AK595"/>
    <mergeCell ref="AE562:AH562"/>
    <mergeCell ref="Q562:S562"/>
    <mergeCell ref="G568:R568"/>
    <mergeCell ref="M574:R574"/>
    <mergeCell ref="Z570:AK570"/>
    <mergeCell ref="P589:R589"/>
    <mergeCell ref="G596:R596"/>
    <mergeCell ref="Z578:AK578"/>
    <mergeCell ref="G570:R570"/>
    <mergeCell ref="Z593:AK593"/>
    <mergeCell ref="G581:L581"/>
    <mergeCell ref="G587:R587"/>
    <mergeCell ref="AM563:AS563"/>
    <mergeCell ref="Z676:AK676"/>
    <mergeCell ref="W700:AK700"/>
    <mergeCell ref="Z683:AK683"/>
    <mergeCell ref="AM556:AS556"/>
    <mergeCell ref="M636:P636"/>
    <mergeCell ref="AA664:AK664"/>
    <mergeCell ref="T635:V635"/>
    <mergeCell ref="T636:V636"/>
    <mergeCell ref="T637:V637"/>
    <mergeCell ref="AO632:AS632"/>
    <mergeCell ref="Z635:AB635"/>
    <mergeCell ref="N615:O615"/>
    <mergeCell ref="AK624:AN626"/>
    <mergeCell ref="H614:R614"/>
    <mergeCell ref="G613:L613"/>
    <mergeCell ref="M633:P633"/>
    <mergeCell ref="M632:P632"/>
    <mergeCell ref="Q633:S633"/>
    <mergeCell ref="Z687:AE687"/>
    <mergeCell ref="M561:P561"/>
    <mergeCell ref="C565:L565"/>
    <mergeCell ref="T638:V638"/>
    <mergeCell ref="AK631:AN631"/>
    <mergeCell ref="AK632:AN632"/>
    <mergeCell ref="AI671:AK671"/>
    <mergeCell ref="AM558:AS558"/>
    <mergeCell ref="AM566:AS566"/>
    <mergeCell ref="Q632:S632"/>
    <mergeCell ref="AM562:AS562"/>
    <mergeCell ref="H672:R672"/>
    <mergeCell ref="W633:Y633"/>
    <mergeCell ref="Z434:AA434"/>
    <mergeCell ref="H590:R590"/>
    <mergeCell ref="T721:W721"/>
    <mergeCell ref="AE695:AI695"/>
    <mergeCell ref="Z644:AK644"/>
    <mergeCell ref="AO636:AS636"/>
    <mergeCell ref="AC721:AG721"/>
    <mergeCell ref="AH720:AJ720"/>
    <mergeCell ref="AH721:AJ721"/>
    <mergeCell ref="AK719:AO719"/>
    <mergeCell ref="AO641:AS641"/>
    <mergeCell ref="Z651:AK651"/>
    <mergeCell ref="AK638:AN638"/>
    <mergeCell ref="AF624:AJ626"/>
    <mergeCell ref="AM559:AS559"/>
    <mergeCell ref="AG599:AH599"/>
    <mergeCell ref="G595:R595"/>
    <mergeCell ref="AK630:AN630"/>
    <mergeCell ref="AM565:AS565"/>
    <mergeCell ref="AO628:AS628"/>
    <mergeCell ref="AG607:AH607"/>
    <mergeCell ref="AO624:AS626"/>
    <mergeCell ref="AG591:AH591"/>
    <mergeCell ref="Z632:AB632"/>
    <mergeCell ref="AO631:AS631"/>
    <mergeCell ref="AI663:AK663"/>
    <mergeCell ref="B641:AN641"/>
    <mergeCell ref="G643:R643"/>
    <mergeCell ref="M634:P634"/>
    <mergeCell ref="Z661:AK661"/>
    <mergeCell ref="G675:R675"/>
    <mergeCell ref="G669:R669"/>
    <mergeCell ref="AC632:AE632"/>
    <mergeCell ref="G602:R602"/>
    <mergeCell ref="T630:V630"/>
    <mergeCell ref="T631:V631"/>
    <mergeCell ref="AF632:AJ632"/>
    <mergeCell ref="G609:R609"/>
    <mergeCell ref="DO717:DS717"/>
    <mergeCell ref="DX668:EB668"/>
    <mergeCell ref="EC668:EG668"/>
    <mergeCell ref="DO718:DS718"/>
    <mergeCell ref="DO719:DS719"/>
    <mergeCell ref="AK628:AN628"/>
    <mergeCell ref="Z629:AB629"/>
    <mergeCell ref="EC637:EG637"/>
    <mergeCell ref="EH637:EL637"/>
    <mergeCell ref="W703:AK703"/>
    <mergeCell ref="CU717:CY717"/>
    <mergeCell ref="W635:Y635"/>
    <mergeCell ref="EC666:EG666"/>
    <mergeCell ref="DZ717:ED717"/>
    <mergeCell ref="AC630:AE630"/>
    <mergeCell ref="AO634:AS634"/>
    <mergeCell ref="AC634:AE634"/>
    <mergeCell ref="Z671:AE671"/>
    <mergeCell ref="AF631:AJ631"/>
    <mergeCell ref="AK633:AN633"/>
    <mergeCell ref="Z645:AK645"/>
    <mergeCell ref="AE699:AI699"/>
    <mergeCell ref="W636:Y636"/>
    <mergeCell ref="DX652:EB652"/>
    <mergeCell ref="EC652:EG652"/>
    <mergeCell ref="Z604:AK604"/>
    <mergeCell ref="AM561:AS561"/>
    <mergeCell ref="Z631:AB631"/>
    <mergeCell ref="CP717:CT717"/>
    <mergeCell ref="AK720:AO720"/>
    <mergeCell ref="Z686:AK686"/>
    <mergeCell ref="Z675:AK675"/>
    <mergeCell ref="EH647:EL647"/>
    <mergeCell ref="EM647:EQ647"/>
    <mergeCell ref="DX648:EB648"/>
    <mergeCell ref="X721:AB721"/>
    <mergeCell ref="AC631:AE631"/>
    <mergeCell ref="CI717:CJ717"/>
    <mergeCell ref="AA680:AK680"/>
    <mergeCell ref="Z662:AK662"/>
    <mergeCell ref="CP719:CT719"/>
    <mergeCell ref="AI655:AK655"/>
    <mergeCell ref="AK635:AN635"/>
    <mergeCell ref="DX666:EB666"/>
    <mergeCell ref="AK721:AO721"/>
    <mergeCell ref="CI720:CJ720"/>
    <mergeCell ref="CU720:CY720"/>
    <mergeCell ref="AA648:AK648"/>
    <mergeCell ref="AK637:AN637"/>
    <mergeCell ref="Z633:AB633"/>
    <mergeCell ref="CZ717:DD717"/>
    <mergeCell ref="W634:Y634"/>
    <mergeCell ref="AF638:AJ638"/>
    <mergeCell ref="Z667:AK667"/>
    <mergeCell ref="DJ721:DN721"/>
    <mergeCell ref="Z653:AK653"/>
    <mergeCell ref="AF633:AJ633"/>
    <mergeCell ref="W630:Y630"/>
    <mergeCell ref="DX649:EB649"/>
    <mergeCell ref="DX655:EB655"/>
    <mergeCell ref="EH652:EL652"/>
    <mergeCell ref="EJ725:EN725"/>
    <mergeCell ref="AE702:AF702"/>
    <mergeCell ref="DE717:DI717"/>
    <mergeCell ref="CU725:CY725"/>
    <mergeCell ref="CZ724:DD724"/>
    <mergeCell ref="CP720:CT720"/>
    <mergeCell ref="DJ725:DN725"/>
    <mergeCell ref="CP722:CT722"/>
    <mergeCell ref="AH723:AJ723"/>
    <mergeCell ref="CU718:CY718"/>
    <mergeCell ref="AA688:AK688"/>
    <mergeCell ref="AA672:AK672"/>
    <mergeCell ref="Z684:AK684"/>
    <mergeCell ref="CZ718:DD718"/>
    <mergeCell ref="CM717:CN717"/>
    <mergeCell ref="CM719:CN719"/>
    <mergeCell ref="CU719:CY719"/>
    <mergeCell ref="CG718:CH718"/>
    <mergeCell ref="EJ717:EN717"/>
    <mergeCell ref="EC664:EG664"/>
    <mergeCell ref="EH664:EL664"/>
    <mergeCell ref="DX661:EB661"/>
    <mergeCell ref="AA656:AK656"/>
    <mergeCell ref="AC720:AG720"/>
    <mergeCell ref="EE724:EI724"/>
    <mergeCell ref="DZ718:ED718"/>
    <mergeCell ref="EE718:EI718"/>
    <mergeCell ref="EJ718:EN718"/>
    <mergeCell ref="DX664:EB664"/>
    <mergeCell ref="CU735:CY735"/>
    <mergeCell ref="DE731:DI731"/>
    <mergeCell ref="DJ733:DN733"/>
    <mergeCell ref="CM733:CN733"/>
    <mergeCell ref="CZ734:DD734"/>
    <mergeCell ref="CP733:CT733"/>
    <mergeCell ref="CK735:CL735"/>
    <mergeCell ref="CP732:CT732"/>
    <mergeCell ref="CP731:CT731"/>
    <mergeCell ref="CZ735:DD735"/>
    <mergeCell ref="DJ731:DN731"/>
    <mergeCell ref="CZ731:DD731"/>
    <mergeCell ref="CK728:CL728"/>
    <mergeCell ref="CK731:CL731"/>
    <mergeCell ref="CI731:CJ731"/>
    <mergeCell ref="CG734:CH734"/>
    <mergeCell ref="CI735:CJ735"/>
    <mergeCell ref="CI729:CJ729"/>
    <mergeCell ref="CG733:CH733"/>
    <mergeCell ref="CI734:CJ734"/>
    <mergeCell ref="CZ719:DD719"/>
    <mergeCell ref="DE727:DI727"/>
    <mergeCell ref="ET729:EX729"/>
    <mergeCell ref="EO719:ES719"/>
    <mergeCell ref="ET719:EX719"/>
    <mergeCell ref="EJ722:EN722"/>
    <mergeCell ref="EO720:ES720"/>
    <mergeCell ref="EJ727:EN727"/>
    <mergeCell ref="EO729:ES729"/>
    <mergeCell ref="DE732:DI732"/>
    <mergeCell ref="DE722:DI722"/>
    <mergeCell ref="CZ732:DD732"/>
    <mergeCell ref="ET736:EX736"/>
    <mergeCell ref="EE735:EI735"/>
    <mergeCell ref="EJ734:EN734"/>
    <mergeCell ref="DJ727:DN727"/>
    <mergeCell ref="DJ726:DN726"/>
    <mergeCell ref="DE726:DI726"/>
    <mergeCell ref="DO729:DS729"/>
    <mergeCell ref="DU726:DY726"/>
    <mergeCell ref="EO721:ES721"/>
    <mergeCell ref="DO721:DS721"/>
    <mergeCell ref="DJ723:DN723"/>
    <mergeCell ref="DJ724:DN724"/>
    <mergeCell ref="DO722:DS722"/>
    <mergeCell ref="DJ718:DN718"/>
    <mergeCell ref="EE719:EI719"/>
    <mergeCell ref="DZ720:ED720"/>
    <mergeCell ref="EJ719:EN719"/>
    <mergeCell ref="DZ719:ED719"/>
    <mergeCell ref="EO724:ES724"/>
    <mergeCell ref="EO726:ES726"/>
    <mergeCell ref="EO728:ES728"/>
    <mergeCell ref="EO725:ES725"/>
    <mergeCell ref="EO723:ES723"/>
    <mergeCell ref="DO723:DS723"/>
    <mergeCell ref="CZ727:DD727"/>
    <mergeCell ref="K741:N741"/>
    <mergeCell ref="EO737:ES737"/>
    <mergeCell ref="CI727:CJ727"/>
    <mergeCell ref="CI725:CJ725"/>
    <mergeCell ref="CG739:CH739"/>
    <mergeCell ref="AH730:AJ730"/>
    <mergeCell ref="AC723:AG723"/>
    <mergeCell ref="DE723:DI723"/>
    <mergeCell ref="DE735:DI735"/>
    <mergeCell ref="CZ737:DD737"/>
    <mergeCell ref="DE733:DI733"/>
    <mergeCell ref="DJ719:DN719"/>
    <mergeCell ref="DJ729:DN729"/>
    <mergeCell ref="DE724:DI724"/>
    <mergeCell ref="CZ723:DD723"/>
    <mergeCell ref="DZ726:ED726"/>
    <mergeCell ref="DU728:DY728"/>
    <mergeCell ref="CZ773:DD773"/>
    <mergeCell ref="DO724:DS724"/>
    <mergeCell ref="DO726:DS726"/>
    <mergeCell ref="CM721:CN721"/>
    <mergeCell ref="DU725:DY725"/>
    <mergeCell ref="DZ725:ED725"/>
    <mergeCell ref="DU723:DY723"/>
    <mergeCell ref="DZ723:ED723"/>
    <mergeCell ref="DU724:DY724"/>
    <mergeCell ref="EE723:EI723"/>
    <mergeCell ref="EJ723:EN723"/>
    <mergeCell ref="EJ724:EN724"/>
    <mergeCell ref="EE727:EI727"/>
    <mergeCell ref="EJ728:EN728"/>
    <mergeCell ref="CU723:CY723"/>
    <mergeCell ref="CK723:CL723"/>
    <mergeCell ref="CM726:CN726"/>
    <mergeCell ref="CM728:CN728"/>
    <mergeCell ref="EE733:EI733"/>
    <mergeCell ref="CK721:CL721"/>
    <mergeCell ref="DU732:DY732"/>
    <mergeCell ref="DZ732:ED732"/>
    <mergeCell ref="EE732:EI732"/>
    <mergeCell ref="EJ732:EN732"/>
    <mergeCell ref="CP736:CT736"/>
    <mergeCell ref="CK736:CL736"/>
    <mergeCell ref="DO736:DS736"/>
    <mergeCell ref="DO730:DS730"/>
    <mergeCell ref="CK739:CL739"/>
    <mergeCell ref="CK737:CL737"/>
    <mergeCell ref="DE738:DI738"/>
    <mergeCell ref="DE721:DI721"/>
    <mergeCell ref="AM564:AS564"/>
    <mergeCell ref="CG736:CH736"/>
    <mergeCell ref="CI740:CJ740"/>
    <mergeCell ref="DO739:DS739"/>
    <mergeCell ref="J773:N773"/>
    <mergeCell ref="O773:S773"/>
    <mergeCell ref="T752:W752"/>
    <mergeCell ref="J776:N776"/>
    <mergeCell ref="EO734:ES734"/>
    <mergeCell ref="AH727:AJ727"/>
    <mergeCell ref="X725:AB725"/>
    <mergeCell ref="DU729:DY729"/>
    <mergeCell ref="DJ730:DN730"/>
    <mergeCell ref="EO740:ES740"/>
    <mergeCell ref="DO777:DS777"/>
    <mergeCell ref="DE773:DI773"/>
    <mergeCell ref="EO732:ES732"/>
    <mergeCell ref="DO725:DS725"/>
    <mergeCell ref="DZ728:ED728"/>
    <mergeCell ref="AK728:AO728"/>
    <mergeCell ref="DO727:DS727"/>
    <mergeCell ref="DO728:DS728"/>
    <mergeCell ref="K728:N728"/>
    <mergeCell ref="K746:N746"/>
    <mergeCell ref="O746:S746"/>
    <mergeCell ref="T746:W746"/>
    <mergeCell ref="K747:N747"/>
    <mergeCell ref="AH750:AJ750"/>
    <mergeCell ref="EE731:EI731"/>
    <mergeCell ref="EJ731:EN731"/>
    <mergeCell ref="T744:W744"/>
    <mergeCell ref="O740:S740"/>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K747:AO747"/>
    <mergeCell ref="AH749:AJ749"/>
    <mergeCell ref="T783:W786"/>
    <mergeCell ref="CU777:CY777"/>
    <mergeCell ref="CU753:CY753"/>
    <mergeCell ref="CM752:CN752"/>
    <mergeCell ref="CP752:CT752"/>
    <mergeCell ref="CP774:CT774"/>
    <mergeCell ref="DJ732:DN732"/>
    <mergeCell ref="CU732:CY732"/>
    <mergeCell ref="CG751:CH751"/>
    <mergeCell ref="CU738:CY738"/>
    <mergeCell ref="O796:S796"/>
    <mergeCell ref="AC829:AF829"/>
    <mergeCell ref="Y826:AB826"/>
    <mergeCell ref="DJ737:DN737"/>
    <mergeCell ref="DJ735:DN735"/>
    <mergeCell ref="DE737:DI737"/>
    <mergeCell ref="CG735:CH735"/>
    <mergeCell ref="Y827:AB827"/>
    <mergeCell ref="AG827:AJ827"/>
    <mergeCell ref="AK750:AO750"/>
    <mergeCell ref="B754:AH755"/>
    <mergeCell ref="X774:AB774"/>
    <mergeCell ref="T773:W773"/>
    <mergeCell ref="AC747:AG747"/>
    <mergeCell ref="CG742:CH742"/>
    <mergeCell ref="C826:H826"/>
    <mergeCell ref="DJ741:DN741"/>
    <mergeCell ref="CK738:CL738"/>
    <mergeCell ref="CI739:CJ739"/>
    <mergeCell ref="CP737:CT737"/>
    <mergeCell ref="Y825:AB825"/>
    <mergeCell ref="AC825:AF825"/>
    <mergeCell ref="B732:F732"/>
    <mergeCell ref="BG848:BL848"/>
    <mergeCell ref="AH731:AJ731"/>
    <mergeCell ref="CP802:CT802"/>
    <mergeCell ref="CP788:CT788"/>
    <mergeCell ref="U830:X830"/>
    <mergeCell ref="J796:N796"/>
    <mergeCell ref="J777:N777"/>
    <mergeCell ref="CI732:CJ732"/>
    <mergeCell ref="CP739:CT739"/>
    <mergeCell ref="CM738:CN738"/>
    <mergeCell ref="CM731:CN731"/>
    <mergeCell ref="CM732:CN732"/>
    <mergeCell ref="CI733:CJ733"/>
    <mergeCell ref="W844:AC844"/>
    <mergeCell ref="AC832:AF832"/>
    <mergeCell ref="T790:W790"/>
    <mergeCell ref="K752:N752"/>
    <mergeCell ref="X735:AB735"/>
    <mergeCell ref="O750:S750"/>
    <mergeCell ref="G739:J739"/>
    <mergeCell ref="X741:AB741"/>
    <mergeCell ref="O747:S747"/>
    <mergeCell ref="T747:W747"/>
    <mergeCell ref="AC748:AG748"/>
    <mergeCell ref="G741:J741"/>
    <mergeCell ref="T739:W739"/>
    <mergeCell ref="AH746:AJ746"/>
    <mergeCell ref="AH747:AJ747"/>
    <mergeCell ref="AH748:AJ748"/>
    <mergeCell ref="AG829:AJ829"/>
    <mergeCell ref="AG826:AJ826"/>
    <mergeCell ref="AG825:AJ825"/>
    <mergeCell ref="M846:V846"/>
    <mergeCell ref="W843:AC843"/>
    <mergeCell ref="F938:T938"/>
    <mergeCell ref="C895:AB895"/>
    <mergeCell ref="U920:Z920"/>
    <mergeCell ref="F936:T936"/>
    <mergeCell ref="AA925:AF925"/>
    <mergeCell ref="AA928:AF928"/>
    <mergeCell ref="AA936:AF936"/>
    <mergeCell ref="U928:Z928"/>
    <mergeCell ref="A910:AT911"/>
    <mergeCell ref="AA922:AF922"/>
    <mergeCell ref="W874:AC874"/>
    <mergeCell ref="C837:AJ837"/>
    <mergeCell ref="W870:AC870"/>
    <mergeCell ref="A1125:B1125"/>
    <mergeCell ref="D1125:AK1127"/>
    <mergeCell ref="M878:V878"/>
    <mergeCell ref="U934:Z934"/>
    <mergeCell ref="P945:T945"/>
    <mergeCell ref="F930:T930"/>
    <mergeCell ref="F931:T931"/>
    <mergeCell ref="AA947:AF947"/>
    <mergeCell ref="D1036:AE1036"/>
    <mergeCell ref="AG1041:AH1041"/>
    <mergeCell ref="AG1036:AH1036"/>
    <mergeCell ref="D1026:AE1028"/>
    <mergeCell ref="AB988:AI988"/>
    <mergeCell ref="R986:AA986"/>
    <mergeCell ref="D1053:AI1053"/>
    <mergeCell ref="D1049:AE1049"/>
    <mergeCell ref="W861:AC861"/>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B736:F736"/>
    <mergeCell ref="X750:AB750"/>
    <mergeCell ref="U949:Z949"/>
    <mergeCell ref="C830:H830"/>
    <mergeCell ref="F831:L831"/>
    <mergeCell ref="U827:X827"/>
    <mergeCell ref="B737:F737"/>
    <mergeCell ref="F944:T944"/>
    <mergeCell ref="U922:Z922"/>
    <mergeCell ref="AA924:AF924"/>
    <mergeCell ref="M969:S969"/>
    <mergeCell ref="AA935:AF935"/>
    <mergeCell ref="AA918:AF918"/>
    <mergeCell ref="AA969:AG969"/>
    <mergeCell ref="AA949:AF949"/>
    <mergeCell ref="E885:AB885"/>
    <mergeCell ref="B733:F733"/>
    <mergeCell ref="B731:F731"/>
    <mergeCell ref="BD903:BE903"/>
    <mergeCell ref="AC888:AH888"/>
    <mergeCell ref="Y831:AB831"/>
    <mergeCell ref="W851:AC851"/>
    <mergeCell ref="W855:AC855"/>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Q831:T831"/>
    <mergeCell ref="M960:S960"/>
    <mergeCell ref="Z901:AE901"/>
    <mergeCell ref="W878:AC878"/>
    <mergeCell ref="U931:Z931"/>
    <mergeCell ref="F915:T915"/>
    <mergeCell ref="AA945:AF945"/>
    <mergeCell ref="U918:Z918"/>
    <mergeCell ref="T973:Z973"/>
    <mergeCell ref="U943:Z943"/>
    <mergeCell ref="U941:Z941"/>
    <mergeCell ref="AA943:AF943"/>
    <mergeCell ref="AC885:AH885"/>
    <mergeCell ref="AB987:AI987"/>
    <mergeCell ref="I946:T946"/>
    <mergeCell ref="AA946:AF946"/>
    <mergeCell ref="M959:S959"/>
    <mergeCell ref="U946:Z946"/>
    <mergeCell ref="U948:Z948"/>
    <mergeCell ref="U935:Z935"/>
    <mergeCell ref="AA923:AF923"/>
    <mergeCell ref="AB917:AE917"/>
    <mergeCell ref="AB957:AK957"/>
    <mergeCell ref="M968:S968"/>
    <mergeCell ref="F932:T932"/>
    <mergeCell ref="AA939:AF939"/>
    <mergeCell ref="AA940:AF940"/>
    <mergeCell ref="W853:AC853"/>
    <mergeCell ref="M955:S955"/>
    <mergeCell ref="J849:V849"/>
    <mergeCell ref="W846:AC846"/>
    <mergeCell ref="W845:AC845"/>
    <mergeCell ref="AO630:AS630"/>
    <mergeCell ref="D987:Q987"/>
    <mergeCell ref="R989:AA989"/>
    <mergeCell ref="AJ989:AQ989"/>
    <mergeCell ref="J1024:AE1024"/>
    <mergeCell ref="AJ992:AQ992"/>
    <mergeCell ref="AJ993:AQ993"/>
    <mergeCell ref="M630:P630"/>
    <mergeCell ref="M631:P631"/>
    <mergeCell ref="T718:W718"/>
    <mergeCell ref="O721:S721"/>
    <mergeCell ref="K722:N722"/>
    <mergeCell ref="K723:N723"/>
    <mergeCell ref="T723:W723"/>
    <mergeCell ref="K721:N721"/>
    <mergeCell ref="T736:W736"/>
    <mergeCell ref="O720:S720"/>
    <mergeCell ref="O733:S733"/>
    <mergeCell ref="K719:N719"/>
    <mergeCell ref="K731:N731"/>
    <mergeCell ref="AC638:AE638"/>
    <mergeCell ref="O727:S727"/>
    <mergeCell ref="G684:R684"/>
    <mergeCell ref="G659:R659"/>
    <mergeCell ref="Q631:S631"/>
    <mergeCell ref="M962:S962"/>
    <mergeCell ref="AJ986:AQ986"/>
    <mergeCell ref="I947:T947"/>
    <mergeCell ref="AJ1001:AQ1006"/>
    <mergeCell ref="J779:K779"/>
    <mergeCell ref="J787:N787"/>
    <mergeCell ref="T796:W796"/>
    <mergeCell ref="C827:H827"/>
    <mergeCell ref="I949:T949"/>
    <mergeCell ref="U938:Z938"/>
    <mergeCell ref="M826:P826"/>
    <mergeCell ref="U936:Z936"/>
    <mergeCell ref="M958:S958"/>
    <mergeCell ref="U944:Z944"/>
    <mergeCell ref="U915:Z917"/>
    <mergeCell ref="U950:Z950"/>
    <mergeCell ref="F916:T917"/>
    <mergeCell ref="M877:V877"/>
    <mergeCell ref="W869:AC869"/>
    <mergeCell ref="M874:V874"/>
    <mergeCell ref="U925:Z925"/>
    <mergeCell ref="U933:Z933"/>
    <mergeCell ref="AJ1053:AQ1053"/>
    <mergeCell ref="AG1029:AH1029"/>
    <mergeCell ref="D1037:AE1040"/>
    <mergeCell ref="AJ1036:AQ1040"/>
    <mergeCell ref="D1041:AE1041"/>
    <mergeCell ref="D1042:AE1044"/>
    <mergeCell ref="F975:L975"/>
    <mergeCell ref="M975:S975"/>
    <mergeCell ref="AJ1041:AQ1044"/>
    <mergeCell ref="D1030:AE1031"/>
    <mergeCell ref="B993:AE993"/>
    <mergeCell ref="D1045:AE1045"/>
    <mergeCell ref="D1014:AE1015"/>
    <mergeCell ref="AG1045:AH1045"/>
    <mergeCell ref="D1017:AE1019"/>
    <mergeCell ref="AG1032:AH1032"/>
    <mergeCell ref="M831:P831"/>
    <mergeCell ref="D1032:AE1032"/>
    <mergeCell ref="D1050:AE1051"/>
    <mergeCell ref="X1048:Y1048"/>
    <mergeCell ref="X1052:Y1052"/>
    <mergeCell ref="D988:Q988"/>
    <mergeCell ref="D989:Q989"/>
    <mergeCell ref="D985:Q985"/>
    <mergeCell ref="D986:Q986"/>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D1013:AE1013"/>
    <mergeCell ref="AF993:AI993"/>
    <mergeCell ref="AG994:AH994"/>
    <mergeCell ref="AG1001:AH1001"/>
    <mergeCell ref="AG1007:AH1007"/>
    <mergeCell ref="AG1011:AH1011"/>
    <mergeCell ref="AG1013:AH1013"/>
    <mergeCell ref="D1002:AE1006"/>
    <mergeCell ref="D1011:AE1011"/>
    <mergeCell ref="D1012:AE1012"/>
    <mergeCell ref="R988:AA988"/>
    <mergeCell ref="D990:Q990"/>
    <mergeCell ref="AB989:AI989"/>
    <mergeCell ref="AB990:AI990"/>
    <mergeCell ref="AJ990:AQ990"/>
    <mergeCell ref="W974:AG974"/>
    <mergeCell ref="M973:S973"/>
    <mergeCell ref="AJ1029:AQ1031"/>
    <mergeCell ref="AF1021:AI1022"/>
    <mergeCell ref="M971:S971"/>
    <mergeCell ref="M956:S956"/>
    <mergeCell ref="FE727:FI727"/>
    <mergeCell ref="FJ727:FN727"/>
    <mergeCell ref="FO727:FS727"/>
    <mergeCell ref="FT727:FX727"/>
    <mergeCell ref="AK752:AO752"/>
    <mergeCell ref="O741:S741"/>
    <mergeCell ref="O731:S731"/>
    <mergeCell ref="G737:J737"/>
    <mergeCell ref="K743:N743"/>
    <mergeCell ref="AC730:AG730"/>
    <mergeCell ref="O742:S742"/>
    <mergeCell ref="B744:F744"/>
    <mergeCell ref="AH737:AJ737"/>
    <mergeCell ref="AH738:AJ738"/>
    <mergeCell ref="AH736:AJ736"/>
    <mergeCell ref="AC739:AG739"/>
    <mergeCell ref="X732:AB732"/>
    <mergeCell ref="K734:N734"/>
    <mergeCell ref="AH733:AJ733"/>
    <mergeCell ref="FT738:FX738"/>
    <mergeCell ref="EZ731:FD731"/>
    <mergeCell ref="FJ731:FN731"/>
    <mergeCell ref="FO731:FS731"/>
    <mergeCell ref="FT731:FX731"/>
    <mergeCell ref="FO751:FS751"/>
    <mergeCell ref="FO729:FS729"/>
    <mergeCell ref="AA944:AF944"/>
    <mergeCell ref="AE958:AK958"/>
    <mergeCell ref="FY718:GC718"/>
    <mergeCell ref="EZ719:FD719"/>
    <mergeCell ref="FE719:FI719"/>
    <mergeCell ref="FJ719:FN719"/>
    <mergeCell ref="FO719:FS719"/>
    <mergeCell ref="FT719:FX719"/>
    <mergeCell ref="FY719:GC719"/>
    <mergeCell ref="FY720:GC720"/>
    <mergeCell ref="FT723:FX723"/>
    <mergeCell ref="FY723:GC723"/>
    <mergeCell ref="FT720:FX720"/>
    <mergeCell ref="FT721:FX721"/>
    <mergeCell ref="FE720:FI720"/>
    <mergeCell ref="FJ720:FN720"/>
    <mergeCell ref="FO720:FS720"/>
    <mergeCell ref="FJ732:FN732"/>
    <mergeCell ref="FO732:FS732"/>
    <mergeCell ref="FT732:FX732"/>
    <mergeCell ref="FY732:GC732"/>
    <mergeCell ref="FO736:FS736"/>
    <mergeCell ref="FE724:FI724"/>
    <mergeCell ref="FJ726:FN726"/>
    <mergeCell ref="FT739:FX739"/>
    <mergeCell ref="FY727:GC727"/>
    <mergeCell ref="Y830:AB830"/>
    <mergeCell ref="FE717:FI717"/>
    <mergeCell ref="FJ717:FN717"/>
    <mergeCell ref="FO717:FS717"/>
    <mergeCell ref="FY721:GC721"/>
    <mergeCell ref="EZ722:FD722"/>
    <mergeCell ref="FE722:FI722"/>
    <mergeCell ref="FJ722:FN722"/>
    <mergeCell ref="FO722:FS722"/>
    <mergeCell ref="FT722:FX722"/>
    <mergeCell ref="O974:P974"/>
    <mergeCell ref="FJ725:FN725"/>
    <mergeCell ref="FO725:FS725"/>
    <mergeCell ref="FT725:FX725"/>
    <mergeCell ref="EZ721:FD721"/>
    <mergeCell ref="FE721:FI721"/>
    <mergeCell ref="EZ725:FD725"/>
    <mergeCell ref="FE725:FI725"/>
    <mergeCell ref="EZ724:FD724"/>
    <mergeCell ref="FO730:FS730"/>
    <mergeCell ref="FT730:FX730"/>
    <mergeCell ref="FY725:GC725"/>
    <mergeCell ref="EZ726:FD726"/>
    <mergeCell ref="FE726:FI726"/>
    <mergeCell ref="J957:S957"/>
    <mergeCell ref="AC731:AG731"/>
    <mergeCell ref="FT724:FX724"/>
    <mergeCell ref="FY724:GC724"/>
    <mergeCell ref="FJ724:FN724"/>
    <mergeCell ref="FY730:GC730"/>
    <mergeCell ref="FO724:FS724"/>
    <mergeCell ref="FE732:FI732"/>
    <mergeCell ref="FE731:FI731"/>
    <mergeCell ref="M972:S972"/>
    <mergeCell ref="FT741:FX741"/>
    <mergeCell ref="FY742:GC742"/>
    <mergeCell ref="FO735:FS735"/>
    <mergeCell ref="FT735:FX735"/>
    <mergeCell ref="FY735:GC735"/>
    <mergeCell ref="EZ736:FD736"/>
    <mergeCell ref="FE736:FI736"/>
    <mergeCell ref="FJ736:FN736"/>
    <mergeCell ref="EZ739:FD739"/>
    <mergeCell ref="FE739:FI739"/>
    <mergeCell ref="FJ739:FN739"/>
    <mergeCell ref="FO739:FS739"/>
    <mergeCell ref="FT740:FX740"/>
    <mergeCell ref="FT733:FX733"/>
    <mergeCell ref="FT734:FX734"/>
    <mergeCell ref="FY734:GC734"/>
    <mergeCell ref="EZ735:FD735"/>
    <mergeCell ref="EZ742:FD742"/>
    <mergeCell ref="FE734:FI734"/>
    <mergeCell ref="EZ738:FD738"/>
    <mergeCell ref="FE738:FI738"/>
    <mergeCell ref="FJ738:FN738"/>
    <mergeCell ref="FT736:FX736"/>
    <mergeCell ref="FY736:GC736"/>
    <mergeCell ref="EZ737:FD737"/>
    <mergeCell ref="FE737:FI737"/>
    <mergeCell ref="FJ737:FN737"/>
    <mergeCell ref="FO737:FS737"/>
    <mergeCell ref="FJ734:FN734"/>
    <mergeCell ref="FO734:FS734"/>
    <mergeCell ref="FO738:FS738"/>
    <mergeCell ref="FT729:FX729"/>
    <mergeCell ref="FY738:GC738"/>
    <mergeCell ref="FT728:FX728"/>
    <mergeCell ref="FO726:FS726"/>
    <mergeCell ref="EW668:FA668"/>
    <mergeCell ref="EW664:FA664"/>
    <mergeCell ref="EW666:FA666"/>
    <mergeCell ref="FE735:FI735"/>
    <mergeCell ref="FT737:FX737"/>
    <mergeCell ref="FE730:FI730"/>
    <mergeCell ref="FJ730:FN730"/>
    <mergeCell ref="FY728:GC728"/>
    <mergeCell ref="EZ729:FD729"/>
    <mergeCell ref="FE729:FI729"/>
    <mergeCell ref="FJ729:FN729"/>
    <mergeCell ref="FY729:GC729"/>
    <mergeCell ref="FY737:GC737"/>
    <mergeCell ref="FY731:GC731"/>
    <mergeCell ref="EZ732:FD732"/>
    <mergeCell ref="FY722:GC722"/>
    <mergeCell ref="EZ723:FD723"/>
    <mergeCell ref="FE723:FI723"/>
    <mergeCell ref="FJ723:FN723"/>
    <mergeCell ref="FO723:FS723"/>
    <mergeCell ref="FT717:FX717"/>
    <mergeCell ref="FY717:GC717"/>
    <mergeCell ref="EZ718:FD718"/>
    <mergeCell ref="FE718:FI718"/>
    <mergeCell ref="FJ718:FN718"/>
    <mergeCell ref="FO718:FS718"/>
    <mergeCell ref="FT718:FX718"/>
    <mergeCell ref="EZ717:FD717"/>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DX670:EB670"/>
    <mergeCell ref="EJ733:EN733"/>
    <mergeCell ref="ET727:EX727"/>
    <mergeCell ref="DZ727:ED727"/>
    <mergeCell ref="EZ728:FD728"/>
    <mergeCell ref="FE728:FI728"/>
    <mergeCell ref="FJ728:FN728"/>
    <mergeCell ref="FO728:FS728"/>
    <mergeCell ref="EM670:EQ670"/>
    <mergeCell ref="EE726:EI726"/>
    <mergeCell ref="EJ726:EN726"/>
    <mergeCell ref="EO735:ES735"/>
    <mergeCell ref="DZ735:ED735"/>
    <mergeCell ref="ET737:EX737"/>
    <mergeCell ref="EE736:EI736"/>
    <mergeCell ref="EO738:ES738"/>
    <mergeCell ref="FE751:FI751"/>
    <mergeCell ref="FJ751:FN751"/>
    <mergeCell ref="FY740:GC740"/>
    <mergeCell ref="FJ740:FN740"/>
    <mergeCell ref="FO740:FS740"/>
    <mergeCell ref="FT751:FX751"/>
    <mergeCell ref="FY751:GC751"/>
    <mergeCell ref="FT748:FX748"/>
    <mergeCell ref="FT749:FX749"/>
    <mergeCell ref="FJ743:FN743"/>
    <mergeCell ref="EW638:FA638"/>
    <mergeCell ref="ER648:EV648"/>
    <mergeCell ref="ER647:EV647"/>
    <mergeCell ref="EH645:EL645"/>
    <mergeCell ref="EM645:EQ645"/>
    <mergeCell ref="EH640:EL640"/>
    <mergeCell ref="EM640:EQ640"/>
    <mergeCell ref="FJ735:FN735"/>
    <mergeCell ref="FJ721:FN721"/>
    <mergeCell ref="FO721:FS721"/>
    <mergeCell ref="EH667:EL667"/>
    <mergeCell ref="EM666:EQ666"/>
    <mergeCell ref="ER666:EV666"/>
    <mergeCell ref="EE734:EI734"/>
    <mergeCell ref="EW670:FA670"/>
    <mergeCell ref="EW656:FA656"/>
    <mergeCell ref="EH643:EL643"/>
    <mergeCell ref="FT726:FX726"/>
    <mergeCell ref="FY726:GC726"/>
    <mergeCell ref="EZ727:FD727"/>
    <mergeCell ref="ER640:EV640"/>
    <mergeCell ref="EM650:EQ650"/>
    <mergeCell ref="DX639:EB639"/>
    <mergeCell ref="DU731:DY731"/>
    <mergeCell ref="DX643:EB643"/>
    <mergeCell ref="DX640:EB640"/>
    <mergeCell ref="EC642:EG642"/>
    <mergeCell ref="EH642:EL642"/>
    <mergeCell ref="EM642:EQ642"/>
    <mergeCell ref="ER642:EV642"/>
    <mergeCell ref="DX641:EB641"/>
    <mergeCell ref="EC644:EG644"/>
    <mergeCell ref="EH644:EL644"/>
    <mergeCell ref="EW647:FA647"/>
    <mergeCell ref="EW650:FA650"/>
    <mergeCell ref="EW648:FA648"/>
    <mergeCell ref="EW651:FA651"/>
    <mergeCell ref="DX646:EB646"/>
    <mergeCell ref="EC646:EG646"/>
    <mergeCell ref="EH646:EL646"/>
    <mergeCell ref="EM667:EQ667"/>
    <mergeCell ref="ER667:EV667"/>
    <mergeCell ref="EW667:FA667"/>
    <mergeCell ref="EM661:EQ661"/>
    <mergeCell ref="ER670:EV670"/>
    <mergeCell ref="DX669:EB669"/>
    <mergeCell ref="EC670:EG670"/>
    <mergeCell ref="EO718:ES718"/>
    <mergeCell ref="DU720:DY720"/>
    <mergeCell ref="EM668:EQ668"/>
    <mergeCell ref="DZ729:ED729"/>
    <mergeCell ref="EM664:EQ664"/>
    <mergeCell ref="ER664:EV664"/>
    <mergeCell ref="EC667:EG667"/>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R639:EV639"/>
    <mergeCell ref="EW641:FA641"/>
    <mergeCell ref="EM643:EQ643"/>
    <mergeCell ref="EC648:EG648"/>
    <mergeCell ref="EW639:FA639"/>
    <mergeCell ref="EC640:EG640"/>
    <mergeCell ref="EW640:FA640"/>
    <mergeCell ref="ER643:EV643"/>
    <mergeCell ref="DO720:DS720"/>
    <mergeCell ref="DX656:EB656"/>
    <mergeCell ref="EC656:EG656"/>
    <mergeCell ref="EH656:EL656"/>
    <mergeCell ref="EM656:EQ656"/>
    <mergeCell ref="EW669:FA669"/>
    <mergeCell ref="EH653:EL653"/>
    <mergeCell ref="EM653:EQ653"/>
    <mergeCell ref="ER653:EV653"/>
    <mergeCell ref="EW655:FA655"/>
    <mergeCell ref="DU733:DY733"/>
    <mergeCell ref="DZ730:ED730"/>
    <mergeCell ref="EE730:EI730"/>
    <mergeCell ref="EJ730:EN730"/>
    <mergeCell ref="ET733:EX733"/>
    <mergeCell ref="EO733:ES733"/>
    <mergeCell ref="DO734:DS734"/>
    <mergeCell ref="DO732:DS732"/>
    <mergeCell ref="EO727:ES727"/>
    <mergeCell ref="ER669:EV669"/>
    <mergeCell ref="ER668:EV668"/>
    <mergeCell ref="ER656:EV656"/>
    <mergeCell ref="DU730:DY730"/>
    <mergeCell ref="ET732:EX732"/>
    <mergeCell ref="ET721:EX721"/>
    <mergeCell ref="EE720:EI720"/>
    <mergeCell ref="EH670:EL670"/>
    <mergeCell ref="DU722:DY722"/>
    <mergeCell ref="ET731:EX731"/>
    <mergeCell ref="EE722:EI722"/>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H661:EL661"/>
    <mergeCell ref="EM651:EQ651"/>
    <mergeCell ref="DX651:EB651"/>
    <mergeCell ref="EC651:EG651"/>
    <mergeCell ref="DX645:EB645"/>
    <mergeCell ref="DX647:EB647"/>
    <mergeCell ref="ER661:EV661"/>
    <mergeCell ref="EW660:FA660"/>
    <mergeCell ref="EM649:EQ649"/>
    <mergeCell ref="EM654:EQ654"/>
    <mergeCell ref="ER654:EV654"/>
    <mergeCell ref="EM652:EQ652"/>
    <mergeCell ref="DX650:EB650"/>
    <mergeCell ref="EC650:EG650"/>
    <mergeCell ref="EC655:EG655"/>
    <mergeCell ref="DX667:EB667"/>
    <mergeCell ref="EW661:FA661"/>
    <mergeCell ref="EM662:EQ662"/>
    <mergeCell ref="ER662:EV662"/>
    <mergeCell ref="DU727:DY727"/>
    <mergeCell ref="DU737:DY737"/>
    <mergeCell ref="ER649:EV649"/>
    <mergeCell ref="DJ720:DN720"/>
    <mergeCell ref="DJ717:DN717"/>
    <mergeCell ref="DJ722:DN722"/>
    <mergeCell ref="EW649:FA649"/>
    <mergeCell ref="DO733:DS733"/>
    <mergeCell ref="EJ735:EN735"/>
    <mergeCell ref="EJ736:EN736"/>
    <mergeCell ref="DU735:DY735"/>
    <mergeCell ref="EE728:EI728"/>
    <mergeCell ref="DO731:DS731"/>
    <mergeCell ref="DJ728:DN728"/>
    <mergeCell ref="DZ734:ED734"/>
    <mergeCell ref="DZ731:ED731"/>
    <mergeCell ref="DO735:DS735"/>
    <mergeCell ref="DX653:EB653"/>
    <mergeCell ref="EC653:EG653"/>
    <mergeCell ref="DX654:EB654"/>
    <mergeCell ref="DU734:DY734"/>
    <mergeCell ref="ET753:EX753"/>
    <mergeCell ref="EJ749:EN749"/>
    <mergeCell ref="EO749:ES749"/>
    <mergeCell ref="EE747:EI747"/>
    <mergeCell ref="EJ747:EN747"/>
    <mergeCell ref="EE742:EI742"/>
    <mergeCell ref="EJ742:EN742"/>
    <mergeCell ref="EO742:ES742"/>
    <mergeCell ref="DZ745:ED745"/>
    <mergeCell ref="EE753:EI753"/>
    <mergeCell ref="ET751:EX751"/>
    <mergeCell ref="EJ751:EN751"/>
    <mergeCell ref="EO739:ES739"/>
    <mergeCell ref="ET739:EX739"/>
    <mergeCell ref="DZ737:ED737"/>
    <mergeCell ref="ET752:EX752"/>
    <mergeCell ref="EO751:ES751"/>
    <mergeCell ref="DZ753:ED753"/>
    <mergeCell ref="EE740:EI740"/>
    <mergeCell ref="DZ738:ED738"/>
    <mergeCell ref="EE738:EI738"/>
    <mergeCell ref="EJ738:EN738"/>
    <mergeCell ref="EO750:ES750"/>
    <mergeCell ref="ET750:EX750"/>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AO627:AS627"/>
    <mergeCell ref="EO752:ES752"/>
    <mergeCell ref="EJ752:EN752"/>
    <mergeCell ref="CK745:CL745"/>
    <mergeCell ref="CI753:CJ753"/>
    <mergeCell ref="CM753:CN753"/>
    <mergeCell ref="AO637:AS637"/>
    <mergeCell ref="EM641:EQ641"/>
    <mergeCell ref="ER655:EV655"/>
    <mergeCell ref="EH648:EL648"/>
    <mergeCell ref="EH651:EL651"/>
    <mergeCell ref="EH650:EL650"/>
    <mergeCell ref="AK736:AO736"/>
    <mergeCell ref="EO736:ES736"/>
    <mergeCell ref="CI730:CJ730"/>
    <mergeCell ref="EJ753:EN753"/>
    <mergeCell ref="EJ739:EN739"/>
    <mergeCell ref="DJ738:DN738"/>
    <mergeCell ref="DU740:DY740"/>
    <mergeCell ref="DZ740:ED740"/>
    <mergeCell ref="CU775:CY775"/>
    <mergeCell ref="EE745:EI745"/>
    <mergeCell ref="DU749:DY749"/>
    <mergeCell ref="DZ749:ED749"/>
    <mergeCell ref="DO746:DS746"/>
    <mergeCell ref="CZ746:DD746"/>
    <mergeCell ref="CP753:CT753"/>
    <mergeCell ref="EE751:EI751"/>
    <mergeCell ref="DU751:DY751"/>
    <mergeCell ref="DZ751:ED751"/>
    <mergeCell ref="DU752:DY752"/>
    <mergeCell ref="DZ752:ED752"/>
    <mergeCell ref="DJ752:DN752"/>
    <mergeCell ref="CU776:CY776"/>
    <mergeCell ref="DE741:DI741"/>
    <mergeCell ref="CZ775:DD775"/>
    <mergeCell ref="DE775:DI775"/>
    <mergeCell ref="DE753:DI753"/>
    <mergeCell ref="CZ751:DD751"/>
    <mergeCell ref="DO774:DS774"/>
    <mergeCell ref="DU753:DY753"/>
    <mergeCell ref="DO753:DS753"/>
    <mergeCell ref="DO773:DS773"/>
    <mergeCell ref="DO776:DS776"/>
    <mergeCell ref="DO775:DS775"/>
    <mergeCell ref="CZ774:DD774"/>
    <mergeCell ref="DO741:DS741"/>
    <mergeCell ref="CZ752:DD752"/>
    <mergeCell ref="CZ750:DD750"/>
    <mergeCell ref="DE774:DI774"/>
    <mergeCell ref="DJ773:DN773"/>
    <mergeCell ref="DO754:DS754"/>
    <mergeCell ref="DJ746:DN746"/>
    <mergeCell ref="DE750:DI750"/>
    <mergeCell ref="DJ750:DN750"/>
    <mergeCell ref="DU739:DY739"/>
    <mergeCell ref="DZ739:ED739"/>
    <mergeCell ref="EE739:EI739"/>
    <mergeCell ref="DJ751:DN751"/>
    <mergeCell ref="CZ745:DD745"/>
    <mergeCell ref="DE745:DI745"/>
    <mergeCell ref="CP738:CT738"/>
    <mergeCell ref="EH655:EL655"/>
    <mergeCell ref="EM655:EQ655"/>
    <mergeCell ref="DU718:DY718"/>
    <mergeCell ref="DU721:DY721"/>
    <mergeCell ref="EE721:EI721"/>
    <mergeCell ref="EJ721:EN721"/>
    <mergeCell ref="DZ721:ED721"/>
    <mergeCell ref="DZ722:ED722"/>
    <mergeCell ref="DU717:DY717"/>
    <mergeCell ref="DU719:DY719"/>
    <mergeCell ref="EE717:EI717"/>
    <mergeCell ref="EJ720:EN720"/>
    <mergeCell ref="EO722:ES722"/>
    <mergeCell ref="EO717:ES717"/>
    <mergeCell ref="CU721:CY721"/>
    <mergeCell ref="EJ729:EN729"/>
    <mergeCell ref="DO740:DS740"/>
    <mergeCell ref="DJ740:DN740"/>
    <mergeCell ref="DO751:DS751"/>
    <mergeCell ref="DU738:DY738"/>
    <mergeCell ref="DE740:DI740"/>
    <mergeCell ref="ER657:EV657"/>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CK751:CL751"/>
    <mergeCell ref="CP775:CT775"/>
    <mergeCell ref="CP776:CT776"/>
    <mergeCell ref="DJ734:DN734"/>
    <mergeCell ref="DE776:DI776"/>
    <mergeCell ref="CP789:CT789"/>
    <mergeCell ref="CP777:CT777"/>
    <mergeCell ref="CP773:CT773"/>
    <mergeCell ref="CU752:CY752"/>
    <mergeCell ref="CU773:CY773"/>
    <mergeCell ref="DJ753:DN753"/>
    <mergeCell ref="CI751:CJ751"/>
    <mergeCell ref="CP735:CT735"/>
    <mergeCell ref="DJ736:DN736"/>
    <mergeCell ref="DE736:DI736"/>
    <mergeCell ref="CP787:CT787"/>
    <mergeCell ref="CZ777:DD777"/>
    <mergeCell ref="DE777:DI777"/>
    <mergeCell ref="DJ777:DN777"/>
    <mergeCell ref="Q636:S636"/>
    <mergeCell ref="Q637:S637"/>
    <mergeCell ref="C636:L636"/>
    <mergeCell ref="N665:O665"/>
    <mergeCell ref="G611:R611"/>
    <mergeCell ref="DO737:DS737"/>
    <mergeCell ref="DO738:DS738"/>
    <mergeCell ref="EZ720:FD720"/>
    <mergeCell ref="DU736:DY736"/>
    <mergeCell ref="EE737:EI737"/>
    <mergeCell ref="EJ737:EN737"/>
    <mergeCell ref="ET734:EX734"/>
    <mergeCell ref="DZ736:ED736"/>
    <mergeCell ref="EW654:FA654"/>
    <mergeCell ref="EC669:EG669"/>
    <mergeCell ref="EH669:EL669"/>
    <mergeCell ref="EM669:EQ669"/>
    <mergeCell ref="ET718:EX718"/>
    <mergeCell ref="ET725:EX725"/>
    <mergeCell ref="EO730:ES730"/>
    <mergeCell ref="ET730:EX730"/>
    <mergeCell ref="ET724:EX724"/>
    <mergeCell ref="ET726:EX726"/>
    <mergeCell ref="ET722:EX722"/>
    <mergeCell ref="ET720:EX720"/>
    <mergeCell ref="ET728:EX728"/>
    <mergeCell ref="EM648:EQ648"/>
    <mergeCell ref="ER650:EV650"/>
    <mergeCell ref="EW652:FA652"/>
    <mergeCell ref="EW657:FA657"/>
    <mergeCell ref="EH659:EL659"/>
    <mergeCell ref="EC661:EG661"/>
    <mergeCell ref="A69:AT70"/>
    <mergeCell ref="A72:AT73"/>
    <mergeCell ref="A544:AT545"/>
    <mergeCell ref="A480:AT481"/>
    <mergeCell ref="A351:AT352"/>
    <mergeCell ref="DO752:DS752"/>
    <mergeCell ref="EE752:EI752"/>
    <mergeCell ref="EO753:ES753"/>
    <mergeCell ref="EJ740:EN740"/>
    <mergeCell ref="EO745:ES745"/>
    <mergeCell ref="ET738:EX738"/>
    <mergeCell ref="ET735:EX735"/>
    <mergeCell ref="AI331:AK331"/>
    <mergeCell ref="Z624:AB626"/>
    <mergeCell ref="P613:R613"/>
    <mergeCell ref="W632:Y632"/>
    <mergeCell ref="Q627:S627"/>
    <mergeCell ref="Q628:S62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AF1023:AI1024"/>
    <mergeCell ref="M970:S970"/>
    <mergeCell ref="AA971:AG971"/>
    <mergeCell ref="T972:Z972"/>
    <mergeCell ref="K745:N745"/>
    <mergeCell ref="H656:R656"/>
    <mergeCell ref="H688:R688"/>
    <mergeCell ref="C629:L629"/>
    <mergeCell ref="H16:AJ16"/>
    <mergeCell ref="A21:AL21"/>
    <mergeCell ref="M27:Q27"/>
    <mergeCell ref="A13:AT14"/>
    <mergeCell ref="T737:W737"/>
    <mergeCell ref="X739:AB739"/>
    <mergeCell ref="G740:J740"/>
    <mergeCell ref="T733:W733"/>
    <mergeCell ref="O734:S734"/>
    <mergeCell ref="X724:AB724"/>
    <mergeCell ref="O739:S739"/>
    <mergeCell ref="O736:S736"/>
    <mergeCell ref="K738:N738"/>
    <mergeCell ref="AK731:AO731"/>
    <mergeCell ref="AK738:AO738"/>
    <mergeCell ref="G730:J730"/>
    <mergeCell ref="X730:AB730"/>
    <mergeCell ref="G728:J728"/>
    <mergeCell ref="O737:S737"/>
    <mergeCell ref="O738:S738"/>
    <mergeCell ref="T740:W740"/>
    <mergeCell ref="G735:J735"/>
    <mergeCell ref="AC724:AG724"/>
    <mergeCell ref="AC735:AG735"/>
    <mergeCell ref="D1046:AE1047"/>
    <mergeCell ref="D1007:AE1007"/>
    <mergeCell ref="R990:AA990"/>
    <mergeCell ref="B740:F740"/>
    <mergeCell ref="X731:AB731"/>
    <mergeCell ref="AH732:AJ732"/>
    <mergeCell ref="B747:F747"/>
    <mergeCell ref="B748:F748"/>
    <mergeCell ref="B749:F749"/>
    <mergeCell ref="B750:F750"/>
    <mergeCell ref="T750:W750"/>
    <mergeCell ref="AE962:AK962"/>
    <mergeCell ref="M961:S961"/>
    <mergeCell ref="AK749:AO749"/>
    <mergeCell ref="AK751:AO751"/>
    <mergeCell ref="AG1016:AH1016"/>
    <mergeCell ref="AG1020:AH1020"/>
    <mergeCell ref="D1016:AE1016"/>
    <mergeCell ref="AC738:AG738"/>
    <mergeCell ref="O732:S732"/>
    <mergeCell ref="D1033:AE1035"/>
    <mergeCell ref="AJ1032:AQ1035"/>
    <mergeCell ref="AJ994:AQ1000"/>
    <mergeCell ref="AJ1007:AQ1010"/>
    <mergeCell ref="AJ1011:AQ1012"/>
    <mergeCell ref="B739:F739"/>
    <mergeCell ref="D1029:AE1029"/>
    <mergeCell ref="B991:AA991"/>
    <mergeCell ref="D994:AE994"/>
    <mergeCell ref="D1000:AE1000"/>
    <mergeCell ref="AB985:AI985"/>
    <mergeCell ref="AB986:AI986"/>
    <mergeCell ref="AF1027:AI1028"/>
    <mergeCell ref="G667:R667"/>
    <mergeCell ref="G647:L647"/>
    <mergeCell ref="C638:L638"/>
    <mergeCell ref="Q638:S638"/>
    <mergeCell ref="H648:R648"/>
    <mergeCell ref="G679:L679"/>
    <mergeCell ref="Q635:S635"/>
    <mergeCell ref="Q629:S629"/>
    <mergeCell ref="AA968:AG968"/>
    <mergeCell ref="AE955:AK955"/>
    <mergeCell ref="I950:T950"/>
    <mergeCell ref="D995:AE998"/>
    <mergeCell ref="D999:AE999"/>
    <mergeCell ref="R987:AA987"/>
    <mergeCell ref="D1022:AE1023"/>
    <mergeCell ref="AD759:AF759"/>
    <mergeCell ref="C634:L634"/>
    <mergeCell ref="U823:X824"/>
    <mergeCell ref="T629:V629"/>
    <mergeCell ref="T632:V632"/>
    <mergeCell ref="AA975:AG975"/>
    <mergeCell ref="D1001:AE1001"/>
    <mergeCell ref="AA972:AG972"/>
    <mergeCell ref="AA920:AF920"/>
    <mergeCell ref="AA919:AF919"/>
    <mergeCell ref="T633:V633"/>
    <mergeCell ref="B726:F726"/>
    <mergeCell ref="AK629:AN629"/>
    <mergeCell ref="C633:L633"/>
    <mergeCell ref="D1008:AE1010"/>
    <mergeCell ref="AC734:AG7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J385:U385"/>
    <mergeCell ref="K736:N736"/>
    <mergeCell ref="G736:J736"/>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B745:F745"/>
    <mergeCell ref="AJ1045:AQ1048"/>
    <mergeCell ref="AJ1049:AQ1052"/>
    <mergeCell ref="U929:Z929"/>
    <mergeCell ref="B746:F746"/>
    <mergeCell ref="AA970:AG970"/>
    <mergeCell ref="K749:N749"/>
    <mergeCell ref="O749:S749"/>
    <mergeCell ref="X751:AB751"/>
    <mergeCell ref="AH753:AJ753"/>
    <mergeCell ref="AH752:AJ752"/>
    <mergeCell ref="AH751:AJ751"/>
    <mergeCell ref="G753:J753"/>
    <mergeCell ref="B752:F752"/>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C1089:D1089"/>
    <mergeCell ref="C1083:D1083"/>
    <mergeCell ref="C1084:D1084"/>
    <mergeCell ref="C1085:D1085"/>
    <mergeCell ref="C1087:D1087"/>
    <mergeCell ref="C1088:D1088"/>
    <mergeCell ref="AJ1020:AQ1024"/>
    <mergeCell ref="D1020:AE1021"/>
    <mergeCell ref="AB991:AI991"/>
    <mergeCell ref="D1025:AE1025"/>
    <mergeCell ref="AF1026:AI1026"/>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8" workbookViewId="0">
      <selection activeCell="D112" sqref="D112"/>
    </sheetView>
  </sheetViews>
  <sheetFormatPr defaultColWidth="0" defaultRowHeight="11.4" zeroHeight="1"/>
  <cols>
    <col min="1" max="1" width="35.77734375" style="187" customWidth="1"/>
    <col min="2" max="12" width="12.21875" style="158" customWidth="1"/>
    <col min="13" max="17" width="11.21875" style="158" customWidth="1"/>
    <col min="18" max="18" width="12.77734375" style="158" customWidth="1"/>
    <col min="19" max="20" width="12.21875" style="158" customWidth="1"/>
    <col min="21" max="21" width="0.21875" style="161" customWidth="1"/>
    <col min="22" max="16383" width="8.77734375" style="158" hidden="1"/>
    <col min="16384" max="16384" width="0.21875" style="158" customWidth="1"/>
  </cols>
  <sheetData>
    <row r="1" spans="1:21" s="110" customFormat="1" ht="13.8">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Permenant Loan</v>
      </c>
      <c r="G2" s="139" t="str">
        <f>Application!B628&amp;Application!C628</f>
        <v>2)USDA 514 FLH Permenant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1600000</v>
      </c>
      <c r="C4" s="147">
        <v>1600000</v>
      </c>
      <c r="D4" s="147"/>
      <c r="E4" s="147">
        <f>+C4</f>
        <v>1600000</v>
      </c>
      <c r="F4" s="147"/>
      <c r="G4" s="147"/>
      <c r="H4" s="147"/>
      <c r="I4" s="147"/>
      <c r="J4" s="147"/>
      <c r="K4" s="147"/>
      <c r="L4" s="147"/>
      <c r="M4" s="147"/>
      <c r="N4" s="147"/>
      <c r="O4" s="147"/>
      <c r="P4" s="147"/>
      <c r="Q4" s="147"/>
      <c r="R4" s="516">
        <f>SUM(E4:Q4)</f>
        <v>1600000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1600000</v>
      </c>
      <c r="C8" s="146">
        <f t="shared" ref="C8:Q8" si="0">SUM(C4:C7)</f>
        <v>1600000</v>
      </c>
      <c r="D8" s="146">
        <f t="shared" si="0"/>
        <v>0</v>
      </c>
      <c r="E8" s="146">
        <f t="shared" si="0"/>
        <v>1600000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ht="12">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ht="12">
      <c r="A12" s="149" t="s">
        <v>84</v>
      </c>
      <c r="B12" s="146">
        <f t="shared" ref="B12:Q12" si="2">SUM(B8+B11)</f>
        <v>2100000</v>
      </c>
      <c r="C12" s="146">
        <f t="shared" si="2"/>
        <v>2100000</v>
      </c>
      <c r="D12" s="146">
        <f t="shared" si="2"/>
        <v>0</v>
      </c>
      <c r="E12" s="146">
        <f t="shared" si="2"/>
        <v>2100000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v>1000000</v>
      </c>
      <c r="F29" s="147"/>
      <c r="G29" s="147"/>
      <c r="H29" s="147"/>
      <c r="I29" s="147"/>
      <c r="J29" s="147"/>
      <c r="K29" s="147"/>
      <c r="L29" s="147"/>
      <c r="M29" s="147"/>
      <c r="N29" s="147"/>
      <c r="O29" s="147"/>
      <c r="P29" s="147"/>
      <c r="Q29" s="147"/>
      <c r="R29" s="516">
        <f t="shared" ref="R29:R37" si="7">SUM(E29:Q29)</f>
        <v>1000000</v>
      </c>
      <c r="S29" s="147" cm="1">
        <f t="array" ref="S29:S35">R29:R35</f>
        <v>1000000</v>
      </c>
      <c r="T29" s="147"/>
      <c r="U29" s="143"/>
    </row>
    <row r="30" spans="1:21" s="144" customFormat="1">
      <c r="A30" s="145" t="s">
        <v>599</v>
      </c>
      <c r="B30" s="146">
        <f t="shared" si="6"/>
        <v>13679427</v>
      </c>
      <c r="C30" s="147">
        <v>13679427</v>
      </c>
      <c r="D30" s="147"/>
      <c r="E30" s="147">
        <f>13679427-G30-F30</f>
        <v>5707470</v>
      </c>
      <c r="F30" s="147">
        <v>3671957</v>
      </c>
      <c r="G30" s="147">
        <v>4300000</v>
      </c>
      <c r="H30" s="147"/>
      <c r="I30" s="147"/>
      <c r="J30" s="147"/>
      <c r="K30" s="147"/>
      <c r="L30" s="147"/>
      <c r="M30" s="147"/>
      <c r="N30" s="147"/>
      <c r="O30" s="147"/>
      <c r="P30" s="147"/>
      <c r="Q30" s="147"/>
      <c r="R30" s="516">
        <f t="shared" si="7"/>
        <v>13679427</v>
      </c>
      <c r="S30" s="147">
        <v>13679427</v>
      </c>
      <c r="T30" s="147"/>
      <c r="U30" s="143"/>
    </row>
    <row r="31" spans="1:21" s="144" customFormat="1">
      <c r="A31" s="145" t="s">
        <v>600</v>
      </c>
      <c r="B31" s="146">
        <f t="shared" si="6"/>
        <v>1092919</v>
      </c>
      <c r="C31" s="147">
        <v>1092919</v>
      </c>
      <c r="D31" s="147"/>
      <c r="E31" s="147" cm="1">
        <f t="array" ref="E31:E35">C31:C35</f>
        <v>1092919</v>
      </c>
      <c r="F31" s="147"/>
      <c r="G31" s="147"/>
      <c r="H31" s="147"/>
      <c r="I31" s="147"/>
      <c r="J31" s="147"/>
      <c r="K31" s="147"/>
      <c r="L31" s="147"/>
      <c r="M31" s="147"/>
      <c r="N31" s="147"/>
      <c r="O31" s="147"/>
      <c r="P31" s="147"/>
      <c r="Q31" s="147"/>
      <c r="R31" s="516">
        <f t="shared" si="7"/>
        <v>1092919</v>
      </c>
      <c r="S31" s="147">
        <v>1092919</v>
      </c>
      <c r="T31" s="147"/>
      <c r="U31" s="143"/>
    </row>
    <row r="32" spans="1:21" s="144" customFormat="1">
      <c r="A32" s="145" t="s">
        <v>137</v>
      </c>
      <c r="B32" s="146">
        <f t="shared" si="6"/>
        <v>728613</v>
      </c>
      <c r="C32" s="147">
        <v>728613</v>
      </c>
      <c r="D32" s="147"/>
      <c r="E32" s="147">
        <v>728613</v>
      </c>
      <c r="F32" s="147"/>
      <c r="G32" s="147"/>
      <c r="H32" s="147"/>
      <c r="I32" s="147"/>
      <c r="J32" s="147"/>
      <c r="K32" s="147"/>
      <c r="L32" s="147"/>
      <c r="M32" s="147"/>
      <c r="N32" s="147"/>
      <c r="O32" s="147"/>
      <c r="P32" s="147"/>
      <c r="Q32" s="147"/>
      <c r="R32" s="516">
        <f t="shared" si="7"/>
        <v>728613</v>
      </c>
      <c r="S32" s="147">
        <v>728613</v>
      </c>
      <c r="T32" s="147"/>
      <c r="U32" s="143"/>
    </row>
    <row r="33" spans="1:21" s="144" customFormat="1">
      <c r="A33" s="145" t="s">
        <v>138</v>
      </c>
      <c r="B33" s="146">
        <f t="shared" si="6"/>
        <v>728613</v>
      </c>
      <c r="C33" s="147">
        <v>728613</v>
      </c>
      <c r="D33" s="147"/>
      <c r="E33" s="147">
        <v>728613</v>
      </c>
      <c r="F33" s="147"/>
      <c r="G33" s="147"/>
      <c r="H33" s="147"/>
      <c r="I33" s="147"/>
      <c r="J33" s="147"/>
      <c r="K33" s="147"/>
      <c r="L33" s="147"/>
      <c r="M33" s="147"/>
      <c r="N33" s="147"/>
      <c r="O33" s="147"/>
      <c r="P33" s="147"/>
      <c r="Q33" s="147"/>
      <c r="R33" s="516">
        <f t="shared" si="7"/>
        <v>728613</v>
      </c>
      <c r="S33" s="147">
        <v>728613</v>
      </c>
      <c r="T33" s="147"/>
      <c r="U33" s="143"/>
    </row>
    <row r="34" spans="1:21" s="144" customFormat="1">
      <c r="A34" s="145" t="s">
        <v>139</v>
      </c>
      <c r="B34" s="146">
        <f t="shared" si="6"/>
        <v>3035885</v>
      </c>
      <c r="C34" s="147">
        <v>3035885</v>
      </c>
      <c r="D34" s="147"/>
      <c r="E34" s="147">
        <v>3035885</v>
      </c>
      <c r="F34" s="147"/>
      <c r="G34" s="147"/>
      <c r="H34" s="147"/>
      <c r="I34" s="147"/>
      <c r="J34" s="147"/>
      <c r="K34" s="147"/>
      <c r="L34" s="147"/>
      <c r="M34" s="147"/>
      <c r="N34" s="147"/>
      <c r="O34" s="147"/>
      <c r="P34" s="147"/>
      <c r="Q34" s="147"/>
      <c r="R34" s="516">
        <f t="shared" si="7"/>
        <v>3035885</v>
      </c>
      <c r="S34" s="147">
        <v>3035885</v>
      </c>
      <c r="T34" s="147"/>
      <c r="U34" s="143"/>
    </row>
    <row r="35" spans="1:21" s="144" customFormat="1">
      <c r="A35" s="145" t="s">
        <v>140</v>
      </c>
      <c r="B35" s="146">
        <f t="shared" si="6"/>
        <v>207655</v>
      </c>
      <c r="C35" s="147">
        <v>207655</v>
      </c>
      <c r="D35" s="147"/>
      <c r="E35" s="147">
        <v>207655</v>
      </c>
      <c r="F35" s="147"/>
      <c r="G35" s="147"/>
      <c r="H35" s="147"/>
      <c r="I35" s="147"/>
      <c r="J35" s="147"/>
      <c r="K35" s="147"/>
      <c r="L35" s="147"/>
      <c r="M35" s="147"/>
      <c r="N35" s="147"/>
      <c r="O35" s="147"/>
      <c r="P35" s="147"/>
      <c r="Q35" s="147"/>
      <c r="R35" s="516">
        <f t="shared" si="7"/>
        <v>207655</v>
      </c>
      <c r="S35" s="147">
        <v>207655</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20473112</v>
      </c>
      <c r="C38" s="146">
        <f>SUM(C29:C37)</f>
        <v>20473112</v>
      </c>
      <c r="D38" s="146">
        <f t="shared" ref="D38:Q38" si="8">SUM(D29:D37)</f>
        <v>0</v>
      </c>
      <c r="E38" s="146">
        <f t="shared" si="8"/>
        <v>12501155</v>
      </c>
      <c r="F38" s="146">
        <f t="shared" si="8"/>
        <v>3671957</v>
      </c>
      <c r="G38" s="146">
        <f t="shared" si="8"/>
        <v>4300000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20473112</v>
      </c>
      <c r="S38" s="150">
        <f>SUM(S29:S37)</f>
        <v>20473112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v>850000</v>
      </c>
      <c r="D40" s="147"/>
      <c r="E40" s="147">
        <f>C40</f>
        <v>850000</v>
      </c>
      <c r="F40" s="147"/>
      <c r="G40" s="147"/>
      <c r="H40" s="147"/>
      <c r="I40" s="147"/>
      <c r="J40" s="147"/>
      <c r="K40" s="147"/>
      <c r="L40" s="147"/>
      <c r="M40" s="147"/>
      <c r="N40" s="147"/>
      <c r="O40" s="147"/>
      <c r="P40" s="147"/>
      <c r="Q40" s="147"/>
      <c r="R40" s="516">
        <f>SUM(E40:Q40)</f>
        <v>850000</v>
      </c>
      <c r="S40" s="147">
        <f>R40</f>
        <v>850000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850000</v>
      </c>
      <c r="C42" s="146">
        <f>SUM(C39:C41)</f>
        <v>850000</v>
      </c>
      <c r="D42" s="146">
        <f>SUM(D39:D41)</f>
        <v>0</v>
      </c>
      <c r="E42" s="146">
        <f t="shared" ref="E42:T42" si="9">SUM(E40:E41)</f>
        <v>850000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850000</v>
      </c>
      <c r="S42" s="150">
        <f t="shared" si="9"/>
        <v>850000</v>
      </c>
      <c r="T42" s="150">
        <f t="shared" si="9"/>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2188430</v>
      </c>
      <c r="C45" s="147">
        <v>2188430</v>
      </c>
      <c r="D45" s="147"/>
      <c r="E45" s="147" cm="1">
        <f t="array" ref="E45:E53">C45:C53</f>
        <v>2188430</v>
      </c>
      <c r="F45" s="147"/>
      <c r="G45" s="147"/>
      <c r="H45" s="147"/>
      <c r="I45" s="147"/>
      <c r="J45" s="147"/>
      <c r="K45" s="147"/>
      <c r="L45" s="147"/>
      <c r="M45" s="147"/>
      <c r="N45" s="147"/>
      <c r="O45" s="147"/>
      <c r="P45" s="147"/>
      <c r="Q45" s="147"/>
      <c r="R45" s="516">
        <f t="shared" ref="R45:R53" si="11">SUM(E45:Q45)</f>
        <v>2188430</v>
      </c>
      <c r="S45" s="147">
        <v>1706854</v>
      </c>
      <c r="T45" s="147"/>
      <c r="U45" s="143"/>
    </row>
    <row r="46" spans="1:21" s="144" customFormat="1">
      <c r="A46" s="145" t="s">
        <v>151</v>
      </c>
      <c r="B46" s="146">
        <f t="shared" si="10"/>
        <v>193604</v>
      </c>
      <c r="C46" s="147">
        <v>193604</v>
      </c>
      <c r="D46" s="147"/>
      <c r="E46" s="147">
        <v>193604</v>
      </c>
      <c r="F46" s="147"/>
      <c r="G46" s="147"/>
      <c r="H46" s="147"/>
      <c r="I46" s="147"/>
      <c r="J46" s="147"/>
      <c r="K46" s="147"/>
      <c r="L46" s="147"/>
      <c r="M46" s="147"/>
      <c r="N46" s="147"/>
      <c r="O46" s="147"/>
      <c r="P46" s="147"/>
      <c r="Q46" s="147"/>
      <c r="R46" s="516">
        <f t="shared" si="11"/>
        <v>193604</v>
      </c>
      <c r="S46" s="147">
        <v>145203</v>
      </c>
      <c r="T46" s="147"/>
      <c r="U46" s="143"/>
    </row>
    <row r="47" spans="1:21" s="144" customFormat="1">
      <c r="A47" s="186" t="s">
        <v>152</v>
      </c>
      <c r="B47" s="146">
        <f t="shared" si="10"/>
        <v>15000</v>
      </c>
      <c r="C47" s="147">
        <v>15000</v>
      </c>
      <c r="D47" s="147"/>
      <c r="E47" s="147">
        <v>15000</v>
      </c>
      <c r="F47" s="147"/>
      <c r="G47" s="147"/>
      <c r="H47" s="147"/>
      <c r="I47" s="147"/>
      <c r="J47" s="147"/>
      <c r="K47" s="147"/>
      <c r="L47" s="147"/>
      <c r="M47" s="147"/>
      <c r="N47" s="147"/>
      <c r="O47" s="147"/>
      <c r="P47" s="147"/>
      <c r="Q47" s="147"/>
      <c r="R47" s="516">
        <f t="shared" si="11"/>
        <v>15000</v>
      </c>
      <c r="S47" s="147">
        <v>11250</v>
      </c>
      <c r="T47" s="147"/>
      <c r="U47" s="143"/>
    </row>
    <row r="48" spans="1:21" s="144" customFormat="1">
      <c r="A48" s="145" t="s">
        <v>153</v>
      </c>
      <c r="B48" s="146">
        <f t="shared" si="10"/>
        <v>186889</v>
      </c>
      <c r="C48" s="147">
        <v>186889</v>
      </c>
      <c r="D48" s="147"/>
      <c r="E48" s="147">
        <v>186889</v>
      </c>
      <c r="F48" s="147"/>
      <c r="G48" s="147"/>
      <c r="H48" s="147"/>
      <c r="I48" s="147"/>
      <c r="J48" s="147"/>
      <c r="K48" s="147"/>
      <c r="L48" s="147"/>
      <c r="M48" s="147"/>
      <c r="N48" s="147"/>
      <c r="O48" s="147"/>
      <c r="P48" s="147"/>
      <c r="Q48" s="147"/>
      <c r="R48" s="516">
        <f t="shared" si="11"/>
        <v>186889</v>
      </c>
      <c r="S48" s="147">
        <f>R48</f>
        <v>186889</v>
      </c>
      <c r="T48" s="147"/>
      <c r="U48" s="143"/>
    </row>
    <row r="49" spans="1:21" s="144" customFormat="1">
      <c r="A49" s="145" t="s">
        <v>57</v>
      </c>
      <c r="B49" s="146">
        <f t="shared" si="10"/>
        <v>48401</v>
      </c>
      <c r="C49" s="147">
        <v>48401</v>
      </c>
      <c r="D49" s="147"/>
      <c r="E49" s="147">
        <v>48401</v>
      </c>
      <c r="F49" s="147"/>
      <c r="G49" s="147"/>
      <c r="H49" s="147"/>
      <c r="I49" s="147"/>
      <c r="J49" s="147"/>
      <c r="K49" s="147"/>
      <c r="L49" s="147"/>
      <c r="M49" s="147"/>
      <c r="N49" s="147"/>
      <c r="O49" s="147"/>
      <c r="P49" s="147"/>
      <c r="Q49" s="147"/>
      <c r="R49" s="516">
        <f t="shared" si="11"/>
        <v>48401</v>
      </c>
      <c r="S49" s="147">
        <v>48401</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v>75000</v>
      </c>
      <c r="T50" s="147"/>
      <c r="U50" s="143"/>
    </row>
    <row r="51" spans="1:21" s="144" customFormat="1">
      <c r="A51" s="283" t="s">
        <v>154</v>
      </c>
      <c r="B51" s="146">
        <f t="shared" si="10"/>
        <v>105000</v>
      </c>
      <c r="C51" s="147">
        <v>105000</v>
      </c>
      <c r="D51" s="147"/>
      <c r="E51" s="147">
        <v>105000</v>
      </c>
      <c r="F51" s="147"/>
      <c r="G51" s="147"/>
      <c r="H51" s="147"/>
      <c r="I51" s="147"/>
      <c r="J51" s="147"/>
      <c r="K51" s="147"/>
      <c r="L51" s="147"/>
      <c r="M51" s="147"/>
      <c r="N51" s="147"/>
      <c r="O51" s="147"/>
      <c r="P51" s="147"/>
      <c r="Q51" s="147"/>
      <c r="R51" s="516">
        <f t="shared" si="11"/>
        <v>105000</v>
      </c>
      <c r="S51" s="147" cm="1">
        <f t="array" ref="S51:S53">R51:R53</f>
        <v>105000</v>
      </c>
      <c r="T51" s="147"/>
      <c r="U51" s="143"/>
    </row>
    <row r="52" spans="1:21" s="144" customFormat="1">
      <c r="A52" s="145" t="s">
        <v>155</v>
      </c>
      <c r="B52" s="146">
        <f t="shared" si="10"/>
        <v>317000</v>
      </c>
      <c r="C52" s="147">
        <v>317000</v>
      </c>
      <c r="D52" s="147"/>
      <c r="E52" s="147">
        <v>317000</v>
      </c>
      <c r="F52" s="147"/>
      <c r="G52" s="147"/>
      <c r="H52" s="147"/>
      <c r="I52" s="147"/>
      <c r="J52" s="147"/>
      <c r="K52" s="147"/>
      <c r="L52" s="147"/>
      <c r="M52" s="147"/>
      <c r="N52" s="147"/>
      <c r="O52" s="147"/>
      <c r="P52" s="147"/>
      <c r="Q52" s="147"/>
      <c r="R52" s="516">
        <f t="shared" si="11"/>
        <v>317000</v>
      </c>
      <c r="S52" s="147">
        <v>317000</v>
      </c>
      <c r="T52" s="147"/>
      <c r="U52" s="143"/>
    </row>
    <row r="53" spans="1:21" s="144" customFormat="1">
      <c r="A53" s="1149" t="s">
        <v>2748</v>
      </c>
      <c r="B53" s="146">
        <f t="shared" si="10"/>
        <v>25000</v>
      </c>
      <c r="C53" s="147">
        <v>25000</v>
      </c>
      <c r="D53" s="147"/>
      <c r="E53" s="147">
        <v>25000</v>
      </c>
      <c r="F53" s="147"/>
      <c r="G53" s="147"/>
      <c r="H53" s="147"/>
      <c r="I53" s="147"/>
      <c r="J53" s="147"/>
      <c r="K53" s="147"/>
      <c r="L53" s="147"/>
      <c r="M53" s="147"/>
      <c r="N53" s="147"/>
      <c r="O53" s="147"/>
      <c r="P53" s="147"/>
      <c r="Q53" s="147"/>
      <c r="R53" s="516">
        <f t="shared" si="11"/>
        <v>25000</v>
      </c>
      <c r="S53" s="147">
        <v>25000</v>
      </c>
      <c r="T53" s="147"/>
      <c r="U53" s="143"/>
    </row>
    <row r="54" spans="1:21" s="153" customFormat="1" ht="12">
      <c r="A54" s="149" t="s">
        <v>157</v>
      </c>
      <c r="B54" s="150">
        <f>SUM(C54:D54)</f>
        <v>3179324</v>
      </c>
      <c r="C54" s="150">
        <f t="shared" ref="C54:T54" si="12">SUM(C45:C53)</f>
        <v>3179324</v>
      </c>
      <c r="D54" s="150">
        <f t="shared" si="12"/>
        <v>0</v>
      </c>
      <c r="E54" s="150">
        <f t="shared" si="12"/>
        <v>3179324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3179324</v>
      </c>
      <c r="S54" s="150">
        <f t="shared" si="12"/>
        <v>2620597</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10000</v>
      </c>
      <c r="C58" s="147">
        <v>10000</v>
      </c>
      <c r="D58" s="147"/>
      <c r="E58" s="147">
        <f>C58</f>
        <v>10000</v>
      </c>
      <c r="F58" s="147"/>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2749</v>
      </c>
      <c r="B61" s="146">
        <f t="shared" si="13"/>
        <v>15000</v>
      </c>
      <c r="C61" s="147">
        <v>15000</v>
      </c>
      <c r="D61" s="147"/>
      <c r="E61" s="147">
        <f>C61</f>
        <v>15000</v>
      </c>
      <c r="F61" s="147"/>
      <c r="G61" s="147"/>
      <c r="H61" s="147"/>
      <c r="I61" s="147"/>
      <c r="J61" s="147"/>
      <c r="K61" s="147"/>
      <c r="L61" s="147"/>
      <c r="M61" s="147"/>
      <c r="N61" s="147"/>
      <c r="O61" s="147"/>
      <c r="P61" s="147"/>
      <c r="Q61" s="147"/>
      <c r="R61" s="516">
        <f t="shared" si="14"/>
        <v>15000</v>
      </c>
      <c r="S61" s="148"/>
      <c r="T61" s="148"/>
      <c r="U61" s="143"/>
    </row>
    <row r="62" spans="1:21" s="144" customFormat="1" ht="13.8" customHeight="1">
      <c r="A62" s="149" t="s">
        <v>301</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302</v>
      </c>
      <c r="B63" s="146">
        <f t="shared" ref="B63:R63" si="16">SUM(B8+B11+B13+B14+B15+B26+B27+B38+B42+B43+B54+B62)</f>
        <v>27277436</v>
      </c>
      <c r="C63" s="146">
        <f t="shared" si="16"/>
        <v>27277436</v>
      </c>
      <c r="D63" s="146">
        <f t="shared" si="16"/>
        <v>0</v>
      </c>
      <c r="E63" s="146">
        <f t="shared" si="16"/>
        <v>19305479</v>
      </c>
      <c r="F63" s="146">
        <f t="shared" si="16"/>
        <v>3671957</v>
      </c>
      <c r="G63" s="146">
        <f t="shared" si="16"/>
        <v>4300000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27277436</v>
      </c>
      <c r="S63" s="146">
        <f>SUM(S10+S13+S14+S15+S26+S27+S38+S42+S43+S54)</f>
        <v>25093709</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2761</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ht="12">
      <c r="A70" s="149" t="s">
        <v>1645</v>
      </c>
      <c r="B70" s="146">
        <f>SUM(C70:D70)</f>
        <v>325000</v>
      </c>
      <c r="C70" s="146">
        <f>SUM(C65:C69)</f>
        <v>325000</v>
      </c>
      <c r="D70" s="146">
        <f>SUM(D65:D69)</f>
        <v>0</v>
      </c>
      <c r="E70" s="146">
        <f t="shared" ref="E70:T70" si="17">SUM(E65:E69)</f>
        <v>325000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325000</v>
      </c>
      <c r="S70" s="150">
        <f t="shared" si="17"/>
        <v>175000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267733</v>
      </c>
      <c r="C75" s="147">
        <v>267733</v>
      </c>
      <c r="D75" s="147"/>
      <c r="E75" s="147">
        <f>C75</f>
        <v>267733</v>
      </c>
      <c r="F75" s="147"/>
      <c r="G75" s="147"/>
      <c r="H75" s="147"/>
      <c r="I75" s="147"/>
      <c r="J75" s="147"/>
      <c r="K75" s="147"/>
      <c r="L75" s="147"/>
      <c r="M75" s="147"/>
      <c r="N75" s="147"/>
      <c r="O75" s="147"/>
      <c r="P75" s="147"/>
      <c r="Q75" s="147"/>
      <c r="R75" s="516">
        <f>SUM(E75:Q75)</f>
        <v>267733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267733</v>
      </c>
      <c r="C77" s="146">
        <f>SUM(C72:C76)</f>
        <v>267733</v>
      </c>
      <c r="D77" s="146">
        <f>SUM(D72:D76)</f>
        <v>0</v>
      </c>
      <c r="E77" s="146">
        <f t="shared" ref="E77:Q77" si="18">SUM(E72:E76)</f>
        <v>267733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267733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1058000</v>
      </c>
      <c r="C79" s="147">
        <v>1058000</v>
      </c>
      <c r="D79" s="147"/>
      <c r="E79" s="147">
        <f>C79</f>
        <v>1058000</v>
      </c>
      <c r="F79" s="147"/>
      <c r="G79" s="147"/>
      <c r="H79" s="147"/>
      <c r="I79" s="147"/>
      <c r="J79" s="147"/>
      <c r="K79" s="147"/>
      <c r="L79" s="147"/>
      <c r="M79" s="147"/>
      <c r="N79" s="147"/>
      <c r="O79" s="147"/>
      <c r="P79" s="147"/>
      <c r="Q79" s="147"/>
      <c r="R79" s="516">
        <f>SUM(E79:Q79)</f>
        <v>1058000</v>
      </c>
      <c r="S79" s="147" cm="1">
        <f t="array" ref="S79:S80">R79:R80</f>
        <v>1058000</v>
      </c>
      <c r="T79" s="147"/>
      <c r="U79" s="143"/>
    </row>
    <row r="80" spans="1:21" s="144" customFormat="1">
      <c r="A80" s="283" t="s">
        <v>58</v>
      </c>
      <c r="B80" s="146">
        <f>SUM(C80:D80)</f>
        <v>362864</v>
      </c>
      <c r="C80" s="147">
        <v>362864</v>
      </c>
      <c r="D80" s="147"/>
      <c r="E80" s="147">
        <f>C80</f>
        <v>362864</v>
      </c>
      <c r="F80" s="147"/>
      <c r="G80" s="147"/>
      <c r="H80" s="147"/>
      <c r="I80" s="147"/>
      <c r="J80" s="147"/>
      <c r="K80" s="147"/>
      <c r="L80" s="147"/>
      <c r="M80" s="147"/>
      <c r="N80" s="147"/>
      <c r="O80" s="147"/>
      <c r="P80" s="147"/>
      <c r="Q80" s="147"/>
      <c r="R80" s="516">
        <f>SUM(E80:Q80)</f>
        <v>362864</v>
      </c>
      <c r="S80" s="147">
        <v>362864</v>
      </c>
      <c r="T80" s="147"/>
      <c r="U80" s="143"/>
    </row>
    <row r="81" spans="1:21" s="144" customFormat="1" ht="12">
      <c r="A81" s="149" t="s">
        <v>1209</v>
      </c>
      <c r="B81" s="146">
        <f>SUM(C81:D81)</f>
        <v>1420864</v>
      </c>
      <c r="C81" s="509">
        <f>SUM(C79:C80)</f>
        <v>1420864</v>
      </c>
      <c r="D81" s="509">
        <f t="shared" ref="D81:T81" si="19">SUM(D79:D80)</f>
        <v>0</v>
      </c>
      <c r="E81" s="509">
        <f t="shared" si="19"/>
        <v>1420864</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1420864</v>
      </c>
      <c r="S81" s="509">
        <f t="shared" si="19"/>
        <v>1420864</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8" customHeight="1">
      <c r="A83" s="145" t="s">
        <v>2094</v>
      </c>
      <c r="B83" s="146">
        <f t="shared" ref="B83:B95" si="20">SUM(C83+D83)</f>
        <v>50896</v>
      </c>
      <c r="C83" s="147">
        <v>50896</v>
      </c>
      <c r="D83" s="147"/>
      <c r="E83" s="147">
        <f>C83</f>
        <v>50896</v>
      </c>
      <c r="F83" s="147"/>
      <c r="G83" s="147"/>
      <c r="H83" s="147"/>
      <c r="I83" s="147"/>
      <c r="J83" s="147"/>
      <c r="K83" s="147"/>
      <c r="L83" s="147"/>
      <c r="M83" s="147"/>
      <c r="N83" s="147"/>
      <c r="O83" s="147"/>
      <c r="P83" s="147"/>
      <c r="Q83" s="147"/>
      <c r="R83" s="516">
        <f t="shared" ref="R83:R95" si="21">SUM(E83:Q83)</f>
        <v>50896</v>
      </c>
      <c r="S83" s="148"/>
      <c r="T83" s="148"/>
      <c r="U83" s="143"/>
    </row>
    <row r="84" spans="1:21" s="144" customFormat="1">
      <c r="A84" s="145" t="s">
        <v>767</v>
      </c>
      <c r="B84" s="146">
        <f t="shared" si="20"/>
        <v>50000</v>
      </c>
      <c r="C84" s="147">
        <v>50000</v>
      </c>
      <c r="D84" s="147"/>
      <c r="E84" s="147">
        <f>C84</f>
        <v>50000</v>
      </c>
      <c r="F84" s="147"/>
      <c r="G84" s="147"/>
      <c r="H84" s="147"/>
      <c r="I84" s="147"/>
      <c r="J84" s="147"/>
      <c r="K84" s="147"/>
      <c r="L84" s="147"/>
      <c r="M84" s="147"/>
      <c r="N84" s="147"/>
      <c r="O84" s="147"/>
      <c r="P84" s="147"/>
      <c r="Q84" s="147"/>
      <c r="R84" s="516">
        <f t="shared" si="21"/>
        <v>50000</v>
      </c>
      <c r="S84" s="147" cm="1">
        <f t="array" ref="S84:S85">R84:R85</f>
        <v>50000</v>
      </c>
      <c r="T84" s="147"/>
      <c r="U84" s="143"/>
    </row>
    <row r="85" spans="1:21" s="144" customFormat="1">
      <c r="A85" s="145" t="s">
        <v>768</v>
      </c>
      <c r="B85" s="146">
        <f t="shared" si="20"/>
        <v>1619851</v>
      </c>
      <c r="C85" s="147">
        <v>1619851</v>
      </c>
      <c r="D85" s="147"/>
      <c r="E85" s="147">
        <f>E108-26291929+916435+571956</f>
        <v>1619851</v>
      </c>
      <c r="F85" s="147"/>
      <c r="G85" s="147"/>
      <c r="H85" s="147"/>
      <c r="I85" s="147"/>
      <c r="J85" s="147"/>
      <c r="K85" s="147"/>
      <c r="L85" s="147"/>
      <c r="M85" s="147"/>
      <c r="N85" s="147"/>
      <c r="O85" s="147"/>
      <c r="P85" s="147"/>
      <c r="Q85" s="147"/>
      <c r="R85" s="516">
        <f t="shared" si="21"/>
        <v>1619851</v>
      </c>
      <c r="S85" s="147">
        <v>1619851</v>
      </c>
      <c r="T85" s="147"/>
      <c r="U85" s="143"/>
    </row>
    <row r="86" spans="1:21" s="144" customFormat="1">
      <c r="A86" s="145" t="s">
        <v>769</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50000</v>
      </c>
      <c r="C88" s="147">
        <v>50000</v>
      </c>
      <c r="D88" s="147"/>
      <c r="E88" s="147">
        <f>+C88</f>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772</v>
      </c>
      <c r="B89" s="146">
        <f t="shared" si="20"/>
        <v>150000</v>
      </c>
      <c r="C89" s="147">
        <v>150000</v>
      </c>
      <c r="D89" s="147"/>
      <c r="E89" s="147">
        <f t="shared" ref="E89:E95" si="22">+C89</f>
        <v>150000</v>
      </c>
      <c r="F89" s="147"/>
      <c r="G89" s="147"/>
      <c r="H89" s="147"/>
      <c r="I89" s="147"/>
      <c r="J89" s="147"/>
      <c r="K89" s="147"/>
      <c r="L89" s="147"/>
      <c r="M89" s="147"/>
      <c r="N89" s="147"/>
      <c r="O89" s="147"/>
      <c r="P89" s="147"/>
      <c r="Q89" s="147"/>
      <c r="R89" s="516">
        <f t="shared" si="21"/>
        <v>150000</v>
      </c>
      <c r="S89" s="147" cm="1">
        <f t="array" ref="S89:S92">R89:R92</f>
        <v>150000</v>
      </c>
      <c r="T89" s="147"/>
      <c r="U89" s="143"/>
    </row>
    <row r="90" spans="1:21" s="144" customFormat="1">
      <c r="A90" s="145" t="s">
        <v>773</v>
      </c>
      <c r="B90" s="146">
        <f t="shared" si="20"/>
        <v>15000</v>
      </c>
      <c r="C90" s="147">
        <v>15000</v>
      </c>
      <c r="D90" s="147"/>
      <c r="E90" s="147">
        <f t="shared" si="22"/>
        <v>15000</v>
      </c>
      <c r="F90" s="147"/>
      <c r="G90" s="147"/>
      <c r="H90" s="147"/>
      <c r="I90" s="147"/>
      <c r="J90" s="147"/>
      <c r="K90" s="147"/>
      <c r="L90" s="147"/>
      <c r="M90" s="147"/>
      <c r="N90" s="147"/>
      <c r="O90" s="147"/>
      <c r="P90" s="147"/>
      <c r="Q90" s="147"/>
      <c r="R90" s="516">
        <f t="shared" si="21"/>
        <v>15000</v>
      </c>
      <c r="S90" s="147">
        <v>15000</v>
      </c>
      <c r="T90" s="147"/>
      <c r="U90" s="143"/>
    </row>
    <row r="91" spans="1:21" s="144" customFormat="1">
      <c r="A91" s="145" t="s">
        <v>372</v>
      </c>
      <c r="B91" s="146">
        <f t="shared" si="20"/>
        <v>50000</v>
      </c>
      <c r="C91" s="147">
        <v>50000</v>
      </c>
      <c r="D91" s="147"/>
      <c r="E91" s="147">
        <f t="shared" si="22"/>
        <v>50000</v>
      </c>
      <c r="F91" s="147"/>
      <c r="G91" s="147"/>
      <c r="H91" s="147"/>
      <c r="I91" s="147"/>
      <c r="J91" s="147"/>
      <c r="K91" s="147"/>
      <c r="L91" s="147"/>
      <c r="M91" s="147"/>
      <c r="N91" s="147"/>
      <c r="O91" s="147"/>
      <c r="P91" s="147"/>
      <c r="Q91" s="147"/>
      <c r="R91" s="516">
        <f t="shared" si="21"/>
        <v>50000</v>
      </c>
      <c r="S91" s="147">
        <v>50000</v>
      </c>
      <c r="T91" s="147"/>
      <c r="U91" s="143"/>
    </row>
    <row r="92" spans="1:21" s="144" customFormat="1">
      <c r="A92" s="283" t="s">
        <v>1211</v>
      </c>
      <c r="B92" s="146">
        <f t="shared" si="20"/>
        <v>20000</v>
      </c>
      <c r="C92" s="147">
        <v>20000</v>
      </c>
      <c r="D92" s="147"/>
      <c r="E92" s="147">
        <f t="shared" si="22"/>
        <v>20000</v>
      </c>
      <c r="F92" s="147"/>
      <c r="G92" s="147"/>
      <c r="H92" s="147"/>
      <c r="I92" s="147"/>
      <c r="J92" s="147"/>
      <c r="K92" s="147"/>
      <c r="L92" s="147"/>
      <c r="M92" s="147"/>
      <c r="N92" s="147"/>
      <c r="O92" s="147"/>
      <c r="P92" s="147"/>
      <c r="Q92" s="147"/>
      <c r="R92" s="516">
        <f t="shared" si="21"/>
        <v>20000</v>
      </c>
      <c r="S92" s="147">
        <v>20000</v>
      </c>
      <c r="T92" s="147"/>
      <c r="U92" s="143"/>
    </row>
    <row r="93" spans="1:21" s="144" customFormat="1" ht="22.8">
      <c r="A93" s="1149" t="s">
        <v>2751</v>
      </c>
      <c r="B93" s="146">
        <f t="shared" si="20"/>
        <v>245673</v>
      </c>
      <c r="C93" s="147">
        <f>42000+3675+200000-2</f>
        <v>245673</v>
      </c>
      <c r="D93" s="147"/>
      <c r="E93" s="147">
        <f t="shared" si="22"/>
        <v>245673</v>
      </c>
      <c r="F93" s="147"/>
      <c r="G93" s="147"/>
      <c r="H93" s="147"/>
      <c r="I93" s="147"/>
      <c r="J93" s="147"/>
      <c r="K93" s="147"/>
      <c r="L93" s="147"/>
      <c r="M93" s="147"/>
      <c r="N93" s="147"/>
      <c r="O93" s="147"/>
      <c r="P93" s="147"/>
      <c r="Q93" s="147"/>
      <c r="R93" s="516">
        <f t="shared" si="21"/>
        <v>245673</v>
      </c>
      <c r="S93" s="147">
        <f>R93</f>
        <v>245673</v>
      </c>
      <c r="T93" s="147"/>
      <c r="U93" s="143"/>
    </row>
    <row r="94" spans="1:21" s="144" customFormat="1">
      <c r="A94" s="1149" t="s">
        <v>2750</v>
      </c>
      <c r="B94" s="146">
        <f t="shared" si="20"/>
        <v>250000</v>
      </c>
      <c r="C94" s="147">
        <f>250000</f>
        <v>250000</v>
      </c>
      <c r="D94" s="147"/>
      <c r="E94" s="147">
        <f t="shared" si="22"/>
        <v>250000</v>
      </c>
      <c r="F94" s="147"/>
      <c r="G94" s="147"/>
      <c r="H94" s="147"/>
      <c r="I94" s="147"/>
      <c r="J94" s="147"/>
      <c r="K94" s="147"/>
      <c r="L94" s="147"/>
      <c r="M94" s="147"/>
      <c r="N94" s="147"/>
      <c r="O94" s="147"/>
      <c r="P94" s="147"/>
      <c r="Q94" s="147"/>
      <c r="R94" s="516">
        <f t="shared" si="21"/>
        <v>250000</v>
      </c>
      <c r="S94" s="147">
        <f>R94</f>
        <v>250000</v>
      </c>
      <c r="T94" s="147"/>
      <c r="U94" s="143"/>
    </row>
    <row r="95" spans="1:21" s="144" customFormat="1" ht="22.8">
      <c r="A95" s="1149" t="s">
        <v>2762</v>
      </c>
      <c r="B95" s="146">
        <f t="shared" si="20"/>
        <v>420000</v>
      </c>
      <c r="C95" s="147">
        <f>213600+206400</f>
        <v>420000</v>
      </c>
      <c r="D95" s="147"/>
      <c r="E95" s="147">
        <f t="shared" si="22"/>
        <v>420000</v>
      </c>
      <c r="F95" s="147"/>
      <c r="G95" s="147"/>
      <c r="H95" s="147"/>
      <c r="I95" s="147"/>
      <c r="J95" s="147"/>
      <c r="K95" s="147"/>
      <c r="L95" s="147"/>
      <c r="M95" s="147"/>
      <c r="N95" s="147"/>
      <c r="O95" s="147"/>
      <c r="P95" s="147"/>
      <c r="Q95" s="147"/>
      <c r="R95" s="516">
        <f t="shared" si="21"/>
        <v>420000</v>
      </c>
      <c r="S95" s="147"/>
      <c r="T95" s="147"/>
      <c r="U95" s="143"/>
    </row>
    <row r="96" spans="1:21" s="144" customFormat="1" ht="12">
      <c r="A96" s="149" t="s">
        <v>774</v>
      </c>
      <c r="B96" s="146">
        <f>SUM(C96:D96)</f>
        <v>2921420</v>
      </c>
      <c r="C96" s="146">
        <f t="shared" ref="C96:R96" si="23">SUM(C83:C95)</f>
        <v>2921420</v>
      </c>
      <c r="D96" s="146">
        <f t="shared" si="23"/>
        <v>0</v>
      </c>
      <c r="E96" s="146">
        <f t="shared" si="23"/>
        <v>2921420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2921420</v>
      </c>
      <c r="S96" s="150">
        <f>SUM(S84:S87,S89:S95)</f>
        <v>2400524</v>
      </c>
      <c r="T96" s="146">
        <f>SUM(T84:T87,T89:T95)</f>
        <v>0</v>
      </c>
      <c r="U96" s="143"/>
    </row>
    <row r="97" spans="1:21" s="144" customFormat="1" ht="12">
      <c r="A97" s="149" t="s">
        <v>775</v>
      </c>
      <c r="B97" s="146">
        <f>SUM(C97:D97)</f>
        <v>32212453</v>
      </c>
      <c r="C97" s="146">
        <f t="shared" ref="C97:R97" si="24">SUM(C63+C70+C77+C81+C96)</f>
        <v>32212453</v>
      </c>
      <c r="D97" s="146">
        <f t="shared" si="24"/>
        <v>0</v>
      </c>
      <c r="E97" s="146">
        <f t="shared" si="24"/>
        <v>24240496</v>
      </c>
      <c r="F97" s="146">
        <f t="shared" si="24"/>
        <v>3671957</v>
      </c>
      <c r="G97" s="146">
        <f t="shared" si="24"/>
        <v>4300000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32212453</v>
      </c>
      <c r="S97" s="146">
        <f>SUM(S63+S70+S81+S96)</f>
        <v>29090097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4363514</v>
      </c>
      <c r="C99" s="979">
        <v>4363514</v>
      </c>
      <c r="D99" s="979"/>
      <c r="E99" s="979">
        <v>2182893</v>
      </c>
      <c r="F99" s="147"/>
      <c r="G99" s="147"/>
      <c r="H99" s="147">
        <v>2180621</v>
      </c>
      <c r="I99" s="147"/>
      <c r="J99" s="147"/>
      <c r="K99" s="147"/>
      <c r="L99" s="147"/>
      <c r="M99" s="147"/>
      <c r="N99" s="147"/>
      <c r="O99" s="147"/>
      <c r="P99" s="147"/>
      <c r="Q99" s="147"/>
      <c r="R99" s="516">
        <f>SUM(E99:Q99)</f>
        <v>4363514</v>
      </c>
      <c r="S99" s="147">
        <f>R99</f>
        <v>4363514</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4363514</v>
      </c>
      <c r="C104" s="146">
        <f>SUM(C99:C103)</f>
        <v>4363514</v>
      </c>
      <c r="D104" s="146">
        <f t="shared" ref="D104:T104" si="25">SUM(D99:D103)</f>
        <v>0</v>
      </c>
      <c r="E104" s="146">
        <f t="shared" si="25"/>
        <v>2182893</v>
      </c>
      <c r="F104" s="146">
        <f t="shared" si="25"/>
        <v>0</v>
      </c>
      <c r="G104" s="146">
        <f t="shared" si="25"/>
        <v>0</v>
      </c>
      <c r="H104" s="146">
        <f t="shared" si="25"/>
        <v>2180621</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4363514</v>
      </c>
      <c r="S104" s="150">
        <f t="shared" si="25"/>
        <v>4363514</v>
      </c>
      <c r="T104" s="150">
        <f t="shared" si="25"/>
        <v>0</v>
      </c>
      <c r="U104" s="143"/>
    </row>
    <row r="105" spans="1:21" s="144" customFormat="1" ht="12">
      <c r="A105" s="149" t="s">
        <v>780</v>
      </c>
      <c r="B105" s="150">
        <f>SUM(C105:D105)</f>
        <v>36575967</v>
      </c>
      <c r="C105" s="150">
        <f t="shared" ref="C105:R105" si="26">SUM(C97+C104)</f>
        <v>36575967</v>
      </c>
      <c r="D105" s="150">
        <f t="shared" si="26"/>
        <v>0</v>
      </c>
      <c r="E105" s="150">
        <f t="shared" si="26"/>
        <v>26423389</v>
      </c>
      <c r="F105" s="150">
        <f t="shared" si="26"/>
        <v>3671957</v>
      </c>
      <c r="G105" s="150">
        <f t="shared" si="26"/>
        <v>4300000</v>
      </c>
      <c r="H105" s="150">
        <f t="shared" si="26"/>
        <v>2180621</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36575967</v>
      </c>
      <c r="S105" s="150">
        <f>S97+S104</f>
        <v>33453611</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33453611</v>
      </c>
      <c r="T107" s="150">
        <f>T105+T106</f>
        <v>0</v>
      </c>
    </row>
    <row r="108" spans="1:21" s="189" customFormat="1" ht="12">
      <c r="A108" s="162" t="s">
        <v>879</v>
      </c>
      <c r="B108" s="157"/>
      <c r="C108" s="157"/>
      <c r="D108" s="157"/>
      <c r="E108" s="301">
        <f>Application!AO640</f>
        <v>26423389</v>
      </c>
      <c r="F108" s="301">
        <f>Application!AO627</f>
        <v>3671957</v>
      </c>
      <c r="G108" s="301">
        <f>Application!AO628</f>
        <v>4300000</v>
      </c>
      <c r="H108" s="301">
        <f>Application!AO629</f>
        <v>2180621</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5" t="s">
        <v>990</v>
      </c>
      <c r="E122" s="1875"/>
      <c r="F122" s="187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7" t="s">
        <v>1224</v>
      </c>
      <c r="E123" s="1791"/>
      <c r="F123" s="1791"/>
      <c r="G123" s="1791"/>
      <c r="H123" s="1791"/>
      <c r="I123" s="1791"/>
      <c r="J123" s="1791"/>
      <c r="K123" s="1791"/>
      <c r="L123" s="1791"/>
      <c r="M123" s="1791"/>
      <c r="N123" s="1791"/>
      <c r="O123" s="1791"/>
      <c r="P123" s="1791"/>
      <c r="Q123" s="1791"/>
      <c r="R123" s="1791"/>
      <c r="S123" s="1791"/>
      <c r="T123" s="324"/>
      <c r="U123" s="326"/>
    </row>
    <row r="124" spans="1:21" ht="13.2">
      <c r="A124" s="117" t="s">
        <v>992</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3.2">
      <c r="A125" s="117" t="s">
        <v>993</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3.2">
      <c r="A129" s="117" t="s">
        <v>300</v>
      </c>
      <c r="B129" s="333"/>
      <c r="C129" s="117"/>
      <c r="D129" s="1874" t="s">
        <v>997</v>
      </c>
      <c r="E129" s="1874"/>
      <c r="F129" s="1874"/>
      <c r="G129" s="1874"/>
      <c r="H129" s="187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8" t="s">
        <v>1000</v>
      </c>
      <c r="E132" s="1878"/>
      <c r="F132" s="1878"/>
      <c r="G132" s="1878"/>
      <c r="H132" s="1878"/>
      <c r="I132" s="117"/>
      <c r="J132" s="1878" t="s">
        <v>1001</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3.2">
      <c r="A139" s="1876" t="s">
        <v>1004</v>
      </c>
      <c r="B139" s="1876"/>
      <c r="C139" s="1876"/>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zoomScaleNormal="100" workbookViewId="0">
      <selection activeCell="F112" sqref="F112"/>
    </sheetView>
  </sheetViews>
  <sheetFormatPr defaultColWidth="0" defaultRowHeight="12" zeroHeight="1"/>
  <cols>
    <col min="1" max="1" width="32.77734375" style="397" customWidth="1"/>
    <col min="2" max="3" width="12.21875" style="393" customWidth="1"/>
    <col min="4" max="6" width="12.77734375" style="393" customWidth="1"/>
    <col min="7" max="9" width="12.21875" style="393" customWidth="1"/>
    <col min="10" max="10" width="12.21875" style="394" customWidth="1"/>
    <col min="11" max="11" width="8.77734375" style="395" hidden="1" customWidth="1"/>
    <col min="12" max="21" width="8.77734375" style="393" hidden="1" customWidth="1"/>
    <col min="22" max="23" width="0" style="393" hidden="1"/>
    <col min="24" max="256" width="8.77734375" style="393" hidden="1"/>
    <col min="257" max="257" width="32.77734375" style="393" hidden="1" customWidth="1"/>
    <col min="258" max="259" width="12.21875" style="393" hidden="1" customWidth="1"/>
    <col min="260" max="260" width="12.77734375" style="393" hidden="1" customWidth="1"/>
    <col min="261" max="266" width="12.21875" style="393" hidden="1" customWidth="1"/>
    <col min="267" max="277" width="8.77734375" style="393" hidden="1" customWidth="1"/>
    <col min="278" max="512" width="8.77734375" style="393" hidden="1"/>
    <col min="513" max="513" width="32.77734375" style="393" hidden="1" customWidth="1"/>
    <col min="514" max="515" width="12.21875" style="393" hidden="1" customWidth="1"/>
    <col min="516" max="516" width="12.77734375" style="393" hidden="1" customWidth="1"/>
    <col min="517" max="522" width="12.21875" style="393" hidden="1" customWidth="1"/>
    <col min="523" max="533" width="8.77734375" style="393" hidden="1" customWidth="1"/>
    <col min="534" max="768" width="8.77734375" style="393" hidden="1"/>
    <col min="769" max="769" width="32.77734375" style="393" hidden="1" customWidth="1"/>
    <col min="770" max="771" width="12.21875" style="393" hidden="1" customWidth="1"/>
    <col min="772" max="772" width="12.77734375" style="393" hidden="1" customWidth="1"/>
    <col min="773" max="778" width="12.21875" style="393" hidden="1" customWidth="1"/>
    <col min="779" max="789" width="8.77734375" style="393" hidden="1" customWidth="1"/>
    <col min="790" max="1024" width="8.77734375" style="393" hidden="1"/>
    <col min="1025" max="1025" width="32.77734375" style="393" hidden="1" customWidth="1"/>
    <col min="1026" max="1027" width="12.21875" style="393" hidden="1" customWidth="1"/>
    <col min="1028" max="1028" width="12.77734375" style="393" hidden="1" customWidth="1"/>
    <col min="1029" max="1034" width="12.21875" style="393" hidden="1" customWidth="1"/>
    <col min="1035" max="1045" width="8.77734375" style="393" hidden="1" customWidth="1"/>
    <col min="1046" max="1280" width="8.77734375" style="393" hidden="1"/>
    <col min="1281" max="1281" width="32.77734375" style="393" hidden="1" customWidth="1"/>
    <col min="1282" max="1283" width="12.21875" style="393" hidden="1" customWidth="1"/>
    <col min="1284" max="1284" width="12.77734375" style="393" hidden="1" customWidth="1"/>
    <col min="1285" max="1290" width="12.21875" style="393" hidden="1" customWidth="1"/>
    <col min="1291" max="1301" width="8.77734375" style="393" hidden="1" customWidth="1"/>
    <col min="1302" max="1536" width="8.77734375" style="393" hidden="1"/>
    <col min="1537" max="1537" width="32.77734375" style="393" hidden="1" customWidth="1"/>
    <col min="1538" max="1539" width="12.21875" style="393" hidden="1" customWidth="1"/>
    <col min="1540" max="1540" width="12.77734375" style="393" hidden="1" customWidth="1"/>
    <col min="1541" max="1546" width="12.21875" style="393" hidden="1" customWidth="1"/>
    <col min="1547" max="1557" width="8.77734375" style="393" hidden="1" customWidth="1"/>
    <col min="1558" max="1792" width="8.77734375" style="393" hidden="1"/>
    <col min="1793" max="1793" width="32.77734375" style="393" hidden="1" customWidth="1"/>
    <col min="1794" max="1795" width="12.21875" style="393" hidden="1" customWidth="1"/>
    <col min="1796" max="1796" width="12.77734375" style="393" hidden="1" customWidth="1"/>
    <col min="1797" max="1802" width="12.21875" style="393" hidden="1" customWidth="1"/>
    <col min="1803" max="1813" width="8.77734375" style="393" hidden="1" customWidth="1"/>
    <col min="1814" max="2048" width="8.77734375" style="393" hidden="1"/>
    <col min="2049" max="2049" width="32.77734375" style="393" hidden="1" customWidth="1"/>
    <col min="2050" max="2051" width="12.21875" style="393" hidden="1" customWidth="1"/>
    <col min="2052" max="2052" width="12.77734375" style="393" hidden="1" customWidth="1"/>
    <col min="2053" max="2058" width="12.21875" style="393" hidden="1" customWidth="1"/>
    <col min="2059" max="2069" width="8.77734375" style="393" hidden="1" customWidth="1"/>
    <col min="2070" max="2304" width="8.77734375" style="393" hidden="1"/>
    <col min="2305" max="2305" width="32.77734375" style="393" hidden="1" customWidth="1"/>
    <col min="2306" max="2307" width="12.21875" style="393" hidden="1" customWidth="1"/>
    <col min="2308" max="2308" width="12.77734375" style="393" hidden="1" customWidth="1"/>
    <col min="2309" max="2314" width="12.21875" style="393" hidden="1" customWidth="1"/>
    <col min="2315" max="2325" width="8.77734375" style="393" hidden="1" customWidth="1"/>
    <col min="2326" max="2560" width="8.77734375" style="393" hidden="1"/>
    <col min="2561" max="2561" width="32.77734375" style="393" hidden="1" customWidth="1"/>
    <col min="2562" max="2563" width="12.21875" style="393" hidden="1" customWidth="1"/>
    <col min="2564" max="2564" width="12.77734375" style="393" hidden="1" customWidth="1"/>
    <col min="2565" max="2570" width="12.21875" style="393" hidden="1" customWidth="1"/>
    <col min="2571" max="2581" width="8.77734375" style="393" hidden="1" customWidth="1"/>
    <col min="2582" max="2816" width="8.77734375" style="393" hidden="1"/>
    <col min="2817" max="2817" width="32.77734375" style="393" hidden="1" customWidth="1"/>
    <col min="2818" max="2819" width="12.21875" style="393" hidden="1" customWidth="1"/>
    <col min="2820" max="2820" width="12.77734375" style="393" hidden="1" customWidth="1"/>
    <col min="2821" max="2826" width="12.21875" style="393" hidden="1" customWidth="1"/>
    <col min="2827" max="2837" width="8.77734375" style="393" hidden="1" customWidth="1"/>
    <col min="2838" max="3072" width="8.77734375" style="393" hidden="1"/>
    <col min="3073" max="3073" width="32.77734375" style="393" hidden="1" customWidth="1"/>
    <col min="3074" max="3075" width="12.21875" style="393" hidden="1" customWidth="1"/>
    <col min="3076" max="3076" width="12.77734375" style="393" hidden="1" customWidth="1"/>
    <col min="3077" max="3082" width="12.21875" style="393" hidden="1" customWidth="1"/>
    <col min="3083" max="3093" width="8.77734375" style="393" hidden="1" customWidth="1"/>
    <col min="3094" max="3328" width="8.77734375" style="393" hidden="1"/>
    <col min="3329" max="3329" width="32.77734375" style="393" hidden="1" customWidth="1"/>
    <col min="3330" max="3331" width="12.21875" style="393" hidden="1" customWidth="1"/>
    <col min="3332" max="3332" width="12.77734375" style="393" hidden="1" customWidth="1"/>
    <col min="3333" max="3338" width="12.21875" style="393" hidden="1" customWidth="1"/>
    <col min="3339" max="3349" width="8.77734375" style="393" hidden="1" customWidth="1"/>
    <col min="3350" max="3584" width="8.77734375" style="393" hidden="1"/>
    <col min="3585" max="3585" width="32.77734375" style="393" hidden="1" customWidth="1"/>
    <col min="3586" max="3587" width="12.21875" style="393" hidden="1" customWidth="1"/>
    <col min="3588" max="3588" width="12.77734375" style="393" hidden="1" customWidth="1"/>
    <col min="3589" max="3594" width="12.21875" style="393" hidden="1" customWidth="1"/>
    <col min="3595" max="3605" width="8.77734375" style="393" hidden="1" customWidth="1"/>
    <col min="3606" max="3840" width="8.77734375" style="393" hidden="1"/>
    <col min="3841" max="3841" width="32.77734375" style="393" hidden="1" customWidth="1"/>
    <col min="3842" max="3843" width="12.21875" style="393" hidden="1" customWidth="1"/>
    <col min="3844" max="3844" width="12.77734375" style="393" hidden="1" customWidth="1"/>
    <col min="3845" max="3850" width="12.21875" style="393" hidden="1" customWidth="1"/>
    <col min="3851" max="3861" width="8.77734375" style="393" hidden="1" customWidth="1"/>
    <col min="3862" max="4096" width="8.77734375" style="393" hidden="1"/>
    <col min="4097" max="4097" width="32.77734375" style="393" hidden="1" customWidth="1"/>
    <col min="4098" max="4099" width="12.21875" style="393" hidden="1" customWidth="1"/>
    <col min="4100" max="4100" width="12.77734375" style="393" hidden="1" customWidth="1"/>
    <col min="4101" max="4106" width="12.21875" style="393" hidden="1" customWidth="1"/>
    <col min="4107" max="4117" width="8.77734375" style="393" hidden="1" customWidth="1"/>
    <col min="4118" max="4352" width="8.77734375" style="393" hidden="1"/>
    <col min="4353" max="4353" width="32.77734375" style="393" hidden="1" customWidth="1"/>
    <col min="4354" max="4355" width="12.21875" style="393" hidden="1" customWidth="1"/>
    <col min="4356" max="4356" width="12.77734375" style="393" hidden="1" customWidth="1"/>
    <col min="4357" max="4362" width="12.21875" style="393" hidden="1" customWidth="1"/>
    <col min="4363" max="4373" width="8.77734375" style="393" hidden="1" customWidth="1"/>
    <col min="4374" max="4608" width="8.77734375" style="393" hidden="1"/>
    <col min="4609" max="4609" width="32.77734375" style="393" hidden="1" customWidth="1"/>
    <col min="4610" max="4611" width="12.21875" style="393" hidden="1" customWidth="1"/>
    <col min="4612" max="4612" width="12.77734375" style="393" hidden="1" customWidth="1"/>
    <col min="4613" max="4618" width="12.21875" style="393" hidden="1" customWidth="1"/>
    <col min="4619" max="4629" width="8.77734375" style="393" hidden="1" customWidth="1"/>
    <col min="4630" max="4864" width="8.77734375" style="393" hidden="1"/>
    <col min="4865" max="4865" width="32.77734375" style="393" hidden="1" customWidth="1"/>
    <col min="4866" max="4867" width="12.21875" style="393" hidden="1" customWidth="1"/>
    <col min="4868" max="4868" width="12.77734375" style="393" hidden="1" customWidth="1"/>
    <col min="4869" max="4874" width="12.21875" style="393" hidden="1" customWidth="1"/>
    <col min="4875" max="4885" width="8.77734375" style="393" hidden="1" customWidth="1"/>
    <col min="4886" max="5120" width="8.77734375" style="393" hidden="1"/>
    <col min="5121" max="5121" width="32.77734375" style="393" hidden="1" customWidth="1"/>
    <col min="5122" max="5123" width="12.21875" style="393" hidden="1" customWidth="1"/>
    <col min="5124" max="5124" width="12.77734375" style="393" hidden="1" customWidth="1"/>
    <col min="5125" max="5130" width="12.21875" style="393" hidden="1" customWidth="1"/>
    <col min="5131" max="5141" width="8.77734375" style="393" hidden="1" customWidth="1"/>
    <col min="5142" max="5376" width="8.77734375" style="393" hidden="1"/>
    <col min="5377" max="5377" width="32.77734375" style="393" hidden="1" customWidth="1"/>
    <col min="5378" max="5379" width="12.21875" style="393" hidden="1" customWidth="1"/>
    <col min="5380" max="5380" width="12.77734375" style="393" hidden="1" customWidth="1"/>
    <col min="5381" max="5386" width="12.21875" style="393" hidden="1" customWidth="1"/>
    <col min="5387" max="5397" width="8.77734375" style="393" hidden="1" customWidth="1"/>
    <col min="5398" max="5632" width="8.77734375" style="393" hidden="1"/>
    <col min="5633" max="5633" width="32.77734375" style="393" hidden="1" customWidth="1"/>
    <col min="5634" max="5635" width="12.21875" style="393" hidden="1" customWidth="1"/>
    <col min="5636" max="5636" width="12.77734375" style="393" hidden="1" customWidth="1"/>
    <col min="5637" max="5642" width="12.21875" style="393" hidden="1" customWidth="1"/>
    <col min="5643" max="5653" width="8.77734375" style="393" hidden="1" customWidth="1"/>
    <col min="5654" max="5888" width="8.77734375" style="393" hidden="1"/>
    <col min="5889" max="5889" width="32.77734375" style="393" hidden="1" customWidth="1"/>
    <col min="5890" max="5891" width="12.21875" style="393" hidden="1" customWidth="1"/>
    <col min="5892" max="5892" width="12.77734375" style="393" hidden="1" customWidth="1"/>
    <col min="5893" max="5898" width="12.21875" style="393" hidden="1" customWidth="1"/>
    <col min="5899" max="5909" width="8.77734375" style="393" hidden="1" customWidth="1"/>
    <col min="5910" max="6144" width="8.77734375" style="393" hidden="1"/>
    <col min="6145" max="6145" width="32.77734375" style="393" hidden="1" customWidth="1"/>
    <col min="6146" max="6147" width="12.21875" style="393" hidden="1" customWidth="1"/>
    <col min="6148" max="6148" width="12.77734375" style="393" hidden="1" customWidth="1"/>
    <col min="6149" max="6154" width="12.21875" style="393" hidden="1" customWidth="1"/>
    <col min="6155" max="6165" width="8.77734375" style="393" hidden="1" customWidth="1"/>
    <col min="6166" max="6400" width="8.77734375" style="393" hidden="1"/>
    <col min="6401" max="6401" width="32.77734375" style="393" hidden="1" customWidth="1"/>
    <col min="6402" max="6403" width="12.21875" style="393" hidden="1" customWidth="1"/>
    <col min="6404" max="6404" width="12.77734375" style="393" hidden="1" customWidth="1"/>
    <col min="6405" max="6410" width="12.21875" style="393" hidden="1" customWidth="1"/>
    <col min="6411" max="6421" width="8.77734375" style="393" hidden="1" customWidth="1"/>
    <col min="6422" max="6656" width="8.77734375" style="393" hidden="1"/>
    <col min="6657" max="6657" width="32.77734375" style="393" hidden="1" customWidth="1"/>
    <col min="6658" max="6659" width="12.21875" style="393" hidden="1" customWidth="1"/>
    <col min="6660" max="6660" width="12.77734375" style="393" hidden="1" customWidth="1"/>
    <col min="6661" max="6666" width="12.21875" style="393" hidden="1" customWidth="1"/>
    <col min="6667" max="6677" width="8.77734375" style="393" hidden="1" customWidth="1"/>
    <col min="6678" max="6912" width="8.77734375" style="393" hidden="1"/>
    <col min="6913" max="6913" width="32.77734375" style="393" hidden="1" customWidth="1"/>
    <col min="6914" max="6915" width="12.21875" style="393" hidden="1" customWidth="1"/>
    <col min="6916" max="6916" width="12.77734375" style="393" hidden="1" customWidth="1"/>
    <col min="6917" max="6922" width="12.21875" style="393" hidden="1" customWidth="1"/>
    <col min="6923" max="6933" width="8.77734375" style="393" hidden="1" customWidth="1"/>
    <col min="6934" max="7168" width="8.77734375" style="393" hidden="1"/>
    <col min="7169" max="7169" width="32.77734375" style="393" hidden="1" customWidth="1"/>
    <col min="7170" max="7171" width="12.21875" style="393" hidden="1" customWidth="1"/>
    <col min="7172" max="7172" width="12.77734375" style="393" hidden="1" customWidth="1"/>
    <col min="7173" max="7178" width="12.21875" style="393" hidden="1" customWidth="1"/>
    <col min="7179" max="7189" width="8.77734375" style="393" hidden="1" customWidth="1"/>
    <col min="7190" max="7424" width="8.77734375" style="393" hidden="1"/>
    <col min="7425" max="7425" width="32.77734375" style="393" hidden="1" customWidth="1"/>
    <col min="7426" max="7427" width="12.21875" style="393" hidden="1" customWidth="1"/>
    <col min="7428" max="7428" width="12.77734375" style="393" hidden="1" customWidth="1"/>
    <col min="7429" max="7434" width="12.21875" style="393" hidden="1" customWidth="1"/>
    <col min="7435" max="7445" width="8.77734375" style="393" hidden="1" customWidth="1"/>
    <col min="7446" max="7680" width="8.77734375" style="393" hidden="1"/>
    <col min="7681" max="7681" width="32.77734375" style="393" hidden="1" customWidth="1"/>
    <col min="7682" max="7683" width="12.21875" style="393" hidden="1" customWidth="1"/>
    <col min="7684" max="7684" width="12.77734375" style="393" hidden="1" customWidth="1"/>
    <col min="7685" max="7690" width="12.21875" style="393" hidden="1" customWidth="1"/>
    <col min="7691" max="7701" width="8.77734375" style="393" hidden="1" customWidth="1"/>
    <col min="7702" max="7936" width="8.77734375" style="393" hidden="1"/>
    <col min="7937" max="7937" width="32.77734375" style="393" hidden="1" customWidth="1"/>
    <col min="7938" max="7939" width="12.21875" style="393" hidden="1" customWidth="1"/>
    <col min="7940" max="7940" width="12.77734375" style="393" hidden="1" customWidth="1"/>
    <col min="7941" max="7946" width="12.21875" style="393" hidden="1" customWidth="1"/>
    <col min="7947" max="7957" width="8.77734375" style="393" hidden="1" customWidth="1"/>
    <col min="7958" max="8192" width="8.77734375" style="393" hidden="1"/>
    <col min="8193" max="8193" width="32.77734375" style="393" hidden="1" customWidth="1"/>
    <col min="8194" max="8195" width="12.21875" style="393" hidden="1" customWidth="1"/>
    <col min="8196" max="8196" width="12.77734375" style="393" hidden="1" customWidth="1"/>
    <col min="8197" max="8202" width="12.21875" style="393" hidden="1" customWidth="1"/>
    <col min="8203" max="8213" width="8.77734375" style="393" hidden="1" customWidth="1"/>
    <col min="8214" max="8448" width="8.77734375" style="393" hidden="1"/>
    <col min="8449" max="8449" width="32.77734375" style="393" hidden="1" customWidth="1"/>
    <col min="8450" max="8451" width="12.21875" style="393" hidden="1" customWidth="1"/>
    <col min="8452" max="8452" width="12.77734375" style="393" hidden="1" customWidth="1"/>
    <col min="8453" max="8458" width="12.21875" style="393" hidden="1" customWidth="1"/>
    <col min="8459" max="8469" width="8.77734375" style="393" hidden="1" customWidth="1"/>
    <col min="8470" max="8704" width="8.77734375" style="393" hidden="1"/>
    <col min="8705" max="8705" width="32.77734375" style="393" hidden="1" customWidth="1"/>
    <col min="8706" max="8707" width="12.21875" style="393" hidden="1" customWidth="1"/>
    <col min="8708" max="8708" width="12.77734375" style="393" hidden="1" customWidth="1"/>
    <col min="8709" max="8714" width="12.21875" style="393" hidden="1" customWidth="1"/>
    <col min="8715" max="8725" width="8.77734375" style="393" hidden="1" customWidth="1"/>
    <col min="8726" max="8960" width="8.77734375" style="393" hidden="1"/>
    <col min="8961" max="8961" width="32.77734375" style="393" hidden="1" customWidth="1"/>
    <col min="8962" max="8963" width="12.21875" style="393" hidden="1" customWidth="1"/>
    <col min="8964" max="8964" width="12.77734375" style="393" hidden="1" customWidth="1"/>
    <col min="8965" max="8970" width="12.21875" style="393" hidden="1" customWidth="1"/>
    <col min="8971" max="8981" width="8.77734375" style="393" hidden="1" customWidth="1"/>
    <col min="8982" max="9216" width="8.77734375" style="393" hidden="1"/>
    <col min="9217" max="9217" width="32.77734375" style="393" hidden="1" customWidth="1"/>
    <col min="9218" max="9219" width="12.21875" style="393" hidden="1" customWidth="1"/>
    <col min="9220" max="9220" width="12.77734375" style="393" hidden="1" customWidth="1"/>
    <col min="9221" max="9226" width="12.21875" style="393" hidden="1" customWidth="1"/>
    <col min="9227" max="9237" width="8.77734375" style="393" hidden="1" customWidth="1"/>
    <col min="9238" max="9472" width="8.77734375" style="393" hidden="1"/>
    <col min="9473" max="9473" width="32.77734375" style="393" hidden="1" customWidth="1"/>
    <col min="9474" max="9475" width="12.21875" style="393" hidden="1" customWidth="1"/>
    <col min="9476" max="9476" width="12.77734375" style="393" hidden="1" customWidth="1"/>
    <col min="9477" max="9482" width="12.21875" style="393" hidden="1" customWidth="1"/>
    <col min="9483" max="9493" width="8.77734375" style="393" hidden="1" customWidth="1"/>
    <col min="9494" max="9728" width="8.77734375" style="393" hidden="1"/>
    <col min="9729" max="9729" width="32.77734375" style="393" hidden="1" customWidth="1"/>
    <col min="9730" max="9731" width="12.21875" style="393" hidden="1" customWidth="1"/>
    <col min="9732" max="9732" width="12.77734375" style="393" hidden="1" customWidth="1"/>
    <col min="9733" max="9738" width="12.21875" style="393" hidden="1" customWidth="1"/>
    <col min="9739" max="9749" width="8.77734375" style="393" hidden="1" customWidth="1"/>
    <col min="9750" max="9984" width="8.77734375" style="393" hidden="1"/>
    <col min="9985" max="9985" width="32.77734375" style="393" hidden="1" customWidth="1"/>
    <col min="9986" max="9987" width="12.21875" style="393" hidden="1" customWidth="1"/>
    <col min="9988" max="9988" width="12.77734375" style="393" hidden="1" customWidth="1"/>
    <col min="9989" max="9994" width="12.21875" style="393" hidden="1" customWidth="1"/>
    <col min="9995" max="10005" width="8.77734375" style="393" hidden="1" customWidth="1"/>
    <col min="10006" max="10240" width="8.77734375" style="393" hidden="1"/>
    <col min="10241" max="10241" width="32.77734375" style="393" hidden="1" customWidth="1"/>
    <col min="10242" max="10243" width="12.21875" style="393" hidden="1" customWidth="1"/>
    <col min="10244" max="10244" width="12.77734375" style="393" hidden="1" customWidth="1"/>
    <col min="10245" max="10250" width="12.21875" style="393" hidden="1" customWidth="1"/>
    <col min="10251" max="10261" width="8.77734375" style="393" hidden="1" customWidth="1"/>
    <col min="10262" max="10496" width="8.77734375" style="393" hidden="1"/>
    <col min="10497" max="10497" width="32.77734375" style="393" hidden="1" customWidth="1"/>
    <col min="10498" max="10499" width="12.21875" style="393" hidden="1" customWidth="1"/>
    <col min="10500" max="10500" width="12.77734375" style="393" hidden="1" customWidth="1"/>
    <col min="10501" max="10506" width="12.21875" style="393" hidden="1" customWidth="1"/>
    <col min="10507" max="10517" width="8.77734375" style="393" hidden="1" customWidth="1"/>
    <col min="10518" max="10752" width="8.77734375" style="393" hidden="1"/>
    <col min="10753" max="10753" width="32.77734375" style="393" hidden="1" customWidth="1"/>
    <col min="10754" max="10755" width="12.21875" style="393" hidden="1" customWidth="1"/>
    <col min="10756" max="10756" width="12.77734375" style="393" hidden="1" customWidth="1"/>
    <col min="10757" max="10762" width="12.21875" style="393" hidden="1" customWidth="1"/>
    <col min="10763" max="10773" width="8.77734375" style="393" hidden="1" customWidth="1"/>
    <col min="10774" max="11008" width="8.77734375" style="393" hidden="1"/>
    <col min="11009" max="11009" width="32.77734375" style="393" hidden="1" customWidth="1"/>
    <col min="11010" max="11011" width="12.21875" style="393" hidden="1" customWidth="1"/>
    <col min="11012" max="11012" width="12.77734375" style="393" hidden="1" customWidth="1"/>
    <col min="11013" max="11018" width="12.21875" style="393" hidden="1" customWidth="1"/>
    <col min="11019" max="11029" width="8.77734375" style="393" hidden="1" customWidth="1"/>
    <col min="11030" max="11264" width="8.77734375" style="393" hidden="1"/>
    <col min="11265" max="11265" width="32.77734375" style="393" hidden="1" customWidth="1"/>
    <col min="11266" max="11267" width="12.21875" style="393" hidden="1" customWidth="1"/>
    <col min="11268" max="11268" width="12.77734375" style="393" hidden="1" customWidth="1"/>
    <col min="11269" max="11274" width="12.21875" style="393" hidden="1" customWidth="1"/>
    <col min="11275" max="11285" width="8.77734375" style="393" hidden="1" customWidth="1"/>
    <col min="11286" max="11520" width="8.77734375" style="393" hidden="1"/>
    <col min="11521" max="11521" width="32.77734375" style="393" hidden="1" customWidth="1"/>
    <col min="11522" max="11523" width="12.21875" style="393" hidden="1" customWidth="1"/>
    <col min="11524" max="11524" width="12.77734375" style="393" hidden="1" customWidth="1"/>
    <col min="11525" max="11530" width="12.21875" style="393" hidden="1" customWidth="1"/>
    <col min="11531" max="11541" width="8.77734375" style="393" hidden="1" customWidth="1"/>
    <col min="11542" max="11776" width="8.77734375" style="393" hidden="1"/>
    <col min="11777" max="11777" width="32.77734375" style="393" hidden="1" customWidth="1"/>
    <col min="11778" max="11779" width="12.21875" style="393" hidden="1" customWidth="1"/>
    <col min="11780" max="11780" width="12.77734375" style="393" hidden="1" customWidth="1"/>
    <col min="11781" max="11786" width="12.21875" style="393" hidden="1" customWidth="1"/>
    <col min="11787" max="11797" width="8.77734375" style="393" hidden="1" customWidth="1"/>
    <col min="11798" max="12032" width="8.77734375" style="393" hidden="1"/>
    <col min="12033" max="12033" width="32.77734375" style="393" hidden="1" customWidth="1"/>
    <col min="12034" max="12035" width="12.21875" style="393" hidden="1" customWidth="1"/>
    <col min="12036" max="12036" width="12.77734375" style="393" hidden="1" customWidth="1"/>
    <col min="12037" max="12042" width="12.21875" style="393" hidden="1" customWidth="1"/>
    <col min="12043" max="12053" width="8.77734375" style="393" hidden="1" customWidth="1"/>
    <col min="12054" max="12288" width="8.77734375" style="393" hidden="1"/>
    <col min="12289" max="12289" width="32.77734375" style="393" hidden="1" customWidth="1"/>
    <col min="12290" max="12291" width="12.21875" style="393" hidden="1" customWidth="1"/>
    <col min="12292" max="12292" width="12.77734375" style="393" hidden="1" customWidth="1"/>
    <col min="12293" max="12298" width="12.21875" style="393" hidden="1" customWidth="1"/>
    <col min="12299" max="12309" width="8.77734375" style="393" hidden="1" customWidth="1"/>
    <col min="12310" max="12544" width="8.77734375" style="393" hidden="1"/>
    <col min="12545" max="12545" width="32.77734375" style="393" hidden="1" customWidth="1"/>
    <col min="12546" max="12547" width="12.21875" style="393" hidden="1" customWidth="1"/>
    <col min="12548" max="12548" width="12.77734375" style="393" hidden="1" customWidth="1"/>
    <col min="12549" max="12554" width="12.21875" style="393" hidden="1" customWidth="1"/>
    <col min="12555" max="12565" width="8.77734375" style="393" hidden="1" customWidth="1"/>
    <col min="12566" max="12800" width="8.77734375" style="393" hidden="1"/>
    <col min="12801" max="12801" width="32.77734375" style="393" hidden="1" customWidth="1"/>
    <col min="12802" max="12803" width="12.21875" style="393" hidden="1" customWidth="1"/>
    <col min="12804" max="12804" width="12.77734375" style="393" hidden="1" customWidth="1"/>
    <col min="12805" max="12810" width="12.21875" style="393" hidden="1" customWidth="1"/>
    <col min="12811" max="12821" width="8.77734375" style="393" hidden="1" customWidth="1"/>
    <col min="12822" max="13056" width="8.77734375" style="393" hidden="1"/>
    <col min="13057" max="13057" width="32.77734375" style="393" hidden="1" customWidth="1"/>
    <col min="13058" max="13059" width="12.21875" style="393" hidden="1" customWidth="1"/>
    <col min="13060" max="13060" width="12.77734375" style="393" hidden="1" customWidth="1"/>
    <col min="13061" max="13066" width="12.21875" style="393" hidden="1" customWidth="1"/>
    <col min="13067" max="13077" width="8.77734375" style="393" hidden="1" customWidth="1"/>
    <col min="13078" max="13312" width="8.77734375" style="393" hidden="1"/>
    <col min="13313" max="13313" width="32.77734375" style="393" hidden="1" customWidth="1"/>
    <col min="13314" max="13315" width="12.21875" style="393" hidden="1" customWidth="1"/>
    <col min="13316" max="13316" width="12.77734375" style="393" hidden="1" customWidth="1"/>
    <col min="13317" max="13322" width="12.21875" style="393" hidden="1" customWidth="1"/>
    <col min="13323" max="13333" width="8.77734375" style="393" hidden="1" customWidth="1"/>
    <col min="13334" max="13568" width="8.77734375" style="393" hidden="1"/>
    <col min="13569" max="13569" width="32.77734375" style="393" hidden="1" customWidth="1"/>
    <col min="13570" max="13571" width="12.21875" style="393" hidden="1" customWidth="1"/>
    <col min="13572" max="13572" width="12.77734375" style="393" hidden="1" customWidth="1"/>
    <col min="13573" max="13578" width="12.21875" style="393" hidden="1" customWidth="1"/>
    <col min="13579" max="13589" width="8.77734375" style="393" hidden="1" customWidth="1"/>
    <col min="13590" max="13824" width="8.77734375" style="393" hidden="1"/>
    <col min="13825" max="13825" width="32.77734375" style="393" hidden="1" customWidth="1"/>
    <col min="13826" max="13827" width="12.21875" style="393" hidden="1" customWidth="1"/>
    <col min="13828" max="13828" width="12.77734375" style="393" hidden="1" customWidth="1"/>
    <col min="13829" max="13834" width="12.21875" style="393" hidden="1" customWidth="1"/>
    <col min="13835" max="13845" width="8.77734375" style="393" hidden="1" customWidth="1"/>
    <col min="13846" max="14080" width="8.77734375" style="393" hidden="1"/>
    <col min="14081" max="14081" width="32.77734375" style="393" hidden="1" customWidth="1"/>
    <col min="14082" max="14083" width="12.21875" style="393" hidden="1" customWidth="1"/>
    <col min="14084" max="14084" width="12.77734375" style="393" hidden="1" customWidth="1"/>
    <col min="14085" max="14090" width="12.21875" style="393" hidden="1" customWidth="1"/>
    <col min="14091" max="14101" width="8.77734375" style="393" hidden="1" customWidth="1"/>
    <col min="14102" max="14336" width="8.77734375" style="393" hidden="1"/>
    <col min="14337" max="14337" width="32.77734375" style="393" hidden="1" customWidth="1"/>
    <col min="14338" max="14339" width="12.21875" style="393" hidden="1" customWidth="1"/>
    <col min="14340" max="14340" width="12.77734375" style="393" hidden="1" customWidth="1"/>
    <col min="14341" max="14346" width="12.21875" style="393" hidden="1" customWidth="1"/>
    <col min="14347" max="14357" width="8.77734375" style="393" hidden="1" customWidth="1"/>
    <col min="14358" max="14592" width="8.77734375" style="393" hidden="1"/>
    <col min="14593" max="14593" width="32.77734375" style="393" hidden="1" customWidth="1"/>
    <col min="14594" max="14595" width="12.21875" style="393" hidden="1" customWidth="1"/>
    <col min="14596" max="14596" width="12.77734375" style="393" hidden="1" customWidth="1"/>
    <col min="14597" max="14602" width="12.21875" style="393" hidden="1" customWidth="1"/>
    <col min="14603" max="14613" width="8.77734375" style="393" hidden="1" customWidth="1"/>
    <col min="14614" max="14848" width="8.77734375" style="393" hidden="1"/>
    <col min="14849" max="14849" width="32.77734375" style="393" hidden="1" customWidth="1"/>
    <col min="14850" max="14851" width="12.21875" style="393" hidden="1" customWidth="1"/>
    <col min="14852" max="14852" width="12.77734375" style="393" hidden="1" customWidth="1"/>
    <col min="14853" max="14858" width="12.21875" style="393" hidden="1" customWidth="1"/>
    <col min="14859" max="14869" width="8.77734375" style="393" hidden="1" customWidth="1"/>
    <col min="14870" max="15104" width="8.77734375" style="393" hidden="1"/>
    <col min="15105" max="15105" width="32.77734375" style="393" hidden="1" customWidth="1"/>
    <col min="15106" max="15107" width="12.21875" style="393" hidden="1" customWidth="1"/>
    <col min="15108" max="15108" width="12.77734375" style="393" hidden="1" customWidth="1"/>
    <col min="15109" max="15114" width="12.21875" style="393" hidden="1" customWidth="1"/>
    <col min="15115" max="15125" width="8.77734375" style="393" hidden="1" customWidth="1"/>
    <col min="15126" max="15360" width="8.77734375" style="393" hidden="1"/>
    <col min="15361" max="15361" width="32.77734375" style="393" hidden="1" customWidth="1"/>
    <col min="15362" max="15363" width="12.21875" style="393" hidden="1" customWidth="1"/>
    <col min="15364" max="15364" width="12.77734375" style="393" hidden="1" customWidth="1"/>
    <col min="15365" max="15370" width="12.21875" style="393" hidden="1" customWidth="1"/>
    <col min="15371" max="15381" width="8.77734375" style="393" hidden="1" customWidth="1"/>
    <col min="15382" max="15616" width="8.77734375" style="393" hidden="1"/>
    <col min="15617" max="15617" width="32.77734375" style="393" hidden="1" customWidth="1"/>
    <col min="15618" max="15619" width="12.21875" style="393" hidden="1" customWidth="1"/>
    <col min="15620" max="15620" width="12.77734375" style="393" hidden="1" customWidth="1"/>
    <col min="15621" max="15626" width="12.21875" style="393" hidden="1" customWidth="1"/>
    <col min="15627" max="15637" width="8.77734375" style="393" hidden="1" customWidth="1"/>
    <col min="15638" max="15872" width="8.77734375" style="393" hidden="1"/>
    <col min="15873" max="15873" width="32.77734375" style="393" hidden="1" customWidth="1"/>
    <col min="15874" max="15875" width="12.21875" style="393" hidden="1" customWidth="1"/>
    <col min="15876" max="15876" width="12.77734375" style="393" hidden="1" customWidth="1"/>
    <col min="15877" max="15882" width="12.21875" style="393" hidden="1" customWidth="1"/>
    <col min="15883" max="15893" width="8.77734375" style="393" hidden="1" customWidth="1"/>
    <col min="15894" max="16128" width="8.77734375" style="393" hidden="1"/>
    <col min="16129" max="16129" width="32.77734375" style="393" hidden="1" customWidth="1"/>
    <col min="16130" max="16131" width="12.21875" style="393" hidden="1" customWidth="1"/>
    <col min="16132" max="16132" width="12.77734375" style="393" hidden="1" customWidth="1"/>
    <col min="16133" max="16138" width="12.21875" style="393" hidden="1" customWidth="1"/>
    <col min="16139" max="16149" width="8.77734375" style="393" hidden="1" customWidth="1"/>
    <col min="16150" max="16384" width="8.77734375" style="393" hidden="1"/>
  </cols>
  <sheetData>
    <row r="1" spans="1:11" s="356" customFormat="1" ht="13.2">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1600000</v>
      </c>
      <c r="C4" s="362">
        <f>B4</f>
        <v>1600000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1600000</v>
      </c>
      <c r="C8" s="361">
        <f>SUM(C4:C7)</f>
        <v>1600000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2100000</v>
      </c>
      <c r="C12" s="361">
        <f>SUM(C8+C11)</f>
        <v>2100000</v>
      </c>
      <c r="D12" s="361">
        <f>SUM(D8+D11)</f>
        <v>0</v>
      </c>
      <c r="E12" s="363"/>
      <c r="F12" s="363"/>
      <c r="G12" s="363"/>
      <c r="H12" s="363"/>
      <c r="I12" s="363"/>
      <c r="J12" s="363"/>
      <c r="K12" s="359"/>
    </row>
    <row r="13" spans="1:11" s="360" customFormat="1" ht="11.4">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cm="1">
        <f t="array" ref="C29:C35">B29:B35</f>
        <v>1000000</v>
      </c>
      <c r="D29" s="362"/>
      <c r="E29" s="361">
        <f>'Sources and Uses Budget'!S29</f>
        <v>1000000</v>
      </c>
      <c r="F29" s="362" cm="1">
        <f t="array" ref="F29:F35">E29:E35</f>
        <v>1000000</v>
      </c>
      <c r="G29" s="362"/>
      <c r="H29" s="361">
        <f>'Sources and Uses Budget'!T29</f>
        <v>0</v>
      </c>
      <c r="I29" s="362"/>
      <c r="J29" s="362"/>
      <c r="K29" s="359"/>
    </row>
    <row r="30" spans="1:11" s="360" customFormat="1" ht="11.4">
      <c r="A30" s="145" t="s">
        <v>599</v>
      </c>
      <c r="B30" s="361">
        <f>'Sources and Uses Budget'!C30</f>
        <v>13679427</v>
      </c>
      <c r="C30" s="362">
        <v>13679427</v>
      </c>
      <c r="D30" s="362"/>
      <c r="E30" s="361">
        <f>'Sources and Uses Budget'!S30</f>
        <v>13679427</v>
      </c>
      <c r="F30" s="362">
        <v>13679427</v>
      </c>
      <c r="G30" s="362"/>
      <c r="H30" s="361">
        <f>'Sources and Uses Budget'!T30</f>
        <v>0</v>
      </c>
      <c r="I30" s="362"/>
      <c r="J30" s="362"/>
      <c r="K30" s="359"/>
    </row>
    <row r="31" spans="1:11" s="360" customFormat="1" ht="11.4">
      <c r="A31" s="145" t="s">
        <v>600</v>
      </c>
      <c r="B31" s="361">
        <f>'Sources and Uses Budget'!C31</f>
        <v>1092919</v>
      </c>
      <c r="C31" s="362">
        <v>1092919</v>
      </c>
      <c r="D31" s="362"/>
      <c r="E31" s="361">
        <f>'Sources and Uses Budget'!S31</f>
        <v>1092919</v>
      </c>
      <c r="F31" s="362">
        <v>1092919</v>
      </c>
      <c r="G31" s="362"/>
      <c r="H31" s="361">
        <f>'Sources and Uses Budget'!T31</f>
        <v>0</v>
      </c>
      <c r="I31" s="362"/>
      <c r="J31" s="362"/>
      <c r="K31" s="359"/>
    </row>
    <row r="32" spans="1:11" s="360" customFormat="1" ht="11.4">
      <c r="A32" s="145" t="s">
        <v>137</v>
      </c>
      <c r="B32" s="361">
        <f>'Sources and Uses Budget'!C32</f>
        <v>728613</v>
      </c>
      <c r="C32" s="362">
        <v>728613</v>
      </c>
      <c r="D32" s="362"/>
      <c r="E32" s="361">
        <f>'Sources and Uses Budget'!S32</f>
        <v>728613</v>
      </c>
      <c r="F32" s="362">
        <v>728613</v>
      </c>
      <c r="G32" s="362"/>
      <c r="H32" s="361">
        <f>'Sources and Uses Budget'!T32</f>
        <v>0</v>
      </c>
      <c r="I32" s="362"/>
      <c r="J32" s="362"/>
      <c r="K32" s="359"/>
    </row>
    <row r="33" spans="1:11" s="360" customFormat="1" ht="11.4">
      <c r="A33" s="145" t="s">
        <v>138</v>
      </c>
      <c r="B33" s="361">
        <f>'Sources and Uses Budget'!C33</f>
        <v>728613</v>
      </c>
      <c r="C33" s="362">
        <v>728613</v>
      </c>
      <c r="D33" s="362"/>
      <c r="E33" s="361">
        <f>'Sources and Uses Budget'!S33</f>
        <v>728613</v>
      </c>
      <c r="F33" s="362">
        <v>728613</v>
      </c>
      <c r="G33" s="362"/>
      <c r="H33" s="361">
        <f>'Sources and Uses Budget'!T33</f>
        <v>0</v>
      </c>
      <c r="I33" s="362"/>
      <c r="J33" s="362"/>
      <c r="K33" s="359"/>
    </row>
    <row r="34" spans="1:11" s="360" customFormat="1" ht="11.4">
      <c r="A34" s="145" t="s">
        <v>139</v>
      </c>
      <c r="B34" s="361">
        <f>'Sources and Uses Budget'!C34</f>
        <v>3035885</v>
      </c>
      <c r="C34" s="362">
        <v>3035885</v>
      </c>
      <c r="D34" s="362"/>
      <c r="E34" s="361">
        <f>'Sources and Uses Budget'!S34</f>
        <v>3035885</v>
      </c>
      <c r="F34" s="362">
        <v>3035885</v>
      </c>
      <c r="G34" s="362"/>
      <c r="H34" s="361">
        <f>'Sources and Uses Budget'!T34</f>
        <v>0</v>
      </c>
      <c r="I34" s="362"/>
      <c r="J34" s="362"/>
      <c r="K34" s="359"/>
    </row>
    <row r="35" spans="1:11" s="360" customFormat="1" ht="11.4">
      <c r="A35" s="145" t="s">
        <v>140</v>
      </c>
      <c r="B35" s="361">
        <f>'Sources and Uses Budget'!C35</f>
        <v>207655</v>
      </c>
      <c r="C35" s="362">
        <v>207655</v>
      </c>
      <c r="D35" s="362"/>
      <c r="E35" s="361">
        <f>'Sources and Uses Budget'!S35</f>
        <v>207655</v>
      </c>
      <c r="F35" s="362">
        <v>207655</v>
      </c>
      <c r="G35" s="362"/>
      <c r="H35" s="361">
        <f>'Sources and Uses Budget'!T35</f>
        <v>0</v>
      </c>
      <c r="I35" s="362"/>
      <c r="J35" s="362"/>
      <c r="K35" s="359"/>
    </row>
    <row r="36" spans="1:11" s="360" customFormat="1" ht="11.4">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20473112</v>
      </c>
      <c r="C38" s="361">
        <f>SUM(C29:C37)</f>
        <v>20473112</v>
      </c>
      <c r="D38" s="361">
        <f>SUM(D29:D37)</f>
        <v>0</v>
      </c>
      <c r="E38" s="361">
        <f>'Sources and Uses Budget'!S38</f>
        <v>20473112</v>
      </c>
      <c r="F38" s="367">
        <f>SUM(F29:F37)</f>
        <v>20473112</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850000</v>
      </c>
      <c r="C40" s="362">
        <f>B40</f>
        <v>850000</v>
      </c>
      <c r="D40" s="362"/>
      <c r="E40" s="361">
        <f>'Sources and Uses Budget'!S40</f>
        <v>850000</v>
      </c>
      <c r="F40" s="362">
        <f>E40</f>
        <v>850000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850000</v>
      </c>
      <c r="C42" s="361">
        <f>SUM(C39:C41)</f>
        <v>850000</v>
      </c>
      <c r="D42" s="361">
        <f>SUM(D39:D41)</f>
        <v>0</v>
      </c>
      <c r="E42" s="361">
        <f>'Sources and Uses Budget'!S42</f>
        <v>850000</v>
      </c>
      <c r="F42" s="367">
        <f>SUM(F40:F41)</f>
        <v>850000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2188430</v>
      </c>
      <c r="C45" s="362" cm="1">
        <f t="array" ref="C45:C53">B45:B53</f>
        <v>2188430</v>
      </c>
      <c r="D45" s="362"/>
      <c r="E45" s="361">
        <f>'Sources and Uses Budget'!S45</f>
        <v>1706854</v>
      </c>
      <c r="F45" s="362" cm="1">
        <f t="array" ref="F45:F53">E45:E53</f>
        <v>1706854</v>
      </c>
      <c r="G45" s="362"/>
      <c r="H45" s="361">
        <f>'Sources and Uses Budget'!T45</f>
        <v>0</v>
      </c>
      <c r="I45" s="362"/>
      <c r="J45" s="362"/>
      <c r="K45" s="359"/>
    </row>
    <row r="46" spans="1:11" s="360" customFormat="1" ht="11.4">
      <c r="A46" s="364" t="s">
        <v>151</v>
      </c>
      <c r="B46" s="361">
        <f>'Sources and Uses Budget'!C46</f>
        <v>193604</v>
      </c>
      <c r="C46" s="362">
        <v>193604</v>
      </c>
      <c r="D46" s="362"/>
      <c r="E46" s="361">
        <f>'Sources and Uses Budget'!S46</f>
        <v>145203</v>
      </c>
      <c r="F46" s="362">
        <v>145203</v>
      </c>
      <c r="G46" s="362"/>
      <c r="H46" s="361">
        <f>'Sources and Uses Budget'!T46</f>
        <v>0</v>
      </c>
      <c r="I46" s="362"/>
      <c r="J46" s="362"/>
      <c r="K46" s="359"/>
    </row>
    <row r="47" spans="1:11" s="360" customFormat="1" ht="12" customHeight="1">
      <c r="A47" s="364" t="s">
        <v>152</v>
      </c>
      <c r="B47" s="361">
        <f>'Sources and Uses Budget'!C47</f>
        <v>15000</v>
      </c>
      <c r="C47" s="362">
        <v>15000</v>
      </c>
      <c r="D47" s="362"/>
      <c r="E47" s="361">
        <f>'Sources and Uses Budget'!S47</f>
        <v>11250</v>
      </c>
      <c r="F47" s="362">
        <v>11250</v>
      </c>
      <c r="G47" s="362"/>
      <c r="H47" s="361">
        <f>'Sources and Uses Budget'!T47</f>
        <v>0</v>
      </c>
      <c r="I47" s="362"/>
      <c r="J47" s="362"/>
      <c r="K47" s="359"/>
    </row>
    <row r="48" spans="1:11" s="360" customFormat="1" ht="11.4">
      <c r="A48" s="364" t="s">
        <v>153</v>
      </c>
      <c r="B48" s="361">
        <f>'Sources and Uses Budget'!C48</f>
        <v>186889</v>
      </c>
      <c r="C48" s="362">
        <v>186889</v>
      </c>
      <c r="D48" s="362"/>
      <c r="E48" s="361">
        <f>'Sources and Uses Budget'!S48</f>
        <v>186889</v>
      </c>
      <c r="F48" s="362">
        <v>186889</v>
      </c>
      <c r="G48" s="362"/>
      <c r="H48" s="361">
        <f>'Sources and Uses Budget'!T48</f>
        <v>0</v>
      </c>
      <c r="I48" s="362"/>
      <c r="J48" s="362"/>
      <c r="K48" s="359"/>
    </row>
    <row r="49" spans="1:11" s="360" customFormat="1" ht="11.4">
      <c r="A49" s="283" t="s">
        <v>57</v>
      </c>
      <c r="B49" s="361">
        <f>'Sources and Uses Budget'!C49</f>
        <v>48401</v>
      </c>
      <c r="C49" s="362">
        <v>48401</v>
      </c>
      <c r="D49" s="362"/>
      <c r="E49" s="361">
        <f>'Sources and Uses Budget'!S49</f>
        <v>48401</v>
      </c>
      <c r="F49" s="362">
        <v>48401</v>
      </c>
      <c r="G49" s="362"/>
      <c r="H49" s="361">
        <f>'Sources and Uses Budget'!T49</f>
        <v>0</v>
      </c>
      <c r="I49" s="362"/>
      <c r="J49" s="362"/>
      <c r="K49" s="359"/>
    </row>
    <row r="50" spans="1:11" s="360" customFormat="1" ht="11.4">
      <c r="A50" s="364" t="s">
        <v>156</v>
      </c>
      <c r="B50" s="361">
        <f>'Sources and Uses Budget'!C50</f>
        <v>100000</v>
      </c>
      <c r="C50" s="362">
        <v>100000</v>
      </c>
      <c r="D50" s="362"/>
      <c r="E50" s="361">
        <f>'Sources and Uses Budget'!S50</f>
        <v>75000</v>
      </c>
      <c r="F50" s="362">
        <v>75000</v>
      </c>
      <c r="G50" s="362"/>
      <c r="H50" s="361">
        <f>'Sources and Uses Budget'!T50</f>
        <v>0</v>
      </c>
      <c r="I50" s="362"/>
      <c r="J50" s="362"/>
      <c r="K50" s="359"/>
    </row>
    <row r="51" spans="1:11" s="360" customFormat="1" ht="11.4">
      <c r="A51" s="364" t="s">
        <v>154</v>
      </c>
      <c r="B51" s="361">
        <f>'Sources and Uses Budget'!C51</f>
        <v>105000</v>
      </c>
      <c r="C51" s="362">
        <v>105000</v>
      </c>
      <c r="D51" s="362"/>
      <c r="E51" s="361">
        <f>'Sources and Uses Budget'!S51</f>
        <v>105000</v>
      </c>
      <c r="F51" s="362">
        <v>105000</v>
      </c>
      <c r="G51" s="362"/>
      <c r="H51" s="361">
        <f>'Sources and Uses Budget'!T51</f>
        <v>0</v>
      </c>
      <c r="I51" s="362"/>
      <c r="J51" s="362"/>
      <c r="K51" s="359"/>
    </row>
    <row r="52" spans="1:11" s="360" customFormat="1" ht="11.4">
      <c r="A52" s="364" t="s">
        <v>155</v>
      </c>
      <c r="B52" s="361">
        <f>'Sources and Uses Budget'!C52</f>
        <v>317000</v>
      </c>
      <c r="C52" s="362">
        <v>317000</v>
      </c>
      <c r="D52" s="362"/>
      <c r="E52" s="361">
        <f>'Sources and Uses Budget'!S52</f>
        <v>317000</v>
      </c>
      <c r="F52" s="362">
        <v>317000</v>
      </c>
      <c r="G52" s="362"/>
      <c r="H52" s="361">
        <f>'Sources and Uses Budget'!T52</f>
        <v>0</v>
      </c>
      <c r="I52" s="362"/>
      <c r="J52" s="362"/>
      <c r="K52" s="359"/>
    </row>
    <row r="53" spans="1:11" s="360" customFormat="1" ht="11.4">
      <c r="A53" s="364" t="str">
        <f>'Sources and Uses Budget'!$A53</f>
        <v>Employment Reporting</v>
      </c>
      <c r="B53" s="361">
        <f>'Sources and Uses Budget'!C53</f>
        <v>25000</v>
      </c>
      <c r="C53" s="362">
        <v>25000</v>
      </c>
      <c r="D53" s="362"/>
      <c r="E53" s="361">
        <f>'Sources and Uses Budget'!S53</f>
        <v>25000</v>
      </c>
      <c r="F53" s="362">
        <v>25000</v>
      </c>
      <c r="G53" s="362"/>
      <c r="H53" s="361">
        <f>'Sources and Uses Budget'!T53</f>
        <v>0</v>
      </c>
      <c r="I53" s="362"/>
      <c r="J53" s="362"/>
      <c r="K53" s="359"/>
    </row>
    <row r="54" spans="1:11" s="369" customFormat="1">
      <c r="A54" s="365" t="s">
        <v>157</v>
      </c>
      <c r="B54" s="361">
        <f>'Sources and Uses Budget'!C54</f>
        <v>3179324</v>
      </c>
      <c r="C54" s="367">
        <f>SUM(C45:C53)</f>
        <v>3179324</v>
      </c>
      <c r="D54" s="367">
        <f>SUM(D45:D53)</f>
        <v>0</v>
      </c>
      <c r="E54" s="361">
        <f>'Sources and Uses Budget'!S54</f>
        <v>2620597</v>
      </c>
      <c r="F54" s="367">
        <f>SUM(F45:F53)</f>
        <v>2620597</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f>B58</f>
        <v>10000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8" customHeight="1">
      <c r="A62" s="365" t="s">
        <v>301</v>
      </c>
      <c r="B62" s="361">
        <f>'Sources and Uses Budget'!C62</f>
        <v>25000</v>
      </c>
      <c r="C62" s="361">
        <f>SUM(C56:C61)</f>
        <v>25000</v>
      </c>
      <c r="D62" s="361">
        <f>SUM(D56:D61)</f>
        <v>0</v>
      </c>
      <c r="E62" s="363"/>
      <c r="F62" s="363"/>
      <c r="G62" s="363"/>
      <c r="H62" s="363"/>
      <c r="I62" s="363"/>
      <c r="J62" s="363"/>
      <c r="K62" s="359"/>
    </row>
    <row r="63" spans="1:11" s="360" customFormat="1" ht="11.4">
      <c r="A63" s="370" t="s">
        <v>302</v>
      </c>
      <c r="B63" s="361">
        <f>'Sources and Uses Budget'!C63</f>
        <v>27277436</v>
      </c>
      <c r="C63" s="361">
        <f>SUM(C8+C11+C13+C14+C15+C26+C27+C38+C42+C43+C54+C62)</f>
        <v>27277436</v>
      </c>
      <c r="D63" s="361">
        <f>SUM(D8+D11+D13+D14+D15+D26+D27+D38+D42+D43+D54+D62)</f>
        <v>0</v>
      </c>
      <c r="E63" s="361">
        <f>'Sources and Uses Budget'!S63</f>
        <v>25093709</v>
      </c>
      <c r="F63" s="361">
        <f>SUM(F10+F13+F14+F15+F26+F27+F38+F42+F43+F54)</f>
        <v>25093709</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Lender, Bond Issuer, and Partner Legal</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267733</v>
      </c>
      <c r="C75" s="362">
        <f>B75</f>
        <v>267733</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267733</v>
      </c>
      <c r="C77" s="361">
        <f>SUM(C72:C76)</f>
        <v>267733</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1058000</v>
      </c>
      <c r="C79" s="362" cm="1">
        <f t="array" ref="C79:C80">B79:B80</f>
        <v>1058000</v>
      </c>
      <c r="D79" s="362"/>
      <c r="E79" s="361">
        <f>'Sources and Uses Budget'!S79</f>
        <v>1058000</v>
      </c>
      <c r="F79" s="362" cm="1">
        <f t="array" ref="F79:F80">E79:E80</f>
        <v>1058000</v>
      </c>
      <c r="G79" s="362"/>
      <c r="H79" s="361">
        <f>'Sources and Uses Budget'!T79</f>
        <v>0</v>
      </c>
      <c r="I79" s="362"/>
      <c r="J79" s="362"/>
      <c r="K79" s="359"/>
    </row>
    <row r="80" spans="1:11" s="360" customFormat="1" ht="11.4">
      <c r="A80" s="364" t="s">
        <v>58</v>
      </c>
      <c r="B80" s="361">
        <f>'Sources and Uses Budget'!C80</f>
        <v>362864</v>
      </c>
      <c r="C80" s="362">
        <v>362864</v>
      </c>
      <c r="D80" s="362"/>
      <c r="E80" s="361">
        <f>'Sources and Uses Budget'!S80</f>
        <v>362864</v>
      </c>
      <c r="F80" s="362">
        <v>362864</v>
      </c>
      <c r="G80" s="362"/>
      <c r="H80" s="361">
        <f>'Sources and Uses Budget'!T80</f>
        <v>0</v>
      </c>
      <c r="I80" s="362"/>
      <c r="J80" s="362"/>
      <c r="K80" s="359"/>
    </row>
    <row r="81" spans="1:11" s="360" customFormat="1">
      <c r="A81" s="365" t="s">
        <v>1209</v>
      </c>
      <c r="B81" s="361">
        <f>'Sources and Uses Budget'!C81</f>
        <v>1420864</v>
      </c>
      <c r="C81" s="361">
        <f>SUM(C79:C80)</f>
        <v>1420864</v>
      </c>
      <c r="D81" s="361">
        <f>SUM(D79:D80)</f>
        <v>0</v>
      </c>
      <c r="E81" s="361">
        <f>'Sources and Uses Budget'!S81</f>
        <v>1420864</v>
      </c>
      <c r="F81" s="361">
        <f>SUM(F79:F80)</f>
        <v>1420864</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8" customHeight="1">
      <c r="A83" s="145" t="s">
        <v>2094</v>
      </c>
      <c r="B83" s="361">
        <f>'Sources and Uses Budget'!C83</f>
        <v>50896</v>
      </c>
      <c r="C83" s="362" cm="1">
        <f t="array" ref="C83:C85">B83:B85</f>
        <v>50896</v>
      </c>
      <c r="D83" s="362"/>
      <c r="E83" s="363"/>
      <c r="F83" s="363"/>
      <c r="G83" s="363"/>
      <c r="H83" s="363"/>
      <c r="I83" s="363"/>
      <c r="J83" s="363"/>
      <c r="K83" s="359"/>
    </row>
    <row r="84" spans="1:11" s="360" customFormat="1" ht="11.4">
      <c r="A84" s="145" t="s">
        <v>767</v>
      </c>
      <c r="B84" s="361">
        <f>'Sources and Uses Budget'!C84</f>
        <v>50000</v>
      </c>
      <c r="C84" s="362">
        <v>50000</v>
      </c>
      <c r="D84" s="362"/>
      <c r="E84" s="361">
        <f>'Sources and Uses Budget'!S84</f>
        <v>50000</v>
      </c>
      <c r="F84" s="362" cm="1">
        <f t="array" ref="F84:F85">E84:E85</f>
        <v>50000</v>
      </c>
      <c r="G84" s="362"/>
      <c r="H84" s="361">
        <f>'Sources and Uses Budget'!T84</f>
        <v>0</v>
      </c>
      <c r="I84" s="362"/>
      <c r="J84" s="362"/>
      <c r="K84" s="359"/>
    </row>
    <row r="85" spans="1:11" s="360" customFormat="1" ht="11.4">
      <c r="A85" s="145" t="s">
        <v>768</v>
      </c>
      <c r="B85" s="361">
        <f>'Sources and Uses Budget'!C85</f>
        <v>1619851</v>
      </c>
      <c r="C85" s="362">
        <v>1619851</v>
      </c>
      <c r="D85" s="362"/>
      <c r="E85" s="361">
        <f>'Sources and Uses Budget'!S85</f>
        <v>1619851</v>
      </c>
      <c r="F85" s="362">
        <v>1619851</v>
      </c>
      <c r="G85" s="362"/>
      <c r="H85" s="361">
        <f>'Sources and Uses Budget'!T85</f>
        <v>0</v>
      </c>
      <c r="I85" s="362"/>
      <c r="J85" s="362"/>
      <c r="K85" s="359"/>
    </row>
    <row r="86" spans="1:11" s="360" customFormat="1" ht="11.4">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50000</v>
      </c>
      <c r="C88" s="362" cm="1">
        <f t="array" ref="C88:C95">B88:B95</f>
        <v>50000</v>
      </c>
      <c r="D88" s="362"/>
      <c r="E88" s="363"/>
      <c r="F88" s="363"/>
      <c r="G88" s="363"/>
      <c r="H88" s="363"/>
      <c r="I88" s="363"/>
      <c r="J88" s="363"/>
      <c r="K88" s="359"/>
    </row>
    <row r="89" spans="1:11" s="360" customFormat="1" ht="11.4">
      <c r="A89" s="145" t="s">
        <v>772</v>
      </c>
      <c r="B89" s="361">
        <f>'Sources and Uses Budget'!C89</f>
        <v>150000</v>
      </c>
      <c r="C89" s="362">
        <v>150000</v>
      </c>
      <c r="D89" s="362"/>
      <c r="E89" s="361">
        <f>'Sources and Uses Budget'!S89</f>
        <v>150000</v>
      </c>
      <c r="F89" s="362" cm="1">
        <f t="array" ref="F89:F94">E89:E94</f>
        <v>150000</v>
      </c>
      <c r="G89" s="362"/>
      <c r="H89" s="361">
        <f>'Sources and Uses Budget'!T89</f>
        <v>0</v>
      </c>
      <c r="I89" s="362"/>
      <c r="J89" s="362"/>
      <c r="K89" s="359"/>
    </row>
    <row r="90" spans="1:11" s="360" customFormat="1" ht="11.4">
      <c r="A90" s="145" t="s">
        <v>773</v>
      </c>
      <c r="B90" s="361">
        <f>'Sources and Uses Budget'!C90</f>
        <v>15000</v>
      </c>
      <c r="C90" s="362">
        <v>15000</v>
      </c>
      <c r="D90" s="362"/>
      <c r="E90" s="361">
        <f>'Sources and Uses Budget'!S90</f>
        <v>15000</v>
      </c>
      <c r="F90" s="362">
        <v>15000</v>
      </c>
      <c r="G90" s="362"/>
      <c r="H90" s="361">
        <f>'Sources and Uses Budget'!T90</f>
        <v>0</v>
      </c>
      <c r="I90" s="362"/>
      <c r="J90" s="362"/>
      <c r="K90" s="359"/>
    </row>
    <row r="91" spans="1:11" s="360" customFormat="1" ht="11.4">
      <c r="A91" s="155" t="s">
        <v>372</v>
      </c>
      <c r="B91" s="361">
        <f>'Sources and Uses Budget'!C91</f>
        <v>50000</v>
      </c>
      <c r="C91" s="362">
        <v>50000</v>
      </c>
      <c r="D91" s="362"/>
      <c r="E91" s="361">
        <f>'Sources and Uses Budget'!S91</f>
        <v>50000</v>
      </c>
      <c r="F91" s="362">
        <v>50000</v>
      </c>
      <c r="G91" s="362"/>
      <c r="H91" s="361">
        <f>'Sources and Uses Budget'!T91</f>
        <v>0</v>
      </c>
      <c r="I91" s="362"/>
      <c r="J91" s="362"/>
      <c r="K91" s="359"/>
    </row>
    <row r="92" spans="1:11" s="360" customFormat="1" ht="11.4">
      <c r="A92" s="508" t="s">
        <v>1211</v>
      </c>
      <c r="B92" s="361">
        <f>'Sources and Uses Budget'!C92</f>
        <v>20000</v>
      </c>
      <c r="C92" s="362">
        <v>20000</v>
      </c>
      <c r="D92" s="362"/>
      <c r="E92" s="361">
        <f>'Sources and Uses Budget'!S92</f>
        <v>20000</v>
      </c>
      <c r="F92" s="362">
        <v>20000</v>
      </c>
      <c r="G92" s="362"/>
      <c r="H92" s="361">
        <f>'Sources and Uses Budget'!T92</f>
        <v>0</v>
      </c>
      <c r="I92" s="362"/>
      <c r="J92" s="362"/>
      <c r="K92" s="359"/>
    </row>
    <row r="93" spans="1:11" s="360" customFormat="1" ht="22.8">
      <c r="A93" s="364" t="str">
        <f>'Sources and Uses Budget'!$A93</f>
        <v>Prevailing Wage Monitoring,CDLAC Fee &amp; Predevelopment Interest</v>
      </c>
      <c r="B93" s="361">
        <f>'Sources and Uses Budget'!C93</f>
        <v>245673</v>
      </c>
      <c r="C93" s="362">
        <v>245673</v>
      </c>
      <c r="D93" s="362"/>
      <c r="E93" s="361">
        <f>'Sources and Uses Budget'!S93</f>
        <v>245673</v>
      </c>
      <c r="F93" s="362">
        <v>245673</v>
      </c>
      <c r="G93" s="362"/>
      <c r="H93" s="361">
        <f>'Sources and Uses Budget'!T93</f>
        <v>0</v>
      </c>
      <c r="I93" s="362"/>
      <c r="J93" s="362"/>
      <c r="K93" s="359"/>
    </row>
    <row r="94" spans="1:11" s="360" customFormat="1" ht="11.4">
      <c r="A94" s="364" t="str">
        <f>'Sources and Uses Budget'!$A94</f>
        <v xml:space="preserve">Misc. Third Party Costs </v>
      </c>
      <c r="B94" s="361">
        <f>'Sources and Uses Budget'!C94</f>
        <v>250000</v>
      </c>
      <c r="C94" s="362">
        <v>250000</v>
      </c>
      <c r="D94" s="362"/>
      <c r="E94" s="361">
        <f>'Sources and Uses Budget'!S94</f>
        <v>250000</v>
      </c>
      <c r="F94" s="362">
        <v>250000</v>
      </c>
      <c r="G94" s="362"/>
      <c r="H94" s="361">
        <f>'Sources and Uses Budget'!T94</f>
        <v>0</v>
      </c>
      <c r="I94" s="362"/>
      <c r="J94" s="362"/>
      <c r="K94" s="359"/>
    </row>
    <row r="95" spans="1:11" s="360" customFormat="1" ht="22.8">
      <c r="A95" s="364" t="str">
        <f>'Sources and Uses Budget'!$A95</f>
        <v>Initial Operating Capital &amp; Environmental Mitigation Compliance</v>
      </c>
      <c r="B95" s="361">
        <f>'Sources and Uses Budget'!C95</f>
        <v>420000</v>
      </c>
      <c r="C95" s="362">
        <v>420000</v>
      </c>
      <c r="D95" s="362"/>
      <c r="E95" s="361">
        <f>'Sources and Uses Budget'!S95</f>
        <v>0</v>
      </c>
      <c r="F95" s="362"/>
      <c r="G95" s="362"/>
      <c r="H95" s="361">
        <f>'Sources and Uses Budget'!T95</f>
        <v>0</v>
      </c>
      <c r="I95" s="362"/>
      <c r="J95" s="362"/>
      <c r="K95" s="359"/>
    </row>
    <row r="96" spans="1:11" s="360" customFormat="1">
      <c r="A96" s="365" t="s">
        <v>774</v>
      </c>
      <c r="B96" s="361">
        <f>'Sources and Uses Budget'!C96</f>
        <v>2921420</v>
      </c>
      <c r="C96" s="361">
        <f>SUM(C83:C95)</f>
        <v>2921420</v>
      </c>
      <c r="D96" s="361">
        <f>SUM(D83:D95)</f>
        <v>0</v>
      </c>
      <c r="E96" s="361">
        <f>'Sources and Uses Budget'!S96</f>
        <v>2400524</v>
      </c>
      <c r="F96" s="367">
        <f>SUM(F84:F87,F89:F95)</f>
        <v>2400524</v>
      </c>
      <c r="G96" s="367">
        <f>SUM(G84:G87,G89:G95)</f>
        <v>0</v>
      </c>
      <c r="H96" s="361">
        <f>'Sources and Uses Budget'!T96</f>
        <v>0</v>
      </c>
      <c r="I96" s="361">
        <f>SUM(I84:I87,I89:I95)</f>
        <v>0</v>
      </c>
      <c r="J96" s="361">
        <f>SUM(J84:J87,J89:J95)</f>
        <v>0</v>
      </c>
      <c r="K96" s="359"/>
    </row>
    <row r="97" spans="1:11" s="360" customFormat="1">
      <c r="A97" s="365" t="s">
        <v>1029</v>
      </c>
      <c r="B97" s="361">
        <f>'Sources and Uses Budget'!C97</f>
        <v>32212453</v>
      </c>
      <c r="C97" s="361">
        <f>SUM(C63+C70+C77+C81+C96)</f>
        <v>32212453</v>
      </c>
      <c r="D97" s="361">
        <f>SUM(D63+D70+D77+D81+D96)</f>
        <v>0</v>
      </c>
      <c r="E97" s="361">
        <f>'Sources and Uses Budget'!S97</f>
        <v>29090097</v>
      </c>
      <c r="F97" s="367">
        <f>SUM(+F63+F70+F81+F96)</f>
        <v>29090097</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4363514</v>
      </c>
      <c r="C99" s="362">
        <f>B99</f>
        <v>4363514</v>
      </c>
      <c r="D99" s="362"/>
      <c r="E99" s="361">
        <f>'Sources and Uses Budget'!S99</f>
        <v>4363514</v>
      </c>
      <c r="F99" s="362">
        <f>E99</f>
        <v>4363514</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4363514</v>
      </c>
      <c r="C104" s="361">
        <f>SUM(C99:C103)</f>
        <v>4363514</v>
      </c>
      <c r="D104" s="361">
        <f>SUM(D99:D103)</f>
        <v>0</v>
      </c>
      <c r="E104" s="361">
        <f>'Sources and Uses Budget'!S104</f>
        <v>4363514</v>
      </c>
      <c r="F104" s="367">
        <f>SUM(F99:F103)</f>
        <v>4363514</v>
      </c>
      <c r="G104" s="367">
        <f>SUM(G99:G103)</f>
        <v>0</v>
      </c>
      <c r="H104" s="361">
        <f>'Sources and Uses Budget'!T104</f>
        <v>0</v>
      </c>
      <c r="I104" s="367">
        <f>SUM(I99:I103)</f>
        <v>0</v>
      </c>
      <c r="J104" s="367">
        <f>SUM(J99:J103)</f>
        <v>0</v>
      </c>
      <c r="K104" s="359"/>
    </row>
    <row r="105" spans="1:11" s="360" customFormat="1">
      <c r="A105" s="365" t="s">
        <v>1030</v>
      </c>
      <c r="B105" s="361">
        <f>'Sources and Uses Budget'!C105</f>
        <v>36575967</v>
      </c>
      <c r="C105" s="367">
        <f>SUM(C97+C104)</f>
        <v>36575967</v>
      </c>
      <c r="D105" s="367">
        <f>SUM(D97+D104)</f>
        <v>0</v>
      </c>
      <c r="E105" s="361">
        <f>'Sources and Uses Budget'!S105</f>
        <v>33453611</v>
      </c>
      <c r="F105" s="367">
        <f>F97+F104</f>
        <v>33453611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33453611</v>
      </c>
      <c r="F107" s="367">
        <f>F105+F106</f>
        <v>33453611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80"/>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activeCell="N36" sqref="N36:Q36"/>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21875" style="1256" customWidth="1"/>
    <col min="72" max="76" width="5.5546875" style="1256" customWidth="1"/>
    <col min="77" max="77" width="6.21875" style="1256" bestFit="1" customWidth="1"/>
    <col min="78" max="78" width="5.5546875" style="1187" bestFit="1" customWidth="1"/>
    <col min="79" max="16384" width="2.77734375" style="1187"/>
  </cols>
  <sheetData>
    <row r="1" spans="1:65" ht="15.75" customHeight="1">
      <c r="A1" s="2330" t="s">
        <v>2456</v>
      </c>
      <c r="B1" s="2331"/>
      <c r="C1" s="2331"/>
      <c r="D1" s="2331"/>
      <c r="E1" s="2331"/>
      <c r="F1" s="2331"/>
      <c r="G1" s="2331"/>
      <c r="H1" s="2331"/>
      <c r="I1" s="2331"/>
      <c r="J1" s="2331"/>
      <c r="K1" s="2331"/>
      <c r="L1" s="2331"/>
      <c r="M1" s="2331"/>
      <c r="N1" s="2331"/>
      <c r="O1" s="2331"/>
      <c r="P1" s="2331"/>
      <c r="Q1" s="2331"/>
      <c r="R1" s="2331"/>
      <c r="S1" s="2331"/>
      <c r="T1" s="2331"/>
      <c r="U1" s="2331"/>
      <c r="V1" s="2331"/>
      <c r="W1" s="2331"/>
      <c r="X1" s="2331"/>
      <c r="Y1" s="2331"/>
      <c r="Z1" s="2331"/>
      <c r="AA1" s="2331"/>
      <c r="AB1" s="2331"/>
      <c r="AC1" s="2331"/>
      <c r="AD1" s="2331"/>
      <c r="AE1" s="2331"/>
      <c r="AF1" s="2331"/>
      <c r="AG1" s="2331"/>
      <c r="AH1" s="2331"/>
      <c r="AI1" s="2331"/>
      <c r="AJ1" s="2331"/>
      <c r="AK1" s="2331"/>
      <c r="AL1" s="2331"/>
      <c r="AM1" s="2331"/>
      <c r="AN1" s="2331"/>
      <c r="AO1" s="2331"/>
      <c r="AP1" s="2331"/>
      <c r="AQ1" s="2331"/>
      <c r="AR1" s="2331"/>
      <c r="AS1" s="2331"/>
      <c r="AT1" s="2331"/>
      <c r="AU1" s="2331"/>
      <c r="AV1" s="2331"/>
      <c r="AW1" s="2331"/>
      <c r="AX1" s="2331"/>
      <c r="AY1" s="2331"/>
      <c r="AZ1" s="2331"/>
      <c r="BA1" s="2331"/>
      <c r="BB1" s="2331"/>
      <c r="BC1" s="2331"/>
      <c r="BD1" s="2331"/>
      <c r="BE1" s="2332"/>
    </row>
    <row r="2" spans="1:65" ht="15.75" customHeight="1">
      <c r="A2" s="2333" t="s">
        <v>2455</v>
      </c>
      <c r="B2" s="2334"/>
      <c r="C2" s="2334"/>
      <c r="D2" s="2334"/>
      <c r="E2" s="2334"/>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334"/>
      <c r="AZ2" s="2334"/>
      <c r="BA2" s="2334"/>
      <c r="BB2" s="2334"/>
      <c r="BC2" s="2334"/>
      <c r="BD2" s="2334"/>
      <c r="BE2" s="233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22" t="str">
        <f>IF(Application!H18="","",Application!H18)</f>
        <v>The Junction</v>
      </c>
      <c r="M4" s="2323"/>
      <c r="N4" s="2323"/>
      <c r="O4" s="2323"/>
      <c r="P4" s="2323"/>
      <c r="Q4" s="2323"/>
      <c r="R4" s="2323"/>
      <c r="S4" s="2323"/>
      <c r="T4" s="2323"/>
      <c r="U4" s="2323"/>
      <c r="V4" s="2323"/>
      <c r="W4" s="2323"/>
      <c r="X4" s="2323"/>
      <c r="Y4" s="2323"/>
      <c r="Z4" s="2323"/>
      <c r="AA4" s="2323"/>
      <c r="AB4" s="2323"/>
      <c r="AC4" s="2324"/>
      <c r="AD4" s="1190"/>
      <c r="AE4" s="1190"/>
      <c r="AF4" s="2318" t="s">
        <v>2454</v>
      </c>
      <c r="AG4" s="2318"/>
      <c r="AH4" s="2318"/>
      <c r="AI4" s="2318"/>
      <c r="AJ4" s="2318"/>
      <c r="AK4" s="2318"/>
      <c r="AL4" s="2318"/>
      <c r="AM4" s="2318"/>
      <c r="AN4" s="2318"/>
      <c r="AO4" s="2318"/>
      <c r="AP4" s="2319"/>
      <c r="AQ4" s="2320"/>
      <c r="AR4" s="2320"/>
      <c r="AS4" s="2320"/>
      <c r="AT4" s="2320"/>
      <c r="AU4" s="232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8" t="s">
        <v>2453</v>
      </c>
      <c r="AG5" s="2318"/>
      <c r="AH5" s="2318"/>
      <c r="AI5" s="2318"/>
      <c r="AJ5" s="2318"/>
      <c r="AK5" s="2318"/>
      <c r="AL5" s="2318"/>
      <c r="AM5" s="2318"/>
      <c r="AN5" s="2318"/>
      <c r="AO5" s="2318"/>
      <c r="AP5" s="2319"/>
      <c r="AQ5" s="2320"/>
      <c r="AR5" s="2320"/>
      <c r="AS5" s="2320"/>
      <c r="AT5" s="2320"/>
      <c r="AU5" s="2320"/>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22" t="str">
        <f>IF(Application!H16="","",Application!H16)</f>
        <v>CRP The Junction LP</v>
      </c>
      <c r="M6" s="2323"/>
      <c r="N6" s="2323"/>
      <c r="O6" s="2323"/>
      <c r="P6" s="2323"/>
      <c r="Q6" s="2323"/>
      <c r="R6" s="2323"/>
      <c r="S6" s="2323"/>
      <c r="T6" s="2323"/>
      <c r="U6" s="2323"/>
      <c r="V6" s="2323"/>
      <c r="W6" s="2323"/>
      <c r="X6" s="2323"/>
      <c r="Y6" s="2323"/>
      <c r="Z6" s="2323"/>
      <c r="AA6" s="2323"/>
      <c r="AB6" s="2323"/>
      <c r="AC6" s="2324"/>
      <c r="AD6" s="1190"/>
      <c r="AE6" s="1190"/>
      <c r="AF6" s="2325" t="s">
        <v>2451</v>
      </c>
      <c r="AG6" s="2325"/>
      <c r="AH6" s="2325"/>
      <c r="AI6" s="2325"/>
      <c r="AJ6" s="2325"/>
      <c r="AK6" s="2325"/>
      <c r="AL6" s="2325"/>
      <c r="AM6" s="2325"/>
      <c r="AN6" s="2325"/>
      <c r="AO6" s="2325"/>
      <c r="AP6" s="2326"/>
      <c r="AQ6" s="2326"/>
      <c r="AR6" s="2326"/>
      <c r="AS6" s="2326"/>
      <c r="AT6" s="2326"/>
      <c r="AU6" s="232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5" t="s">
        <v>2450</v>
      </c>
      <c r="AG7" s="2325"/>
      <c r="AH7" s="2325"/>
      <c r="AI7" s="2325"/>
      <c r="AJ7" s="2325"/>
      <c r="AK7" s="2325"/>
      <c r="AL7" s="2325"/>
      <c r="AM7" s="2325"/>
      <c r="AN7" s="2325"/>
      <c r="AO7" s="2325"/>
      <c r="AP7" s="2326"/>
      <c r="AQ7" s="2326"/>
      <c r="AR7" s="2326"/>
      <c r="AS7" s="2326"/>
      <c r="AT7" s="2326"/>
      <c r="AU7" s="2326"/>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7" t="str">
        <f>Application!T197</f>
        <v>No</v>
      </c>
      <c r="AC8" s="2328"/>
      <c r="AD8" s="2329"/>
      <c r="AE8" s="1190"/>
      <c r="AF8" s="2325" t="s">
        <v>2448</v>
      </c>
      <c r="AG8" s="2325"/>
      <c r="AH8" s="2325"/>
      <c r="AI8" s="2325"/>
      <c r="AJ8" s="2325"/>
      <c r="AK8" s="2325"/>
      <c r="AL8" s="2325"/>
      <c r="AM8" s="2325"/>
      <c r="AN8" s="2325"/>
      <c r="AO8" s="2325"/>
      <c r="AP8" s="2326" t="s">
        <v>2098</v>
      </c>
      <c r="AQ8" s="2326"/>
      <c r="AR8" s="2326"/>
      <c r="AS8" s="2326"/>
      <c r="AT8" s="2326"/>
      <c r="AU8" s="2326"/>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8" t="s">
        <v>2447</v>
      </c>
      <c r="AG9" s="2318"/>
      <c r="AH9" s="2318"/>
      <c r="AI9" s="2318"/>
      <c r="AJ9" s="2318"/>
      <c r="AK9" s="2318"/>
      <c r="AL9" s="2318"/>
      <c r="AM9" s="2318"/>
      <c r="AN9" s="2318"/>
      <c r="AO9" s="2318"/>
      <c r="AP9" s="2319"/>
      <c r="AQ9" s="2320"/>
      <c r="AR9" s="2320"/>
      <c r="AS9" s="2320"/>
      <c r="AT9" s="2320"/>
      <c r="AU9" s="2320"/>
      <c r="AV9" s="1190"/>
      <c r="AW9" s="1190"/>
      <c r="AX9" s="1190"/>
      <c r="AY9" s="1190"/>
      <c r="AZ9" s="1190"/>
      <c r="BA9" s="1190"/>
      <c r="BB9" s="1190"/>
      <c r="BC9" s="1190"/>
      <c r="BD9" s="1190"/>
      <c r="BE9" s="1191"/>
      <c r="BM9" s="1187" t="s">
        <v>2446</v>
      </c>
    </row>
    <row r="10" spans="1:65" ht="14.4">
      <c r="A10" s="1189"/>
      <c r="B10" s="1192" t="s">
        <v>2445</v>
      </c>
      <c r="C10" s="1192"/>
      <c r="D10" s="1192"/>
      <c r="E10" s="1192"/>
      <c r="F10" s="1192"/>
      <c r="G10" s="1192"/>
      <c r="H10" s="1192"/>
      <c r="I10" s="1192"/>
      <c r="J10" s="1192"/>
      <c r="K10" s="1192"/>
      <c r="L10" s="1192"/>
      <c r="M10" s="1190"/>
      <c r="N10" s="2321">
        <f>Application!AO627</f>
        <v>3671957</v>
      </c>
      <c r="O10" s="2321"/>
      <c r="P10" s="2321"/>
      <c r="Q10" s="2321"/>
      <c r="R10" s="2321"/>
      <c r="S10" s="2321"/>
      <c r="T10" s="2321"/>
      <c r="U10" s="1190"/>
      <c r="V10" s="1190"/>
      <c r="W10" s="1190"/>
      <c r="X10" s="1193"/>
      <c r="Y10" s="1193"/>
      <c r="Z10" s="1193"/>
      <c r="AA10" s="1193"/>
      <c r="AB10" s="1193"/>
      <c r="AC10" s="1193"/>
      <c r="AD10" s="1193"/>
      <c r="AE10" s="1193"/>
      <c r="AF10" s="2318" t="s">
        <v>2444</v>
      </c>
      <c r="AG10" s="2318"/>
      <c r="AH10" s="2318"/>
      <c r="AI10" s="2318"/>
      <c r="AJ10" s="2318"/>
      <c r="AK10" s="2318"/>
      <c r="AL10" s="2318"/>
      <c r="AM10" s="2318"/>
      <c r="AN10" s="2318"/>
      <c r="AO10" s="2318"/>
      <c r="AP10" s="2319"/>
      <c r="AQ10" s="2320"/>
      <c r="AR10" s="2320"/>
      <c r="AS10" s="2320"/>
      <c r="AT10" s="2320"/>
      <c r="AU10" s="2320"/>
      <c r="AV10" s="1193"/>
      <c r="AW10" s="1193"/>
      <c r="AX10" s="1190"/>
      <c r="AY10" s="1190"/>
      <c r="AZ10" s="1190"/>
      <c r="BA10" s="1190"/>
      <c r="BB10" s="1190"/>
      <c r="BC10" s="1190"/>
      <c r="BD10" s="1190"/>
      <c r="BE10" s="1191"/>
      <c r="BM10" s="1187" t="s">
        <v>2443</v>
      </c>
    </row>
    <row r="11" spans="1:65" ht="14.4">
      <c r="A11" s="1189"/>
      <c r="B11" s="1192" t="s">
        <v>2442</v>
      </c>
      <c r="C11" s="1192"/>
      <c r="D11" s="1192"/>
      <c r="E11" s="1192"/>
      <c r="F11" s="1192"/>
      <c r="G11" s="1192"/>
      <c r="H11" s="1192"/>
      <c r="I11" s="1192"/>
      <c r="J11" s="1192"/>
      <c r="K11" s="1192"/>
      <c r="L11" s="1192"/>
      <c r="M11" s="1190"/>
      <c r="N11" s="2321">
        <f>Application!AA934</f>
        <v>0</v>
      </c>
      <c r="O11" s="2321"/>
      <c r="P11" s="2321"/>
      <c r="Q11" s="2321"/>
      <c r="R11" s="2321"/>
      <c r="S11" s="2321"/>
      <c r="T11" s="2321"/>
      <c r="U11" s="1190"/>
      <c r="V11" s="1190"/>
      <c r="W11" s="1190"/>
      <c r="X11" s="1193"/>
      <c r="Y11" s="1193"/>
      <c r="Z11" s="1193"/>
      <c r="AA11" s="1193"/>
      <c r="AB11" s="1193"/>
      <c r="AC11" s="1193"/>
      <c r="AD11" s="1193"/>
      <c r="AE11" s="1193"/>
      <c r="AF11" s="2318" t="s">
        <v>2441</v>
      </c>
      <c r="AG11" s="2318"/>
      <c r="AH11" s="2318"/>
      <c r="AI11" s="2318"/>
      <c r="AJ11" s="2318"/>
      <c r="AK11" s="2318"/>
      <c r="AL11" s="2318"/>
      <c r="AM11" s="2318"/>
      <c r="AN11" s="2318"/>
      <c r="AO11" s="2318"/>
      <c r="AP11" s="2319"/>
      <c r="AQ11" s="2320"/>
      <c r="AR11" s="2320"/>
      <c r="AS11" s="2320"/>
      <c r="AT11" s="2320"/>
      <c r="AU11" s="232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2309" t="s">
        <v>2439</v>
      </c>
      <c r="C13" s="2310"/>
      <c r="D13" s="2310"/>
      <c r="E13" s="2310"/>
      <c r="F13" s="2310"/>
      <c r="G13" s="2310"/>
      <c r="H13" s="2310"/>
      <c r="I13" s="2310"/>
      <c r="J13" s="2310"/>
      <c r="K13" s="2310"/>
      <c r="L13" s="2310"/>
      <c r="M13" s="2310"/>
      <c r="N13" s="2310"/>
      <c r="O13" s="2310"/>
      <c r="P13" s="2311"/>
      <c r="Q13" s="2312" t="s">
        <v>669</v>
      </c>
      <c r="R13" s="2313"/>
      <c r="S13" s="2313"/>
      <c r="T13" s="2314"/>
      <c r="U13" s="1193"/>
      <c r="V13" s="1190"/>
      <c r="W13" s="1190"/>
      <c r="X13" s="1190"/>
      <c r="Y13" s="1190"/>
      <c r="Z13" s="1190"/>
      <c r="AA13" s="2299" t="s">
        <v>2438</v>
      </c>
      <c r="AB13" s="2299"/>
      <c r="AC13" s="2299"/>
      <c r="AD13" s="2299"/>
      <c r="AE13" s="2299"/>
      <c r="AF13" s="2299"/>
      <c r="AG13" s="2299"/>
      <c r="AH13" s="2299"/>
      <c r="AI13" s="2299"/>
      <c r="AJ13" s="2299"/>
      <c r="AK13" s="2299"/>
      <c r="AL13" s="2299"/>
      <c r="AM13" s="2299"/>
      <c r="AN13" s="2299"/>
      <c r="AO13" s="2315">
        <f>Application!W473</f>
        <v>7</v>
      </c>
      <c r="AP13" s="2316"/>
      <c r="AQ13" s="2316"/>
      <c r="AR13" s="2316"/>
      <c r="AS13" s="2316"/>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7" t="s">
        <v>2436</v>
      </c>
      <c r="AB14" s="2317"/>
      <c r="AC14" s="2317"/>
      <c r="AD14" s="2317"/>
      <c r="AE14" s="2317"/>
      <c r="AF14" s="2317"/>
      <c r="AG14" s="2317"/>
      <c r="AH14" s="2317"/>
      <c r="AI14" s="2317"/>
      <c r="AJ14" s="2317"/>
      <c r="AK14" s="2317"/>
      <c r="AL14" s="2317"/>
      <c r="AM14" s="2317"/>
      <c r="AN14" s="2317"/>
      <c r="AO14" s="2300"/>
      <c r="AP14" s="2301"/>
      <c r="AQ14" s="2301"/>
      <c r="AR14" s="2301"/>
      <c r="AS14" s="2301"/>
      <c r="AT14" s="1193"/>
      <c r="AU14" s="1193"/>
      <c r="AV14" s="1193"/>
      <c r="AW14" s="1193"/>
      <c r="AX14" s="1193"/>
      <c r="AY14" s="1193"/>
      <c r="AZ14" s="1193"/>
      <c r="BA14" s="1193"/>
      <c r="BB14" s="1193"/>
      <c r="BC14" s="1193"/>
      <c r="BD14" s="1193"/>
      <c r="BE14" s="1194"/>
    </row>
    <row r="15" spans="1:65" ht="15" thickBot="1">
      <c r="A15" s="1190"/>
      <c r="B15" s="2294" t="s">
        <v>2435</v>
      </c>
      <c r="C15" s="2295"/>
      <c r="D15" s="2295"/>
      <c r="E15" s="2295"/>
      <c r="F15" s="2295"/>
      <c r="G15" s="2295"/>
      <c r="H15" s="2295"/>
      <c r="I15" s="2295"/>
      <c r="J15" s="2295"/>
      <c r="K15" s="2295"/>
      <c r="L15" s="2295"/>
      <c r="M15" s="2295"/>
      <c r="N15" s="2295"/>
      <c r="O15" s="2295"/>
      <c r="P15" s="2295"/>
      <c r="Q15" s="2295"/>
      <c r="R15" s="2296"/>
      <c r="S15" s="2297" t="str">
        <f>IF(Application!AB214="","",Application!AB214)</f>
        <v/>
      </c>
      <c r="T15" s="2297"/>
      <c r="U15" s="2297"/>
      <c r="V15" s="2297"/>
      <c r="W15" s="2298"/>
      <c r="X15" s="1193"/>
      <c r="Y15" s="1190"/>
      <c r="Z15" s="1190"/>
      <c r="AA15" s="2299" t="s">
        <v>2434</v>
      </c>
      <c r="AB15" s="2299"/>
      <c r="AC15" s="2299"/>
      <c r="AD15" s="2299"/>
      <c r="AE15" s="2299"/>
      <c r="AF15" s="2299"/>
      <c r="AG15" s="2299"/>
      <c r="AH15" s="2299"/>
      <c r="AI15" s="2299"/>
      <c r="AJ15" s="2299"/>
      <c r="AK15" s="2299"/>
      <c r="AL15" s="2299"/>
      <c r="AM15" s="2299"/>
      <c r="AN15" s="2299"/>
      <c r="AO15" s="2300"/>
      <c r="AP15" s="2301"/>
      <c r="AQ15" s="2301"/>
      <c r="AR15" s="2301"/>
      <c r="AS15" s="2301"/>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107" t="s">
        <v>2433</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190"/>
      <c r="BA17" s="1190"/>
      <c r="BB17" s="1190"/>
      <c r="BC17" s="1190"/>
      <c r="BD17" s="1190"/>
      <c r="BE17" s="1194"/>
      <c r="BF17" s="1188"/>
    </row>
    <row r="18" spans="1:58" ht="15.75" customHeight="1">
      <c r="A18" s="1190"/>
      <c r="B18" s="2302" t="s">
        <v>2432</v>
      </c>
      <c r="C18" s="2303"/>
      <c r="D18" s="2303"/>
      <c r="E18" s="2303"/>
      <c r="F18" s="2303"/>
      <c r="G18" s="2303"/>
      <c r="H18" s="2303"/>
      <c r="I18" s="2304"/>
      <c r="J18" s="2305" t="s">
        <v>1586</v>
      </c>
      <c r="K18" s="2306"/>
      <c r="L18" s="2306"/>
      <c r="M18" s="2306"/>
      <c r="N18" s="2306"/>
      <c r="O18" s="2307"/>
      <c r="P18" s="2305" t="s">
        <v>324</v>
      </c>
      <c r="Q18" s="2306"/>
      <c r="R18" s="2306"/>
      <c r="S18" s="2306"/>
      <c r="T18" s="2306"/>
      <c r="U18" s="2307"/>
      <c r="V18" s="2305" t="s">
        <v>325</v>
      </c>
      <c r="W18" s="2306"/>
      <c r="X18" s="2306"/>
      <c r="Y18" s="2306"/>
      <c r="Z18" s="2306"/>
      <c r="AA18" s="2307"/>
      <c r="AB18" s="2305" t="s">
        <v>163</v>
      </c>
      <c r="AC18" s="2306"/>
      <c r="AD18" s="2306"/>
      <c r="AE18" s="2306"/>
      <c r="AF18" s="2306"/>
      <c r="AG18" s="2307"/>
      <c r="AH18" s="2305" t="s">
        <v>164</v>
      </c>
      <c r="AI18" s="2306"/>
      <c r="AJ18" s="2306"/>
      <c r="AK18" s="2306"/>
      <c r="AL18" s="2306"/>
      <c r="AM18" s="2307"/>
      <c r="AN18" s="2305" t="s">
        <v>165</v>
      </c>
      <c r="AO18" s="2306"/>
      <c r="AP18" s="2306"/>
      <c r="AQ18" s="2306"/>
      <c r="AR18" s="2306"/>
      <c r="AS18" s="2307"/>
      <c r="AT18" s="2305" t="s">
        <v>2431</v>
      </c>
      <c r="AU18" s="2306"/>
      <c r="AV18" s="2306"/>
      <c r="AW18" s="2306"/>
      <c r="AX18" s="2306"/>
      <c r="AY18" s="2308"/>
      <c r="AZ18" s="1190"/>
      <c r="BA18" s="1190"/>
      <c r="BB18" s="1190"/>
      <c r="BC18" s="1190"/>
      <c r="BD18" s="1190"/>
      <c r="BE18" s="1194"/>
    </row>
    <row r="19" spans="1:58" ht="14.4">
      <c r="A19" s="1190"/>
      <c r="B19" s="2288">
        <v>0.3</v>
      </c>
      <c r="C19" s="2289"/>
      <c r="D19" s="2289"/>
      <c r="E19" s="2289"/>
      <c r="F19" s="2289"/>
      <c r="G19" s="2289"/>
      <c r="H19" s="2289"/>
      <c r="I19" s="2290"/>
      <c r="J19" s="2291">
        <f t="shared" ref="J19:J24" si="0">SUM(P19:AS19)</f>
        <v>6</v>
      </c>
      <c r="K19" s="2292"/>
      <c r="L19" s="2292"/>
      <c r="M19" s="2292"/>
      <c r="N19" s="2292"/>
      <c r="O19" s="2293"/>
      <c r="P19" s="2291" cm="1">
        <f t="array" ref="P19">SUMPRODUCT((Application!$B$718:$B$752 = 'CalHFA Addendum'!P$18)*(Application!$AC$718:$AC$752 = 'CalHFA Addendum'!$B19),Application!$G$718:$G$752)</f>
        <v>0</v>
      </c>
      <c r="Q19" s="2292"/>
      <c r="R19" s="2292"/>
      <c r="S19" s="2292"/>
      <c r="T19" s="2292"/>
      <c r="U19" s="2293"/>
      <c r="V19" s="2291" cm="1">
        <f t="array" ref="V19">SUMPRODUCT((Application!$B$714:$B$738 = 'CalHFA Addendum'!V$18)*(Application!$AC$714:$AC$738 = 'CalHFA Addendum'!$B19),Application!$G$714:$G$738)</f>
        <v>2</v>
      </c>
      <c r="W19" s="2292"/>
      <c r="X19" s="2292"/>
      <c r="Y19" s="2292"/>
      <c r="Z19" s="2292"/>
      <c r="AA19" s="2293"/>
      <c r="AB19" s="2291" cm="1">
        <f t="array" ref="AB19">SUMPRODUCT((Application!$B$714:$B$738 = 'CalHFA Addendum'!AB$18)*(Application!$AC$714:$AC$738 = 'CalHFA Addendum'!$B19),Application!$G$714:$G$738)</f>
        <v>2</v>
      </c>
      <c r="AC19" s="2292"/>
      <c r="AD19" s="2292"/>
      <c r="AE19" s="2292"/>
      <c r="AF19" s="2292"/>
      <c r="AG19" s="2293"/>
      <c r="AH19" s="2291" cm="1">
        <f t="array" ref="AH19">SUMPRODUCT((Application!$B$714:$B$738 = 'CalHFA Addendum'!AH$18)*(Application!$AC$714:$AC$738 = 'CalHFA Addendum'!$B19),Application!$G$714:$G$738)</f>
        <v>2</v>
      </c>
      <c r="AI19" s="2292"/>
      <c r="AJ19" s="2292"/>
      <c r="AK19" s="2292"/>
      <c r="AL19" s="2292"/>
      <c r="AM19" s="2293"/>
      <c r="AN19" s="2291" cm="1">
        <f t="array" ref="AN19">SUMPRODUCT((Application!$B$714:$B$738 = 'CalHFA Addendum'!AN$18)*(Application!$AC$714:$AC$738 = 'CalHFA Addendum'!$B19),Application!$G$714:$G$738)</f>
        <v>0</v>
      </c>
      <c r="AO19" s="2292"/>
      <c r="AP19" s="2292"/>
      <c r="AQ19" s="2292"/>
      <c r="AR19" s="2292"/>
      <c r="AS19" s="2293"/>
      <c r="AT19" s="2276">
        <f t="shared" ref="AT19:AT29" si="1">J19/$J$29</f>
        <v>0.13043478260869565</v>
      </c>
      <c r="AU19" s="2277"/>
      <c r="AV19" s="2277"/>
      <c r="AW19" s="2277"/>
      <c r="AX19" s="2277"/>
      <c r="AY19" s="2278"/>
      <c r="AZ19" s="1195"/>
      <c r="BA19" s="1190"/>
      <c r="BB19" s="1190"/>
      <c r="BC19" s="1190"/>
      <c r="BD19" s="1190"/>
      <c r="BE19" s="1194"/>
    </row>
    <row r="20" spans="1:58" ht="15" customHeight="1">
      <c r="A20" s="1190"/>
      <c r="B20" s="2288">
        <v>0.4</v>
      </c>
      <c r="C20" s="2289"/>
      <c r="D20" s="2289"/>
      <c r="E20" s="2289"/>
      <c r="F20" s="2289"/>
      <c r="G20" s="2289"/>
      <c r="H20" s="2289"/>
      <c r="I20" s="2290"/>
      <c r="J20" s="2291">
        <f t="shared" si="0"/>
        <v>0</v>
      </c>
      <c r="K20" s="2292"/>
      <c r="L20" s="2292"/>
      <c r="M20" s="2292"/>
      <c r="N20" s="2292"/>
      <c r="O20" s="2293"/>
      <c r="P20" s="2291" cm="1">
        <f t="array" ref="P20">SUMPRODUCT((Application!$B$718:$B$752 = 'CalHFA Addendum'!P$18)*(Application!$AC$718:$AC$752 = 'CalHFA Addendum'!$B20),Application!$G$718:$G$752)</f>
        <v>0</v>
      </c>
      <c r="Q20" s="2292"/>
      <c r="R20" s="2292"/>
      <c r="S20" s="2292"/>
      <c r="T20" s="2292"/>
      <c r="U20" s="2293"/>
      <c r="V20" s="2291" cm="1">
        <f t="array" ref="V20">SUMPRODUCT((Application!$B$714:$B$738 = 'CalHFA Addendum'!V$18)*(Application!$AC$714:$AC$738 = 'CalHFA Addendum'!$B20),Application!$G$714:$G$738)</f>
        <v>0</v>
      </c>
      <c r="W20" s="2292"/>
      <c r="X20" s="2292"/>
      <c r="Y20" s="2292"/>
      <c r="Z20" s="2292"/>
      <c r="AA20" s="2293"/>
      <c r="AB20" s="2291" cm="1">
        <f t="array" ref="AB20">SUMPRODUCT((Application!$B$714:$B$738 = 'CalHFA Addendum'!AB$18)*(Application!$AC$714:$AC$738 = 'CalHFA Addendum'!$B20),Application!$G$714:$G$738)</f>
        <v>0</v>
      </c>
      <c r="AC20" s="2292"/>
      <c r="AD20" s="2292"/>
      <c r="AE20" s="2292"/>
      <c r="AF20" s="2292"/>
      <c r="AG20" s="2293"/>
      <c r="AH20" s="2291" cm="1">
        <f t="array" ref="AH20">SUMPRODUCT((Application!$B$714:$B$738 = 'CalHFA Addendum'!AH$18)*(Application!$AC$714:$AC$738 = 'CalHFA Addendum'!$B20),Application!$G$714:$G$738)</f>
        <v>0</v>
      </c>
      <c r="AI20" s="2292"/>
      <c r="AJ20" s="2292"/>
      <c r="AK20" s="2292"/>
      <c r="AL20" s="2292"/>
      <c r="AM20" s="2293"/>
      <c r="AN20" s="2291" cm="1">
        <f t="array" ref="AN20">SUMPRODUCT((Application!$B$714:$B$738 = 'CalHFA Addendum'!AN$18)*(Application!$AC$714:$AC$738 = 'CalHFA Addendum'!$B20),Application!$G$714:$G$738)</f>
        <v>0</v>
      </c>
      <c r="AO20" s="2292"/>
      <c r="AP20" s="2292"/>
      <c r="AQ20" s="2292"/>
      <c r="AR20" s="2292"/>
      <c r="AS20" s="2293"/>
      <c r="AT20" s="2276">
        <f t="shared" si="1"/>
        <v>0</v>
      </c>
      <c r="AU20" s="2277"/>
      <c r="AV20" s="2277"/>
      <c r="AW20" s="2277"/>
      <c r="AX20" s="2277"/>
      <c r="AY20" s="2278"/>
      <c r="AZ20" s="1190"/>
      <c r="BA20" s="1190"/>
      <c r="BB20" s="1190"/>
      <c r="BC20" s="1190"/>
      <c r="BD20" s="1190"/>
      <c r="BE20" s="1194"/>
    </row>
    <row r="21" spans="1:58" ht="14.4">
      <c r="A21" s="1190"/>
      <c r="B21" s="2288">
        <v>0.5</v>
      </c>
      <c r="C21" s="2289"/>
      <c r="D21" s="2289"/>
      <c r="E21" s="2289"/>
      <c r="F21" s="2289"/>
      <c r="G21" s="2289"/>
      <c r="H21" s="2289"/>
      <c r="I21" s="2290"/>
      <c r="J21" s="2291">
        <f t="shared" si="0"/>
        <v>28</v>
      </c>
      <c r="K21" s="2292"/>
      <c r="L21" s="2292"/>
      <c r="M21" s="2292"/>
      <c r="N21" s="2292"/>
      <c r="O21" s="2293"/>
      <c r="P21" s="2291" cm="1">
        <f t="array" ref="P21">SUMPRODUCT((Application!$B$714:$B$738 = 'CalHFA Addendum'!P$18)*(Application!$AC$714:$AC$738 = 'CalHFA Addendum'!$B21),Application!$G$714:$G$738)</f>
        <v>0</v>
      </c>
      <c r="Q21" s="2292"/>
      <c r="R21" s="2292"/>
      <c r="S21" s="2292"/>
      <c r="T21" s="2292"/>
      <c r="U21" s="2293"/>
      <c r="V21" s="2291" cm="1">
        <f t="array" ref="V21">SUMPRODUCT((Application!$B$714:$B$738 = 'CalHFA Addendum'!V$18)*(Application!$AC$714:$AC$738 = 'CalHFA Addendum'!$B21),Application!$G$714:$G$738)</f>
        <v>7</v>
      </c>
      <c r="W21" s="2292"/>
      <c r="X21" s="2292"/>
      <c r="Y21" s="2292"/>
      <c r="Z21" s="2292"/>
      <c r="AA21" s="2293"/>
      <c r="AB21" s="2291" cm="1">
        <f t="array" ref="AB21">SUMPRODUCT((Application!$B$714:$B$738 = 'CalHFA Addendum'!AB$18)*(Application!$AC$714:$AC$738 = 'CalHFA Addendum'!$B21),Application!$G$714:$G$738)</f>
        <v>11</v>
      </c>
      <c r="AC21" s="2292"/>
      <c r="AD21" s="2292"/>
      <c r="AE21" s="2292"/>
      <c r="AF21" s="2292"/>
      <c r="AG21" s="2293"/>
      <c r="AH21" s="2291" cm="1">
        <f t="array" ref="AH21">SUMPRODUCT((Application!$B$714:$B$738 = 'CalHFA Addendum'!AH$18)*(Application!$AC$714:$AC$738 = 'CalHFA Addendum'!$B21),Application!$G$714:$G$738)</f>
        <v>10</v>
      </c>
      <c r="AI21" s="2292"/>
      <c r="AJ21" s="2292"/>
      <c r="AK21" s="2292"/>
      <c r="AL21" s="2292"/>
      <c r="AM21" s="2293"/>
      <c r="AN21" s="2291" cm="1">
        <f t="array" ref="AN21">SUMPRODUCT((Application!$B$714:$B$738 = 'CalHFA Addendum'!AN$18)*(Application!$AC$714:$AC$738 = 'CalHFA Addendum'!$B21),Application!$G$714:$G$738)</f>
        <v>0</v>
      </c>
      <c r="AO21" s="2292"/>
      <c r="AP21" s="2292"/>
      <c r="AQ21" s="2292"/>
      <c r="AR21" s="2292"/>
      <c r="AS21" s="2293"/>
      <c r="AT21" s="2276">
        <f t="shared" si="1"/>
        <v>0.60869565217391308</v>
      </c>
      <c r="AU21" s="2277"/>
      <c r="AV21" s="2277"/>
      <c r="AW21" s="2277"/>
      <c r="AX21" s="2277"/>
      <c r="AY21" s="2278"/>
      <c r="AZ21" s="1190"/>
      <c r="BA21" s="1190"/>
      <c r="BB21" s="1190"/>
      <c r="BC21" s="1190"/>
      <c r="BD21" s="1190"/>
      <c r="BE21" s="1194"/>
    </row>
    <row r="22" spans="1:58" ht="14.4">
      <c r="A22" s="1190"/>
      <c r="B22" s="2288">
        <v>0.6</v>
      </c>
      <c r="C22" s="2289"/>
      <c r="D22" s="2289"/>
      <c r="E22" s="2289"/>
      <c r="F22" s="2289"/>
      <c r="G22" s="2289"/>
      <c r="H22" s="2289"/>
      <c r="I22" s="2290"/>
      <c r="J22" s="2291">
        <f t="shared" si="0"/>
        <v>11</v>
      </c>
      <c r="K22" s="2292"/>
      <c r="L22" s="2292"/>
      <c r="M22" s="2292"/>
      <c r="N22" s="2292"/>
      <c r="O22" s="2293"/>
      <c r="P22" s="2291" cm="1">
        <f t="array" ref="P22">SUMPRODUCT((Application!$B$714:$B$738 = 'CalHFA Addendum'!P$18)*(Application!$AC$714:$AC$738 = 'CalHFA Addendum'!$B22),Application!$G$714:$G$738)</f>
        <v>0</v>
      </c>
      <c r="Q22" s="2292"/>
      <c r="R22" s="2292"/>
      <c r="S22" s="2292"/>
      <c r="T22" s="2292"/>
      <c r="U22" s="2293"/>
      <c r="V22" s="2291" cm="1">
        <f t="array" ref="V22">SUMPRODUCT((Application!$B$714:$B$738 = 'CalHFA Addendum'!V$18)*(Application!$AC$714:$AC$738 = 'CalHFA Addendum'!$B22),Application!$G$714:$G$738)</f>
        <v>3</v>
      </c>
      <c r="W22" s="2292"/>
      <c r="X22" s="2292"/>
      <c r="Y22" s="2292"/>
      <c r="Z22" s="2292"/>
      <c r="AA22" s="2293"/>
      <c r="AB22" s="2291" cm="1">
        <f t="array" ref="AB22">SUMPRODUCT((Application!$B$714:$B$738 = 'CalHFA Addendum'!AB$18)*(Application!$AC$714:$AC$738 = 'CalHFA Addendum'!$B22),Application!$G$714:$G$738)</f>
        <v>5</v>
      </c>
      <c r="AC22" s="2292"/>
      <c r="AD22" s="2292"/>
      <c r="AE22" s="2292"/>
      <c r="AF22" s="2292"/>
      <c r="AG22" s="2293"/>
      <c r="AH22" s="2291" cm="1">
        <f t="array" ref="AH22">SUMPRODUCT((Application!$B$714:$B$738 = 'CalHFA Addendum'!AH$18)*(Application!$AC$714:$AC$738 = 'CalHFA Addendum'!$B22),Application!$G$714:$G$738)</f>
        <v>3</v>
      </c>
      <c r="AI22" s="2292"/>
      <c r="AJ22" s="2292"/>
      <c r="AK22" s="2292"/>
      <c r="AL22" s="2292"/>
      <c r="AM22" s="2293"/>
      <c r="AN22" s="2291" cm="1">
        <f t="array" ref="AN22">SUMPRODUCT((Application!$B$714:$B$738 = 'CalHFA Addendum'!AN$18)*(Application!$AC$714:$AC$738 = 'CalHFA Addendum'!$B22),Application!$G$714:$G$738)</f>
        <v>0</v>
      </c>
      <c r="AO22" s="2292"/>
      <c r="AP22" s="2292"/>
      <c r="AQ22" s="2292"/>
      <c r="AR22" s="2292"/>
      <c r="AS22" s="2293"/>
      <c r="AT22" s="2276">
        <f t="shared" si="1"/>
        <v>0.2391304347826087</v>
      </c>
      <c r="AU22" s="2277"/>
      <c r="AV22" s="2277"/>
      <c r="AW22" s="2277"/>
      <c r="AX22" s="2277"/>
      <c r="AY22" s="2278"/>
      <c r="AZ22" s="1190"/>
      <c r="BA22" s="1190"/>
      <c r="BB22" s="1190"/>
      <c r="BC22" s="1190"/>
      <c r="BD22" s="1190"/>
      <c r="BE22" s="1194"/>
    </row>
    <row r="23" spans="1:58" ht="14.4">
      <c r="A23" s="1190"/>
      <c r="B23" s="2288">
        <v>0.7</v>
      </c>
      <c r="C23" s="2289"/>
      <c r="D23" s="2289"/>
      <c r="E23" s="2289"/>
      <c r="F23" s="2289"/>
      <c r="G23" s="2289"/>
      <c r="H23" s="2289"/>
      <c r="I23" s="2290"/>
      <c r="J23" s="2291">
        <f t="shared" si="0"/>
        <v>0</v>
      </c>
      <c r="K23" s="2292"/>
      <c r="L23" s="2292"/>
      <c r="M23" s="2292"/>
      <c r="N23" s="2292"/>
      <c r="O23" s="2293"/>
      <c r="P23" s="2291" cm="1">
        <f t="array" ref="P23">SUMPRODUCT((Application!$B$714:$B$738 = 'CalHFA Addendum'!P$18)*(Application!$AC$714:$AC$738 = 'CalHFA Addendum'!$B23),Application!$G$714:$G$738)</f>
        <v>0</v>
      </c>
      <c r="Q23" s="2292"/>
      <c r="R23" s="2292"/>
      <c r="S23" s="2292"/>
      <c r="T23" s="2292"/>
      <c r="U23" s="2293"/>
      <c r="V23" s="2291" cm="1">
        <f t="array" ref="V23">SUMPRODUCT((Application!$B$714:$B$738 = 'CalHFA Addendum'!V$18)*(Application!$AC$714:$AC$738 = 'CalHFA Addendum'!$B23),Application!$G$714:$G$738)</f>
        <v>0</v>
      </c>
      <c r="W23" s="2292"/>
      <c r="X23" s="2292"/>
      <c r="Y23" s="2292"/>
      <c r="Z23" s="2292"/>
      <c r="AA23" s="2293"/>
      <c r="AB23" s="2291" cm="1">
        <f t="array" ref="AB23">SUMPRODUCT((Application!$B$714:$B$738 = 'CalHFA Addendum'!AB$18)*(Application!$AC$714:$AC$738 = 'CalHFA Addendum'!$B23),Application!$G$714:$G$738)</f>
        <v>0</v>
      </c>
      <c r="AC23" s="2292"/>
      <c r="AD23" s="2292"/>
      <c r="AE23" s="2292"/>
      <c r="AF23" s="2292"/>
      <c r="AG23" s="2293"/>
      <c r="AH23" s="2291" cm="1">
        <f t="array" ref="AH23">SUMPRODUCT((Application!$B$714:$B$738 = 'CalHFA Addendum'!AH$18)*(Application!$AC$714:$AC$738 = 'CalHFA Addendum'!$B23),Application!$G$714:$G$738)</f>
        <v>0</v>
      </c>
      <c r="AI23" s="2292"/>
      <c r="AJ23" s="2292"/>
      <c r="AK23" s="2292"/>
      <c r="AL23" s="2292"/>
      <c r="AM23" s="2293"/>
      <c r="AN23" s="2291" cm="1">
        <f t="array" ref="AN23">SUMPRODUCT((Application!$B$714:$B$738 = 'CalHFA Addendum'!AN$18)*(Application!$AC$714:$AC$738 = 'CalHFA Addendum'!$B23),Application!$G$714:$G$738)</f>
        <v>0</v>
      </c>
      <c r="AO23" s="2292"/>
      <c r="AP23" s="2292"/>
      <c r="AQ23" s="2292"/>
      <c r="AR23" s="2292"/>
      <c r="AS23" s="2293"/>
      <c r="AT23" s="2276">
        <f t="shared" si="1"/>
        <v>0</v>
      </c>
      <c r="AU23" s="2277"/>
      <c r="AV23" s="2277"/>
      <c r="AW23" s="2277"/>
      <c r="AX23" s="2277"/>
      <c r="AY23" s="2278"/>
      <c r="AZ23" s="1190"/>
      <c r="BA23" s="1190"/>
      <c r="BB23" s="1190"/>
      <c r="BC23" s="1190"/>
      <c r="BD23" s="1190"/>
      <c r="BE23" s="1194"/>
    </row>
    <row r="24" spans="1:58" ht="14.4">
      <c r="A24" s="1190"/>
      <c r="B24" s="2288">
        <v>0.8</v>
      </c>
      <c r="C24" s="2289"/>
      <c r="D24" s="2289"/>
      <c r="E24" s="2289"/>
      <c r="F24" s="2289"/>
      <c r="G24" s="2289"/>
      <c r="H24" s="2289"/>
      <c r="I24" s="2290"/>
      <c r="J24" s="2291">
        <f t="shared" si="0"/>
        <v>0</v>
      </c>
      <c r="K24" s="2292"/>
      <c r="L24" s="2292"/>
      <c r="M24" s="2292"/>
      <c r="N24" s="2292"/>
      <c r="O24" s="2293"/>
      <c r="P24" s="2291" cm="1">
        <f t="array" ref="P24">SUMPRODUCT((Application!$B$714:$B$738 = 'CalHFA Addendum'!P$18)*(Application!$AC$714:$AC$738 = 'CalHFA Addendum'!$B24),Application!$G$714:$G$738)</f>
        <v>0</v>
      </c>
      <c r="Q24" s="2292"/>
      <c r="R24" s="2292"/>
      <c r="S24" s="2292"/>
      <c r="T24" s="2292"/>
      <c r="U24" s="2293"/>
      <c r="V24" s="2291" cm="1">
        <f t="array" ref="V24">SUMPRODUCT((Application!$B$714:$B$738 = 'CalHFA Addendum'!V$18)*(Application!$AC$714:$AC$738 = 'CalHFA Addendum'!$B24),Application!$G$714:$G$738)</f>
        <v>0</v>
      </c>
      <c r="W24" s="2292"/>
      <c r="X24" s="2292"/>
      <c r="Y24" s="2292"/>
      <c r="Z24" s="2292"/>
      <c r="AA24" s="2293"/>
      <c r="AB24" s="2291" cm="1">
        <f t="array" ref="AB24">SUMPRODUCT((Application!$B$714:$B$738 = 'CalHFA Addendum'!AB$18)*(Application!$AC$714:$AC$738 = 'CalHFA Addendum'!$B24),Application!$G$714:$G$738)</f>
        <v>0</v>
      </c>
      <c r="AC24" s="2292"/>
      <c r="AD24" s="2292"/>
      <c r="AE24" s="2292"/>
      <c r="AF24" s="2292"/>
      <c r="AG24" s="2293"/>
      <c r="AH24" s="2291" cm="1">
        <f t="array" ref="AH24">SUMPRODUCT((Application!$B$714:$B$738 = 'CalHFA Addendum'!AH$18)*(Application!$AC$714:$AC$738 = 'CalHFA Addendum'!$B24),Application!$G$714:$G$738)</f>
        <v>0</v>
      </c>
      <c r="AI24" s="2292"/>
      <c r="AJ24" s="2292"/>
      <c r="AK24" s="2292"/>
      <c r="AL24" s="2292"/>
      <c r="AM24" s="2293"/>
      <c r="AN24" s="2291" cm="1">
        <f t="array" ref="AN24">SUMPRODUCT((Application!$B$714:$B$738 = 'CalHFA Addendum'!AN$18)*(Application!$AC$714:$AC$738 = 'CalHFA Addendum'!$B24),Application!$G$714:$G$738)</f>
        <v>0</v>
      </c>
      <c r="AO24" s="2292"/>
      <c r="AP24" s="2292"/>
      <c r="AQ24" s="2292"/>
      <c r="AR24" s="2292"/>
      <c r="AS24" s="2293"/>
      <c r="AT24" s="2276">
        <f t="shared" si="1"/>
        <v>0</v>
      </c>
      <c r="AU24" s="2277"/>
      <c r="AV24" s="2277"/>
      <c r="AW24" s="2277"/>
      <c r="AX24" s="2277"/>
      <c r="AY24" s="2278"/>
      <c r="AZ24" s="1190"/>
      <c r="BA24" s="1190"/>
      <c r="BB24" s="1190"/>
      <c r="BC24" s="1190"/>
      <c r="BD24" s="1190"/>
      <c r="BE24" s="1194"/>
    </row>
    <row r="25" spans="1:58" ht="14.4">
      <c r="A25" s="1190"/>
      <c r="B25" s="2288">
        <v>0.9</v>
      </c>
      <c r="C25" s="2289"/>
      <c r="D25" s="2289"/>
      <c r="E25" s="2289"/>
      <c r="F25" s="2289"/>
      <c r="G25" s="2289"/>
      <c r="H25" s="2289"/>
      <c r="I25" s="2290"/>
      <c r="J25" s="2273"/>
      <c r="K25" s="2274"/>
      <c r="L25" s="2274"/>
      <c r="M25" s="2274"/>
      <c r="N25" s="2274"/>
      <c r="O25" s="2275"/>
      <c r="P25" s="2273"/>
      <c r="Q25" s="2274"/>
      <c r="R25" s="2274"/>
      <c r="S25" s="2274"/>
      <c r="T25" s="2274"/>
      <c r="U25" s="2275"/>
      <c r="V25" s="2273"/>
      <c r="W25" s="2274"/>
      <c r="X25" s="2274"/>
      <c r="Y25" s="2274"/>
      <c r="Z25" s="2274"/>
      <c r="AA25" s="2275"/>
      <c r="AB25" s="2273"/>
      <c r="AC25" s="2274"/>
      <c r="AD25" s="2274"/>
      <c r="AE25" s="2274"/>
      <c r="AF25" s="2274"/>
      <c r="AG25" s="2275"/>
      <c r="AH25" s="2273"/>
      <c r="AI25" s="2274"/>
      <c r="AJ25" s="2274"/>
      <c r="AK25" s="2274"/>
      <c r="AL25" s="2274"/>
      <c r="AM25" s="2275"/>
      <c r="AN25" s="2273"/>
      <c r="AO25" s="2274"/>
      <c r="AP25" s="2274"/>
      <c r="AQ25" s="2274"/>
      <c r="AR25" s="2274"/>
      <c r="AS25" s="2275"/>
      <c r="AT25" s="2276">
        <f t="shared" si="1"/>
        <v>0</v>
      </c>
      <c r="AU25" s="2277"/>
      <c r="AV25" s="2277"/>
      <c r="AW25" s="2277"/>
      <c r="AX25" s="2277"/>
      <c r="AY25" s="2278"/>
      <c r="AZ25" s="1190"/>
      <c r="BA25" s="1190"/>
      <c r="BB25" s="1190"/>
      <c r="BC25" s="1190"/>
      <c r="BD25" s="1190"/>
      <c r="BE25" s="1194"/>
    </row>
    <row r="26" spans="1:58" ht="14.4">
      <c r="A26" s="1190"/>
      <c r="B26" s="2288">
        <v>1</v>
      </c>
      <c r="C26" s="2289"/>
      <c r="D26" s="2289"/>
      <c r="E26" s="2289"/>
      <c r="F26" s="2289"/>
      <c r="G26" s="2289"/>
      <c r="H26" s="2289"/>
      <c r="I26" s="2290"/>
      <c r="J26" s="2273"/>
      <c r="K26" s="2274"/>
      <c r="L26" s="2274"/>
      <c r="M26" s="2274"/>
      <c r="N26" s="2274"/>
      <c r="O26" s="2275"/>
      <c r="P26" s="2273"/>
      <c r="Q26" s="2274"/>
      <c r="R26" s="2274"/>
      <c r="S26" s="2274"/>
      <c r="T26" s="2274"/>
      <c r="U26" s="2275"/>
      <c r="V26" s="2273"/>
      <c r="W26" s="2274"/>
      <c r="X26" s="2274"/>
      <c r="Y26" s="2274"/>
      <c r="Z26" s="2274"/>
      <c r="AA26" s="2275"/>
      <c r="AB26" s="2273"/>
      <c r="AC26" s="2274"/>
      <c r="AD26" s="2274"/>
      <c r="AE26" s="2274"/>
      <c r="AF26" s="2274"/>
      <c r="AG26" s="2275"/>
      <c r="AH26" s="2273"/>
      <c r="AI26" s="2274"/>
      <c r="AJ26" s="2274"/>
      <c r="AK26" s="2274"/>
      <c r="AL26" s="2274"/>
      <c r="AM26" s="2275"/>
      <c r="AN26" s="2273"/>
      <c r="AO26" s="2274"/>
      <c r="AP26" s="2274"/>
      <c r="AQ26" s="2274"/>
      <c r="AR26" s="2274"/>
      <c r="AS26" s="2275"/>
      <c r="AT26" s="2276">
        <f t="shared" si="1"/>
        <v>0</v>
      </c>
      <c r="AU26" s="2277"/>
      <c r="AV26" s="2277"/>
      <c r="AW26" s="2277"/>
      <c r="AX26" s="2277"/>
      <c r="AY26" s="2278"/>
      <c r="AZ26" s="1190"/>
      <c r="BA26" s="1190"/>
      <c r="BB26" s="1190"/>
      <c r="BC26" s="1190"/>
      <c r="BD26" s="1190"/>
      <c r="BE26" s="1194"/>
    </row>
    <row r="27" spans="1:58" ht="14.4">
      <c r="A27" s="1190"/>
      <c r="B27" s="2288">
        <v>1.2</v>
      </c>
      <c r="C27" s="2289"/>
      <c r="D27" s="2289"/>
      <c r="E27" s="2289"/>
      <c r="F27" s="2289"/>
      <c r="G27" s="2289"/>
      <c r="H27" s="2289"/>
      <c r="I27" s="2290"/>
      <c r="J27" s="2273"/>
      <c r="K27" s="2274"/>
      <c r="L27" s="2274"/>
      <c r="M27" s="2274"/>
      <c r="N27" s="2274"/>
      <c r="O27" s="2275"/>
      <c r="P27" s="2273"/>
      <c r="Q27" s="2274"/>
      <c r="R27" s="2274"/>
      <c r="S27" s="2274"/>
      <c r="T27" s="2274"/>
      <c r="U27" s="2275"/>
      <c r="V27" s="2273"/>
      <c r="W27" s="2274"/>
      <c r="X27" s="2274"/>
      <c r="Y27" s="2274"/>
      <c r="Z27" s="2274"/>
      <c r="AA27" s="2275"/>
      <c r="AB27" s="2273"/>
      <c r="AC27" s="2274"/>
      <c r="AD27" s="2274"/>
      <c r="AE27" s="2274"/>
      <c r="AF27" s="2274"/>
      <c r="AG27" s="2275"/>
      <c r="AH27" s="2273"/>
      <c r="AI27" s="2274"/>
      <c r="AJ27" s="2274"/>
      <c r="AK27" s="2274"/>
      <c r="AL27" s="2274"/>
      <c r="AM27" s="2275"/>
      <c r="AN27" s="2273"/>
      <c r="AO27" s="2274"/>
      <c r="AP27" s="2274"/>
      <c r="AQ27" s="2274"/>
      <c r="AR27" s="2274"/>
      <c r="AS27" s="2275"/>
      <c r="AT27" s="2276">
        <f t="shared" si="1"/>
        <v>0</v>
      </c>
      <c r="AU27" s="2277"/>
      <c r="AV27" s="2277"/>
      <c r="AW27" s="2277"/>
      <c r="AX27" s="2277"/>
      <c r="AY27" s="2278"/>
      <c r="AZ27" s="1190"/>
      <c r="BA27" s="1190"/>
      <c r="BB27" s="1190"/>
      <c r="BC27" s="1190"/>
      <c r="BD27" s="1190"/>
      <c r="BE27" s="1194"/>
    </row>
    <row r="28" spans="1:58" ht="15" thickBot="1">
      <c r="A28" s="1190"/>
      <c r="B28" s="2279" t="s">
        <v>2430</v>
      </c>
      <c r="C28" s="2280"/>
      <c r="D28" s="2280"/>
      <c r="E28" s="2280"/>
      <c r="F28" s="2280"/>
      <c r="G28" s="2280"/>
      <c r="H28" s="2280"/>
      <c r="I28" s="2281"/>
      <c r="J28" s="2282">
        <f>SUM(P28:AS28)</f>
        <v>1</v>
      </c>
      <c r="K28" s="2283"/>
      <c r="L28" s="2283"/>
      <c r="M28" s="2283"/>
      <c r="N28" s="2283"/>
      <c r="O28" s="2284"/>
      <c r="P28" s="2282">
        <f>_xlfn.IFNA(VLOOKUP(P$18,Application!$J$773:$S$776,6,FALSE), 0)</f>
        <v>0</v>
      </c>
      <c r="Q28" s="2283"/>
      <c r="R28" s="2283"/>
      <c r="S28" s="2283"/>
      <c r="T28" s="2283"/>
      <c r="U28" s="2284"/>
      <c r="V28" s="2282">
        <f>_xlfn.IFNA(VLOOKUP(V$18,Application!$J$773:$S$776,6,FALSE), 0)</f>
        <v>0</v>
      </c>
      <c r="W28" s="2283"/>
      <c r="X28" s="2283"/>
      <c r="Y28" s="2283"/>
      <c r="Z28" s="2283"/>
      <c r="AA28" s="2284"/>
      <c r="AB28" s="2282">
        <f>_xlfn.IFNA(VLOOKUP(AB$18,Application!$J$773:$S$776,6,FALSE), 0)</f>
        <v>0</v>
      </c>
      <c r="AC28" s="2283"/>
      <c r="AD28" s="2283"/>
      <c r="AE28" s="2283"/>
      <c r="AF28" s="2283"/>
      <c r="AG28" s="2284"/>
      <c r="AH28" s="2282">
        <f>_xlfn.IFNA(VLOOKUP(AH$18,Application!$J$773:$S$776,6,FALSE), 0)</f>
        <v>1</v>
      </c>
      <c r="AI28" s="2283"/>
      <c r="AJ28" s="2283"/>
      <c r="AK28" s="2283"/>
      <c r="AL28" s="2283"/>
      <c r="AM28" s="2284"/>
      <c r="AN28" s="2282">
        <f>_xlfn.IFNA(VLOOKUP(AN$18,Application!$J$773:$S$776,6,FALSE), 0)</f>
        <v>0</v>
      </c>
      <c r="AO28" s="2283"/>
      <c r="AP28" s="2283"/>
      <c r="AQ28" s="2283"/>
      <c r="AR28" s="2283"/>
      <c r="AS28" s="2284"/>
      <c r="AT28" s="2285">
        <f t="shared" si="1"/>
        <v>2.1739130434782608E-2</v>
      </c>
      <c r="AU28" s="2286"/>
      <c r="AV28" s="2286"/>
      <c r="AW28" s="2286"/>
      <c r="AX28" s="2286"/>
      <c r="AY28" s="2287"/>
      <c r="AZ28" s="1190"/>
      <c r="BA28" s="1190"/>
      <c r="BB28" s="1190"/>
      <c r="BC28" s="1190"/>
      <c r="BD28" s="1190"/>
      <c r="BE28" s="1194"/>
    </row>
    <row r="29" spans="1:58" ht="15" thickBot="1">
      <c r="A29" s="1190"/>
      <c r="B29" s="2262" t="s">
        <v>1586</v>
      </c>
      <c r="C29" s="2235"/>
      <c r="D29" s="2235"/>
      <c r="E29" s="2235"/>
      <c r="F29" s="2235"/>
      <c r="G29" s="2235"/>
      <c r="H29" s="2235"/>
      <c r="I29" s="2236"/>
      <c r="J29" s="2234">
        <f>SUM(J19:O28)</f>
        <v>46</v>
      </c>
      <c r="K29" s="2235"/>
      <c r="L29" s="2235"/>
      <c r="M29" s="2235"/>
      <c r="N29" s="2235"/>
      <c r="O29" s="2236"/>
      <c r="P29" s="2234">
        <f>SUM(P19:U28)</f>
        <v>0</v>
      </c>
      <c r="Q29" s="2235"/>
      <c r="R29" s="2235"/>
      <c r="S29" s="2235"/>
      <c r="T29" s="2235"/>
      <c r="U29" s="2236"/>
      <c r="V29" s="2234">
        <f>SUM(V19:AA28)</f>
        <v>12</v>
      </c>
      <c r="W29" s="2235"/>
      <c r="X29" s="2235"/>
      <c r="Y29" s="2235"/>
      <c r="Z29" s="2235"/>
      <c r="AA29" s="2236"/>
      <c r="AB29" s="2234">
        <f>SUM(AB19:AG28)</f>
        <v>18</v>
      </c>
      <c r="AC29" s="2235"/>
      <c r="AD29" s="2235"/>
      <c r="AE29" s="2235"/>
      <c r="AF29" s="2235"/>
      <c r="AG29" s="2236"/>
      <c r="AH29" s="2234">
        <f>SUM(AH19:AM28)</f>
        <v>16</v>
      </c>
      <c r="AI29" s="2235"/>
      <c r="AJ29" s="2235"/>
      <c r="AK29" s="2235"/>
      <c r="AL29" s="2235"/>
      <c r="AM29" s="2236"/>
      <c r="AN29" s="2234">
        <f>SUM(AN19:AS28)</f>
        <v>0</v>
      </c>
      <c r="AO29" s="2235"/>
      <c r="AP29" s="2235"/>
      <c r="AQ29" s="2235"/>
      <c r="AR29" s="2235"/>
      <c r="AS29" s="2236"/>
      <c r="AT29" s="2237">
        <f t="shared" si="1"/>
        <v>1</v>
      </c>
      <c r="AU29" s="2238"/>
      <c r="AV29" s="2238"/>
      <c r="AW29" s="2238"/>
      <c r="AX29" s="2238"/>
      <c r="AY29" s="2239"/>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40" t="s">
        <v>2429</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241"/>
      <c r="BB31" s="2241"/>
      <c r="BC31" s="2241"/>
      <c r="BD31" s="2242"/>
      <c r="BE31" s="1194"/>
    </row>
    <row r="32" spans="1:58" ht="15" thickBot="1">
      <c r="A32" s="1190"/>
      <c r="B32" s="2243" t="s">
        <v>2428</v>
      </c>
      <c r="C32" s="2244"/>
      <c r="D32" s="2244"/>
      <c r="E32" s="2244"/>
      <c r="F32" s="2244"/>
      <c r="G32" s="2244"/>
      <c r="H32" s="2244"/>
      <c r="I32" s="2244"/>
      <c r="J32" s="2247" t="s">
        <v>2427</v>
      </c>
      <c r="K32" s="2248"/>
      <c r="L32" s="2248"/>
      <c r="M32" s="2248"/>
      <c r="N32" s="2247" t="s">
        <v>2426</v>
      </c>
      <c r="O32" s="2248"/>
      <c r="P32" s="2248"/>
      <c r="Q32" s="2250"/>
      <c r="R32" s="2252" t="s">
        <v>2425</v>
      </c>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253"/>
      <c r="BB32" s="2253"/>
      <c r="BC32" s="2253"/>
      <c r="BD32" s="2254"/>
      <c r="BE32" s="1194"/>
    </row>
    <row r="33" spans="1:58" ht="15" customHeight="1">
      <c r="A33" s="1190"/>
      <c r="B33" s="2245"/>
      <c r="C33" s="2246"/>
      <c r="D33" s="2246"/>
      <c r="E33" s="2246"/>
      <c r="F33" s="2246"/>
      <c r="G33" s="2246"/>
      <c r="H33" s="2246"/>
      <c r="I33" s="2246"/>
      <c r="J33" s="2249"/>
      <c r="K33" s="2249"/>
      <c r="L33" s="2249"/>
      <c r="M33" s="2249"/>
      <c r="N33" s="2249"/>
      <c r="O33" s="2249"/>
      <c r="P33" s="2249"/>
      <c r="Q33" s="2251"/>
      <c r="R33" s="2255" t="s">
        <v>2424</v>
      </c>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256"/>
      <c r="BB33" s="2256"/>
      <c r="BC33" s="2256"/>
      <c r="BD33" s="2257"/>
      <c r="BE33" s="1194"/>
    </row>
    <row r="34" spans="1:58" ht="15.75" customHeight="1" thickBot="1">
      <c r="A34" s="1190"/>
      <c r="B34" s="2245"/>
      <c r="C34" s="2246"/>
      <c r="D34" s="2246"/>
      <c r="E34" s="2246"/>
      <c r="F34" s="2246"/>
      <c r="G34" s="2246"/>
      <c r="H34" s="2246"/>
      <c r="I34" s="2246"/>
      <c r="J34" s="2249"/>
      <c r="K34" s="2249"/>
      <c r="L34" s="2249"/>
      <c r="M34" s="2249"/>
      <c r="N34" s="2249"/>
      <c r="O34" s="2249"/>
      <c r="P34" s="2249"/>
      <c r="Q34" s="2251"/>
      <c r="R34" s="2258"/>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2259"/>
      <c r="BB34" s="2259"/>
      <c r="BC34" s="2259"/>
      <c r="BD34" s="2260"/>
      <c r="BE34" s="1194"/>
    </row>
    <row r="35" spans="1:58" ht="15.75" customHeight="1">
      <c r="A35" s="1190"/>
      <c r="B35" s="2245"/>
      <c r="C35" s="2246"/>
      <c r="D35" s="2246"/>
      <c r="E35" s="2246"/>
      <c r="F35" s="2246"/>
      <c r="G35" s="2246"/>
      <c r="H35" s="2246"/>
      <c r="I35" s="2246"/>
      <c r="J35" s="2249"/>
      <c r="K35" s="2249"/>
      <c r="L35" s="2249"/>
      <c r="M35" s="2249"/>
      <c r="N35" s="2249"/>
      <c r="O35" s="2249"/>
      <c r="P35" s="2249"/>
      <c r="Q35" s="2249"/>
      <c r="R35" s="2261">
        <v>0.3</v>
      </c>
      <c r="S35" s="2261"/>
      <c r="T35" s="2261"/>
      <c r="U35" s="2261"/>
      <c r="V35" s="2261">
        <v>0.4</v>
      </c>
      <c r="W35" s="2261"/>
      <c r="X35" s="2261"/>
      <c r="Y35" s="2261"/>
      <c r="Z35" s="2261">
        <v>0.5</v>
      </c>
      <c r="AA35" s="2261"/>
      <c r="AB35" s="2261"/>
      <c r="AC35" s="2261"/>
      <c r="AD35" s="2261">
        <v>0.6</v>
      </c>
      <c r="AE35" s="2261"/>
      <c r="AF35" s="2261"/>
      <c r="AG35" s="2261"/>
      <c r="AH35" s="2261">
        <v>0.7</v>
      </c>
      <c r="AI35" s="2261"/>
      <c r="AJ35" s="2261"/>
      <c r="AK35" s="2261"/>
      <c r="AL35" s="2266">
        <v>0.8</v>
      </c>
      <c r="AM35" s="2267"/>
      <c r="AN35" s="2267"/>
      <c r="AO35" s="2268"/>
      <c r="AP35" s="2269">
        <v>1.2</v>
      </c>
      <c r="AQ35" s="2270"/>
      <c r="AR35" s="2271"/>
      <c r="AS35" s="2263" t="s">
        <v>2423</v>
      </c>
      <c r="AT35" s="2264"/>
      <c r="AU35" s="2264"/>
      <c r="AV35" s="2264"/>
      <c r="AW35" s="2264"/>
      <c r="AX35" s="2272"/>
      <c r="AY35" s="2263" t="s">
        <v>2422</v>
      </c>
      <c r="AZ35" s="2264"/>
      <c r="BA35" s="2264"/>
      <c r="BB35" s="2264"/>
      <c r="BC35" s="2264"/>
      <c r="BD35" s="2265"/>
      <c r="BE35" s="1194"/>
    </row>
    <row r="36" spans="1:58" ht="15.75" customHeight="1">
      <c r="A36" s="1190"/>
      <c r="B36" s="2167" t="s">
        <v>2421</v>
      </c>
      <c r="C36" s="2168"/>
      <c r="D36" s="2168"/>
      <c r="E36" s="2168"/>
      <c r="F36" s="2168"/>
      <c r="G36" s="2168"/>
      <c r="H36" s="2168"/>
      <c r="I36" s="2168"/>
      <c r="J36" s="2232" t="s">
        <v>2420</v>
      </c>
      <c r="K36" s="2232"/>
      <c r="L36" s="2232"/>
      <c r="M36" s="2232"/>
      <c r="N36" s="2232">
        <v>55</v>
      </c>
      <c r="O36" s="2232"/>
      <c r="P36" s="2232"/>
      <c r="Q36" s="2232"/>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17"/>
      <c r="AM36" s="2218"/>
      <c r="AN36" s="2218"/>
      <c r="AO36" s="2219"/>
      <c r="AP36" s="2217"/>
      <c r="AQ36" s="2218"/>
      <c r="AR36" s="2219"/>
      <c r="AS36" s="2220">
        <f t="shared" ref="AS36:AS47" si="2">SUM(R36:AR36)</f>
        <v>0</v>
      </c>
      <c r="AT36" s="2221"/>
      <c r="AU36" s="2221"/>
      <c r="AV36" s="2221"/>
      <c r="AW36" s="2221"/>
      <c r="AX36" s="2222"/>
      <c r="AY36" s="2223">
        <f t="shared" ref="AY36:AY47" si="3">AS36/$J$29</f>
        <v>0</v>
      </c>
      <c r="AZ36" s="2224"/>
      <c r="BA36" s="2224"/>
      <c r="BB36" s="2224"/>
      <c r="BC36" s="2224"/>
      <c r="BD36" s="2225"/>
      <c r="BE36" s="1194"/>
    </row>
    <row r="37" spans="1:58" ht="15.75" customHeight="1">
      <c r="A37" s="1190"/>
      <c r="B37" s="2167" t="s">
        <v>2419</v>
      </c>
      <c r="C37" s="2168"/>
      <c r="D37" s="2168"/>
      <c r="E37" s="2168"/>
      <c r="F37" s="2168"/>
      <c r="G37" s="2168"/>
      <c r="H37" s="2168"/>
      <c r="I37" s="2168"/>
      <c r="J37" s="2232" t="s">
        <v>2418</v>
      </c>
      <c r="K37" s="2232"/>
      <c r="L37" s="2232"/>
      <c r="M37" s="2232"/>
      <c r="N37" s="2232">
        <v>55</v>
      </c>
      <c r="O37" s="2232"/>
      <c r="P37" s="2232"/>
      <c r="Q37" s="2232"/>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17"/>
      <c r="AM37" s="2218"/>
      <c r="AN37" s="2218"/>
      <c r="AO37" s="2219"/>
      <c r="AP37" s="2217"/>
      <c r="AQ37" s="2218"/>
      <c r="AR37" s="2219"/>
      <c r="AS37" s="2220">
        <f t="shared" si="2"/>
        <v>0</v>
      </c>
      <c r="AT37" s="2221"/>
      <c r="AU37" s="2221"/>
      <c r="AV37" s="2221"/>
      <c r="AW37" s="2221"/>
      <c r="AX37" s="2222"/>
      <c r="AY37" s="2223">
        <f t="shared" si="3"/>
        <v>0</v>
      </c>
      <c r="AZ37" s="2224"/>
      <c r="BA37" s="2224"/>
      <c r="BB37" s="2224"/>
      <c r="BC37" s="2224"/>
      <c r="BD37" s="2225"/>
      <c r="BE37" s="1194"/>
    </row>
    <row r="38" spans="1:58" ht="15.75" customHeight="1">
      <c r="A38" s="1190"/>
      <c r="B38" s="2167" t="s">
        <v>2417</v>
      </c>
      <c r="C38" s="2168"/>
      <c r="D38" s="2168"/>
      <c r="E38" s="2168"/>
      <c r="F38" s="2168"/>
      <c r="G38" s="2168"/>
      <c r="H38" s="2168"/>
      <c r="I38" s="2168"/>
      <c r="J38" s="2232" t="s">
        <v>2416</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17"/>
      <c r="AM38" s="2218"/>
      <c r="AN38" s="2218"/>
      <c r="AO38" s="2219"/>
      <c r="AP38" s="2217"/>
      <c r="AQ38" s="2218"/>
      <c r="AR38" s="2219"/>
      <c r="AS38" s="2220">
        <f t="shared" si="2"/>
        <v>0</v>
      </c>
      <c r="AT38" s="2221"/>
      <c r="AU38" s="2221"/>
      <c r="AV38" s="2221"/>
      <c r="AW38" s="2221"/>
      <c r="AX38" s="2222"/>
      <c r="AY38" s="2223">
        <f t="shared" si="3"/>
        <v>0</v>
      </c>
      <c r="AZ38" s="2224"/>
      <c r="BA38" s="2224"/>
      <c r="BB38" s="2224"/>
      <c r="BC38" s="2224"/>
      <c r="BD38" s="2225"/>
      <c r="BE38" s="1194"/>
    </row>
    <row r="39" spans="1:58" ht="15.75" customHeight="1">
      <c r="A39" s="1190"/>
      <c r="B39" s="2167" t="s">
        <v>2415</v>
      </c>
      <c r="C39" s="2168"/>
      <c r="D39" s="2168"/>
      <c r="E39" s="2168"/>
      <c r="F39" s="2168"/>
      <c r="G39" s="2168"/>
      <c r="H39" s="2168"/>
      <c r="I39" s="2168"/>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17"/>
      <c r="AM39" s="2218"/>
      <c r="AN39" s="2218"/>
      <c r="AO39" s="2219"/>
      <c r="AP39" s="2217"/>
      <c r="AQ39" s="2218"/>
      <c r="AR39" s="2219"/>
      <c r="AS39" s="2220">
        <f t="shared" si="2"/>
        <v>0</v>
      </c>
      <c r="AT39" s="2221"/>
      <c r="AU39" s="2221"/>
      <c r="AV39" s="2221"/>
      <c r="AW39" s="2221"/>
      <c r="AX39" s="2222"/>
      <c r="AY39" s="2223">
        <f t="shared" si="3"/>
        <v>0</v>
      </c>
      <c r="AZ39" s="2224"/>
      <c r="BA39" s="2224"/>
      <c r="BB39" s="2224"/>
      <c r="BC39" s="2224"/>
      <c r="BD39" s="2225"/>
      <c r="BE39" s="1194"/>
    </row>
    <row r="40" spans="1:58" ht="15.75" customHeight="1">
      <c r="A40" s="1190"/>
      <c r="B40" s="2167" t="s">
        <v>2415</v>
      </c>
      <c r="C40" s="2168"/>
      <c r="D40" s="2168"/>
      <c r="E40" s="2168"/>
      <c r="F40" s="2168"/>
      <c r="G40" s="2168"/>
      <c r="H40" s="2168"/>
      <c r="I40" s="2168"/>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17"/>
      <c r="AM40" s="2218"/>
      <c r="AN40" s="2218"/>
      <c r="AO40" s="2219"/>
      <c r="AP40" s="2217"/>
      <c r="AQ40" s="2218"/>
      <c r="AR40" s="2219"/>
      <c r="AS40" s="2220">
        <f t="shared" si="2"/>
        <v>0</v>
      </c>
      <c r="AT40" s="2221"/>
      <c r="AU40" s="2221"/>
      <c r="AV40" s="2221"/>
      <c r="AW40" s="2221"/>
      <c r="AX40" s="2222"/>
      <c r="AY40" s="2223">
        <f t="shared" si="3"/>
        <v>0</v>
      </c>
      <c r="AZ40" s="2224"/>
      <c r="BA40" s="2224"/>
      <c r="BB40" s="2224"/>
      <c r="BC40" s="2224"/>
      <c r="BD40" s="2225"/>
      <c r="BE40" s="1194"/>
    </row>
    <row r="41" spans="1:58" ht="15.75" customHeight="1">
      <c r="A41" s="1190"/>
      <c r="B41" s="2167" t="s">
        <v>2414</v>
      </c>
      <c r="C41" s="2168"/>
      <c r="D41" s="2168"/>
      <c r="E41" s="2168"/>
      <c r="F41" s="2168"/>
      <c r="G41" s="2168"/>
      <c r="H41" s="2168"/>
      <c r="I41" s="2168"/>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17"/>
      <c r="AM41" s="2218"/>
      <c r="AN41" s="2218"/>
      <c r="AO41" s="2219"/>
      <c r="AP41" s="2217"/>
      <c r="AQ41" s="2218"/>
      <c r="AR41" s="2219"/>
      <c r="AS41" s="2220">
        <f t="shared" si="2"/>
        <v>0</v>
      </c>
      <c r="AT41" s="2221"/>
      <c r="AU41" s="2221"/>
      <c r="AV41" s="2221"/>
      <c r="AW41" s="2221"/>
      <c r="AX41" s="2222"/>
      <c r="AY41" s="2223">
        <f t="shared" si="3"/>
        <v>0</v>
      </c>
      <c r="AZ41" s="2224"/>
      <c r="BA41" s="2224"/>
      <c r="BB41" s="2224"/>
      <c r="BC41" s="2224"/>
      <c r="BD41" s="2225"/>
      <c r="BE41" s="1194"/>
    </row>
    <row r="42" spans="1:58" ht="15.75" customHeight="1">
      <c r="A42" s="1190"/>
      <c r="B42" s="2167" t="s">
        <v>2414</v>
      </c>
      <c r="C42" s="2168"/>
      <c r="D42" s="2168"/>
      <c r="E42" s="2168"/>
      <c r="F42" s="2168"/>
      <c r="G42" s="2168"/>
      <c r="H42" s="2168"/>
      <c r="I42" s="2168"/>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17"/>
      <c r="AM42" s="2218"/>
      <c r="AN42" s="2218"/>
      <c r="AO42" s="2219"/>
      <c r="AP42" s="2217"/>
      <c r="AQ42" s="2218"/>
      <c r="AR42" s="2219"/>
      <c r="AS42" s="2220">
        <f t="shared" si="2"/>
        <v>0</v>
      </c>
      <c r="AT42" s="2221"/>
      <c r="AU42" s="2221"/>
      <c r="AV42" s="2221"/>
      <c r="AW42" s="2221"/>
      <c r="AX42" s="2222"/>
      <c r="AY42" s="2223">
        <f t="shared" si="3"/>
        <v>0</v>
      </c>
      <c r="AZ42" s="2224"/>
      <c r="BA42" s="2224"/>
      <c r="BB42" s="2224"/>
      <c r="BC42" s="2224"/>
      <c r="BD42" s="2225"/>
      <c r="BE42" s="1194"/>
    </row>
    <row r="43" spans="1:58" ht="15.75" customHeight="1">
      <c r="A43" s="1190"/>
      <c r="B43" s="2172" t="s">
        <v>2413</v>
      </c>
      <c r="C43" s="2173"/>
      <c r="D43" s="2173"/>
      <c r="E43" s="2173"/>
      <c r="F43" s="2173"/>
      <c r="G43" s="2173"/>
      <c r="H43" s="2173"/>
      <c r="I43" s="2173"/>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17"/>
      <c r="AM43" s="2218"/>
      <c r="AN43" s="2218"/>
      <c r="AO43" s="2219"/>
      <c r="AP43" s="2217"/>
      <c r="AQ43" s="2218"/>
      <c r="AR43" s="2219"/>
      <c r="AS43" s="2220">
        <f t="shared" si="2"/>
        <v>0</v>
      </c>
      <c r="AT43" s="2221"/>
      <c r="AU43" s="2221"/>
      <c r="AV43" s="2221"/>
      <c r="AW43" s="2221"/>
      <c r="AX43" s="2222"/>
      <c r="AY43" s="2223">
        <f t="shared" si="3"/>
        <v>0</v>
      </c>
      <c r="AZ43" s="2224"/>
      <c r="BA43" s="2224"/>
      <c r="BB43" s="2224"/>
      <c r="BC43" s="2224"/>
      <c r="BD43" s="2225"/>
      <c r="BE43" s="1194"/>
    </row>
    <row r="44" spans="1:58" ht="15.75" customHeight="1">
      <c r="A44" s="1190"/>
      <c r="B44" s="2172" t="s">
        <v>2412</v>
      </c>
      <c r="C44" s="2173"/>
      <c r="D44" s="2173"/>
      <c r="E44" s="2173"/>
      <c r="F44" s="2173"/>
      <c r="G44" s="2173"/>
      <c r="H44" s="2173"/>
      <c r="I44" s="2173"/>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17"/>
      <c r="AM44" s="2218"/>
      <c r="AN44" s="2218"/>
      <c r="AO44" s="2219"/>
      <c r="AP44" s="2217"/>
      <c r="AQ44" s="2218"/>
      <c r="AR44" s="2219"/>
      <c r="AS44" s="2220">
        <f t="shared" si="2"/>
        <v>0</v>
      </c>
      <c r="AT44" s="2221"/>
      <c r="AU44" s="2221"/>
      <c r="AV44" s="2221"/>
      <c r="AW44" s="2221"/>
      <c r="AX44" s="2222"/>
      <c r="AY44" s="2223">
        <f t="shared" si="3"/>
        <v>0</v>
      </c>
      <c r="AZ44" s="2224"/>
      <c r="BA44" s="2224"/>
      <c r="BB44" s="2224"/>
      <c r="BC44" s="2224"/>
      <c r="BD44" s="2225"/>
      <c r="BE44" s="1194"/>
    </row>
    <row r="45" spans="1:58" ht="15.75" customHeight="1">
      <c r="A45" s="1190"/>
      <c r="B45" s="2172" t="s">
        <v>2411</v>
      </c>
      <c r="C45" s="2173"/>
      <c r="D45" s="2173"/>
      <c r="E45" s="2173"/>
      <c r="F45" s="2173"/>
      <c r="G45" s="2173"/>
      <c r="H45" s="2173"/>
      <c r="I45" s="2173"/>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17"/>
      <c r="AM45" s="2218"/>
      <c r="AN45" s="2218"/>
      <c r="AO45" s="2219"/>
      <c r="AP45" s="2217"/>
      <c r="AQ45" s="2218"/>
      <c r="AR45" s="2219"/>
      <c r="AS45" s="2220">
        <f t="shared" si="2"/>
        <v>0</v>
      </c>
      <c r="AT45" s="2221"/>
      <c r="AU45" s="2221"/>
      <c r="AV45" s="2221"/>
      <c r="AW45" s="2221"/>
      <c r="AX45" s="2222"/>
      <c r="AY45" s="2223">
        <f t="shared" si="3"/>
        <v>0</v>
      </c>
      <c r="AZ45" s="2224"/>
      <c r="BA45" s="2224"/>
      <c r="BB45" s="2224"/>
      <c r="BC45" s="2224"/>
      <c r="BD45" s="2225"/>
      <c r="BE45" s="1194"/>
    </row>
    <row r="46" spans="1:58" ht="15.75" customHeight="1">
      <c r="A46" s="1190"/>
      <c r="B46" s="2172" t="s">
        <v>2335</v>
      </c>
      <c r="C46" s="2173"/>
      <c r="D46" s="2173"/>
      <c r="E46" s="2173"/>
      <c r="F46" s="2173"/>
      <c r="G46" s="2173"/>
      <c r="H46" s="2173"/>
      <c r="I46" s="2173"/>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17"/>
      <c r="AM46" s="2218"/>
      <c r="AN46" s="2218"/>
      <c r="AO46" s="2219"/>
      <c r="AP46" s="2217"/>
      <c r="AQ46" s="2218"/>
      <c r="AR46" s="2219"/>
      <c r="AS46" s="2220">
        <f t="shared" si="2"/>
        <v>0</v>
      </c>
      <c r="AT46" s="2221"/>
      <c r="AU46" s="2221"/>
      <c r="AV46" s="2221"/>
      <c r="AW46" s="2221"/>
      <c r="AX46" s="2222"/>
      <c r="AY46" s="2223">
        <f t="shared" si="3"/>
        <v>0</v>
      </c>
      <c r="AZ46" s="2224"/>
      <c r="BA46" s="2224"/>
      <c r="BB46" s="2224"/>
      <c r="BC46" s="2224"/>
      <c r="BD46" s="2225"/>
      <c r="BE46" s="1194"/>
    </row>
    <row r="47" spans="1:58" ht="15.75" customHeight="1" thickBot="1">
      <c r="A47" s="1190"/>
      <c r="B47" s="2226" t="s">
        <v>300</v>
      </c>
      <c r="C47" s="2227"/>
      <c r="D47" s="2227"/>
      <c r="E47" s="2227"/>
      <c r="F47" s="2227"/>
      <c r="G47" s="2227"/>
      <c r="H47" s="2227"/>
      <c r="I47" s="2227"/>
      <c r="J47" s="2228"/>
      <c r="K47" s="2228"/>
      <c r="L47" s="2228"/>
      <c r="M47" s="2228"/>
      <c r="N47" s="2228"/>
      <c r="O47" s="2228"/>
      <c r="P47" s="2228"/>
      <c r="Q47" s="2228"/>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4"/>
      <c r="AM47" s="2215"/>
      <c r="AN47" s="2215"/>
      <c r="AO47" s="2216"/>
      <c r="AP47" s="2214"/>
      <c r="AQ47" s="2215"/>
      <c r="AR47" s="2216"/>
      <c r="AS47" s="2220">
        <f t="shared" si="2"/>
        <v>0</v>
      </c>
      <c r="AT47" s="2221"/>
      <c r="AU47" s="2221"/>
      <c r="AV47" s="2221"/>
      <c r="AW47" s="2221"/>
      <c r="AX47" s="2222"/>
      <c r="AY47" s="2229">
        <f t="shared" si="3"/>
        <v>0</v>
      </c>
      <c r="AZ47" s="2230"/>
      <c r="BA47" s="2230"/>
      <c r="BB47" s="2230"/>
      <c r="BC47" s="2230"/>
      <c r="BD47" s="2231"/>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9" t="s">
        <v>2408</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2" t="s">
        <v>2401</v>
      </c>
      <c r="C51" s="2110"/>
      <c r="D51" s="2110"/>
      <c r="E51" s="2110"/>
      <c r="F51" s="2110"/>
      <c r="G51" s="2110"/>
      <c r="H51" s="2110"/>
      <c r="I51" s="2110"/>
      <c r="J51" s="2110" t="s">
        <v>2407</v>
      </c>
      <c r="K51" s="2110"/>
      <c r="L51" s="2110"/>
      <c r="M51" s="2110"/>
      <c r="N51" s="2110"/>
      <c r="O51" s="2110"/>
      <c r="P51" s="2110"/>
      <c r="Q51" s="2110"/>
      <c r="R51" s="2211" t="s">
        <v>2406</v>
      </c>
      <c r="S51" s="2211"/>
      <c r="T51" s="2211"/>
      <c r="U51" s="2211"/>
      <c r="V51" s="2211"/>
      <c r="W51" s="2211"/>
      <c r="X51" s="2211"/>
      <c r="Y51" s="2211"/>
      <c r="Z51" s="2211" t="s">
        <v>2405</v>
      </c>
      <c r="AA51" s="2211"/>
      <c r="AB51" s="2211"/>
      <c r="AC51" s="2211"/>
      <c r="AD51" s="2211"/>
      <c r="AE51" s="2211"/>
      <c r="AF51" s="2211"/>
      <c r="AG51" s="2211"/>
      <c r="AH51" s="2211" t="s">
        <v>2404</v>
      </c>
      <c r="AI51" s="2211"/>
      <c r="AJ51" s="2211"/>
      <c r="AK51" s="2211"/>
      <c r="AL51" s="2211"/>
      <c r="AM51" s="2211"/>
      <c r="AN51" s="2211"/>
      <c r="AO51" s="22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2" t="s">
        <v>2403</v>
      </c>
      <c r="C52" s="2173"/>
      <c r="D52" s="2173"/>
      <c r="E52" s="2173"/>
      <c r="F52" s="2173"/>
      <c r="G52" s="2173"/>
      <c r="H52" s="2173"/>
      <c r="I52" s="2173"/>
      <c r="J52" s="1996">
        <v>0</v>
      </c>
      <c r="K52" s="1996"/>
      <c r="L52" s="1996"/>
      <c r="M52" s="1996"/>
      <c r="N52" s="1996"/>
      <c r="O52" s="1996"/>
      <c r="P52" s="1996"/>
      <c r="Q52" s="1996"/>
      <c r="R52" s="2203">
        <v>0</v>
      </c>
      <c r="S52" s="2203"/>
      <c r="T52" s="2203"/>
      <c r="U52" s="2203"/>
      <c r="V52" s="2203"/>
      <c r="W52" s="2203"/>
      <c r="X52" s="2203"/>
      <c r="Y52" s="2203"/>
      <c r="Z52" s="2204">
        <v>0</v>
      </c>
      <c r="AA52" s="2204"/>
      <c r="AB52" s="2204"/>
      <c r="AC52" s="2204"/>
      <c r="AD52" s="2204"/>
      <c r="AE52" s="2204"/>
      <c r="AF52" s="2204"/>
      <c r="AG52" s="2204"/>
      <c r="AH52" s="2205"/>
      <c r="AI52" s="2205"/>
      <c r="AJ52" s="2205"/>
      <c r="AK52" s="2205"/>
      <c r="AL52" s="2205"/>
      <c r="AM52" s="2205"/>
      <c r="AN52" s="2205"/>
      <c r="AO52" s="220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2" t="s">
        <v>2402</v>
      </c>
      <c r="C53" s="2173"/>
      <c r="D53" s="2173"/>
      <c r="E53" s="2173"/>
      <c r="F53" s="2173"/>
      <c r="G53" s="2173"/>
      <c r="H53" s="2173"/>
      <c r="I53" s="2173"/>
      <c r="J53" s="1996">
        <v>0</v>
      </c>
      <c r="K53" s="1996"/>
      <c r="L53" s="1996"/>
      <c r="M53" s="1996"/>
      <c r="N53" s="1996"/>
      <c r="O53" s="1996"/>
      <c r="P53" s="1996"/>
      <c r="Q53" s="1996"/>
      <c r="R53" s="2203">
        <v>0</v>
      </c>
      <c r="S53" s="2203"/>
      <c r="T53" s="2203"/>
      <c r="U53" s="2203"/>
      <c r="V53" s="2203"/>
      <c r="W53" s="2203"/>
      <c r="X53" s="2203"/>
      <c r="Y53" s="2203"/>
      <c r="Z53" s="2204">
        <v>0</v>
      </c>
      <c r="AA53" s="2204"/>
      <c r="AB53" s="2204"/>
      <c r="AC53" s="2204"/>
      <c r="AD53" s="2204"/>
      <c r="AE53" s="2204"/>
      <c r="AF53" s="2204"/>
      <c r="AG53" s="2204"/>
      <c r="AH53" s="2205"/>
      <c r="AI53" s="2205"/>
      <c r="AJ53" s="2205"/>
      <c r="AK53" s="2205"/>
      <c r="AL53" s="2205"/>
      <c r="AM53" s="2205"/>
      <c r="AN53" s="2205"/>
      <c r="AO53" s="220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2"/>
      <c r="C54" s="2173"/>
      <c r="D54" s="2173"/>
      <c r="E54" s="2173"/>
      <c r="F54" s="2173"/>
      <c r="G54" s="2173"/>
      <c r="H54" s="2173"/>
      <c r="I54" s="2173"/>
      <c r="J54" s="1996"/>
      <c r="K54" s="1996"/>
      <c r="L54" s="1996"/>
      <c r="M54" s="1996"/>
      <c r="N54" s="1996"/>
      <c r="O54" s="1996"/>
      <c r="P54" s="1996"/>
      <c r="Q54" s="1996"/>
      <c r="R54" s="2203"/>
      <c r="S54" s="2203"/>
      <c r="T54" s="2203"/>
      <c r="U54" s="2203"/>
      <c r="V54" s="2203"/>
      <c r="W54" s="2203"/>
      <c r="X54" s="2203"/>
      <c r="Y54" s="2203"/>
      <c r="Z54" s="2204"/>
      <c r="AA54" s="2204"/>
      <c r="AB54" s="2204"/>
      <c r="AC54" s="2204"/>
      <c r="AD54" s="2204"/>
      <c r="AE54" s="2204"/>
      <c r="AF54" s="2204"/>
      <c r="AG54" s="2204"/>
      <c r="AH54" s="2205"/>
      <c r="AI54" s="2205"/>
      <c r="AJ54" s="2205"/>
      <c r="AK54" s="2205"/>
      <c r="AL54" s="2205"/>
      <c r="AM54" s="2205"/>
      <c r="AN54" s="2205"/>
      <c r="AO54" s="220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2"/>
      <c r="C55" s="2173"/>
      <c r="D55" s="2173"/>
      <c r="E55" s="2173"/>
      <c r="F55" s="2173"/>
      <c r="G55" s="2173"/>
      <c r="H55" s="2173"/>
      <c r="I55" s="2173"/>
      <c r="J55" s="1996"/>
      <c r="K55" s="1996"/>
      <c r="L55" s="1996"/>
      <c r="M55" s="1996"/>
      <c r="N55" s="1996"/>
      <c r="O55" s="1996"/>
      <c r="P55" s="1996"/>
      <c r="Q55" s="1996"/>
      <c r="R55" s="2203"/>
      <c r="S55" s="2203"/>
      <c r="T55" s="2203"/>
      <c r="U55" s="2203"/>
      <c r="V55" s="2203"/>
      <c r="W55" s="2203"/>
      <c r="X55" s="2203"/>
      <c r="Y55" s="2203"/>
      <c r="Z55" s="2204"/>
      <c r="AA55" s="2204"/>
      <c r="AB55" s="2204"/>
      <c r="AC55" s="2204"/>
      <c r="AD55" s="2204"/>
      <c r="AE55" s="2204"/>
      <c r="AF55" s="2204"/>
      <c r="AG55" s="2204"/>
      <c r="AH55" s="2205"/>
      <c r="AI55" s="2205"/>
      <c r="AJ55" s="2205"/>
      <c r="AK55" s="2205"/>
      <c r="AL55" s="2205"/>
      <c r="AM55" s="2205"/>
      <c r="AN55" s="2205"/>
      <c r="AO55" s="220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2"/>
      <c r="C56" s="2173"/>
      <c r="D56" s="2173"/>
      <c r="E56" s="2173"/>
      <c r="F56" s="2173"/>
      <c r="G56" s="2173"/>
      <c r="H56" s="2173"/>
      <c r="I56" s="2173"/>
      <c r="J56" s="1996"/>
      <c r="K56" s="1996"/>
      <c r="L56" s="1996"/>
      <c r="M56" s="1996"/>
      <c r="N56" s="1996"/>
      <c r="O56" s="1996"/>
      <c r="P56" s="1996"/>
      <c r="Q56" s="1996"/>
      <c r="R56" s="2203"/>
      <c r="S56" s="2203"/>
      <c r="T56" s="2203"/>
      <c r="U56" s="2203"/>
      <c r="V56" s="2203"/>
      <c r="W56" s="2203"/>
      <c r="X56" s="2203"/>
      <c r="Y56" s="2203"/>
      <c r="Z56" s="2204"/>
      <c r="AA56" s="2204"/>
      <c r="AB56" s="2204"/>
      <c r="AC56" s="2204"/>
      <c r="AD56" s="2204"/>
      <c r="AE56" s="2204"/>
      <c r="AF56" s="2204"/>
      <c r="AG56" s="2204"/>
      <c r="AH56" s="2205"/>
      <c r="AI56" s="2205"/>
      <c r="AJ56" s="2205"/>
      <c r="AK56" s="2205"/>
      <c r="AL56" s="2205"/>
      <c r="AM56" s="2205"/>
      <c r="AN56" s="2205"/>
      <c r="AO56" s="220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0" t="s">
        <v>1586</v>
      </c>
      <c r="C57" s="2141"/>
      <c r="D57" s="2141"/>
      <c r="E57" s="2141"/>
      <c r="F57" s="2141"/>
      <c r="G57" s="2141"/>
      <c r="H57" s="2141"/>
      <c r="I57" s="2141"/>
      <c r="J57" s="2141"/>
      <c r="K57" s="2141"/>
      <c r="L57" s="2141"/>
      <c r="M57" s="2141"/>
      <c r="N57" s="2141"/>
      <c r="O57" s="2141"/>
      <c r="P57" s="2141"/>
      <c r="Q57" s="2141"/>
      <c r="R57" s="2207">
        <f>SUM(R52:Y56)</f>
        <v>0</v>
      </c>
      <c r="S57" s="2207"/>
      <c r="T57" s="2207"/>
      <c r="U57" s="2207"/>
      <c r="V57" s="2207"/>
      <c r="W57" s="2207"/>
      <c r="X57" s="2207"/>
      <c r="Y57" s="2207"/>
      <c r="Z57" s="2208">
        <f>SUM(Z52:AG56)</f>
        <v>0</v>
      </c>
      <c r="AA57" s="2208"/>
      <c r="AB57" s="2208"/>
      <c r="AC57" s="2208"/>
      <c r="AD57" s="2208"/>
      <c r="AE57" s="2208"/>
      <c r="AF57" s="2208"/>
      <c r="AG57" s="2208"/>
      <c r="AH57" s="2209"/>
      <c r="AI57" s="2209"/>
      <c r="AJ57" s="2209"/>
      <c r="AK57" s="2209"/>
      <c r="AL57" s="2209"/>
      <c r="AM57" s="2209"/>
      <c r="AN57" s="2209"/>
      <c r="AO57" s="221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0" t="s">
        <v>2401</v>
      </c>
      <c r="C59" s="2201"/>
      <c r="D59" s="2201"/>
      <c r="E59" s="2201"/>
      <c r="F59" s="2201"/>
      <c r="G59" s="2201"/>
      <c r="H59" s="2201"/>
      <c r="I59" s="2202"/>
      <c r="J59" s="2108" t="s">
        <v>2400</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190"/>
      <c r="AY59" s="1190"/>
      <c r="AZ59" s="1190"/>
      <c r="BA59" s="1190"/>
      <c r="BB59" s="1190"/>
      <c r="BC59" s="1190"/>
      <c r="BD59" s="1190"/>
      <c r="BE59" s="1194"/>
    </row>
    <row r="60" spans="1:77" ht="15.75" customHeight="1">
      <c r="A60" s="1190"/>
      <c r="B60" s="2192" t="str">
        <f>IF(B52="", "", B52)</f>
        <v>Services Company 1</v>
      </c>
      <c r="C60" s="2193"/>
      <c r="D60" s="2193"/>
      <c r="E60" s="2193"/>
      <c r="F60" s="2193"/>
      <c r="G60" s="2193"/>
      <c r="H60" s="2193"/>
      <c r="I60" s="2194"/>
      <c r="J60" s="2195"/>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190"/>
      <c r="AY60" s="1190"/>
      <c r="AZ60" s="1190"/>
      <c r="BA60" s="1190"/>
      <c r="BB60" s="1190"/>
      <c r="BC60" s="1190"/>
      <c r="BD60" s="1190"/>
      <c r="BE60" s="1194"/>
    </row>
    <row r="61" spans="1:77" ht="15.75" customHeight="1">
      <c r="A61" s="1190"/>
      <c r="B61" s="2192" t="str">
        <f>IF(B53="", "", B53)</f>
        <v>Services Company 2</v>
      </c>
      <c r="C61" s="2193"/>
      <c r="D61" s="2193"/>
      <c r="E61" s="2193"/>
      <c r="F61" s="2193"/>
      <c r="G61" s="2193"/>
      <c r="H61" s="2193"/>
      <c r="I61" s="2194"/>
      <c r="J61" s="2195"/>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190"/>
      <c r="AY61" s="1190"/>
      <c r="AZ61" s="1190"/>
      <c r="BA61" s="1190"/>
      <c r="BB61" s="1190"/>
      <c r="BC61" s="1190"/>
      <c r="BD61" s="1190"/>
      <c r="BE61" s="1194"/>
    </row>
    <row r="62" spans="1:77" ht="15.75" customHeight="1">
      <c r="A62" s="1190"/>
      <c r="B62" s="2192" t="str">
        <f>IF(B54="", "", B54)</f>
        <v/>
      </c>
      <c r="C62" s="2193"/>
      <c r="D62" s="2193"/>
      <c r="E62" s="2193"/>
      <c r="F62" s="2193"/>
      <c r="G62" s="2193"/>
      <c r="H62" s="2193"/>
      <c r="I62" s="2194"/>
      <c r="J62" s="2195"/>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190"/>
      <c r="AY62" s="1190"/>
      <c r="AZ62" s="1190"/>
      <c r="BA62" s="1190"/>
      <c r="BB62" s="1190"/>
      <c r="BC62" s="1190"/>
      <c r="BD62" s="1190"/>
      <c r="BE62" s="1194"/>
    </row>
    <row r="63" spans="1:77" ht="15.75" customHeight="1">
      <c r="A63" s="1190"/>
      <c r="B63" s="2192" t="str">
        <f>IF(B55="", "", B55)</f>
        <v/>
      </c>
      <c r="C63" s="2193"/>
      <c r="D63" s="2193"/>
      <c r="E63" s="2193"/>
      <c r="F63" s="2193"/>
      <c r="G63" s="2193"/>
      <c r="H63" s="2193"/>
      <c r="I63" s="2194"/>
      <c r="J63" s="2195"/>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190"/>
      <c r="AY63" s="1190"/>
      <c r="AZ63" s="1190"/>
      <c r="BA63" s="1190"/>
      <c r="BB63" s="1190"/>
      <c r="BC63" s="1190"/>
      <c r="BD63" s="1190"/>
      <c r="BE63" s="1194"/>
    </row>
    <row r="64" spans="1:77" ht="15.75" customHeight="1" thickBot="1">
      <c r="A64" s="1190"/>
      <c r="B64" s="2196" t="str">
        <f>IF(B56="", "", B56)</f>
        <v/>
      </c>
      <c r="C64" s="2197"/>
      <c r="D64" s="2197"/>
      <c r="E64" s="2197"/>
      <c r="F64" s="2197"/>
      <c r="G64" s="2197"/>
      <c r="H64" s="2197"/>
      <c r="I64" s="2198"/>
      <c r="J64" s="2199"/>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AV64" s="2182"/>
      <c r="AW64" s="218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7" t="s">
        <v>2398</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190"/>
      <c r="AC68" s="2033" t="s">
        <v>2397</v>
      </c>
      <c r="AD68" s="2034"/>
      <c r="AE68" s="2034"/>
      <c r="AF68" s="2034"/>
      <c r="AG68" s="2034"/>
      <c r="AH68" s="2034"/>
      <c r="AI68" s="2034"/>
      <c r="AJ68" s="2034"/>
      <c r="AK68" s="2034"/>
      <c r="AL68" s="2034"/>
      <c r="AM68" s="2034"/>
      <c r="AN68" s="2034"/>
      <c r="AO68" s="2034"/>
      <c r="AP68" s="2034"/>
      <c r="AQ68" s="2034"/>
      <c r="AR68" s="2034"/>
      <c r="AS68" s="2034"/>
      <c r="AT68" s="2034"/>
      <c r="AU68" s="2034"/>
      <c r="AV68" s="2184" t="s">
        <v>669</v>
      </c>
      <c r="AW68" s="2090"/>
      <c r="AX68" s="2090"/>
      <c r="AY68" s="2090"/>
      <c r="AZ68" s="2090"/>
      <c r="BA68" s="2090"/>
      <c r="BB68" s="2090"/>
      <c r="BC68" s="2091"/>
      <c r="BD68" s="1190"/>
      <c r="BE68" s="1194"/>
      <c r="BM68" s="1199" t="s">
        <v>2396</v>
      </c>
    </row>
    <row r="69" spans="1:94" ht="15.75" customHeight="1" thickTop="1" thickBot="1">
      <c r="A69" s="1190"/>
      <c r="B69" s="2185" t="s">
        <v>2395</v>
      </c>
      <c r="C69" s="2186"/>
      <c r="D69" s="2186"/>
      <c r="E69" s="2186"/>
      <c r="F69" s="2186"/>
      <c r="G69" s="2186"/>
      <c r="H69" s="2186"/>
      <c r="I69" s="2186"/>
      <c r="J69" s="2186"/>
      <c r="K69" s="2186"/>
      <c r="L69" s="2186"/>
      <c r="M69" s="2186"/>
      <c r="N69" s="2186"/>
      <c r="O69" s="2187" t="s">
        <v>2394</v>
      </c>
      <c r="P69" s="2188"/>
      <c r="Q69" s="2188"/>
      <c r="R69" s="2188"/>
      <c r="S69" s="2188"/>
      <c r="T69" s="2188"/>
      <c r="U69" s="2188"/>
      <c r="V69" s="2188"/>
      <c r="W69" s="2188"/>
      <c r="X69" s="2188"/>
      <c r="Y69" s="2188"/>
      <c r="Z69" s="2188"/>
      <c r="AA69" s="2189"/>
      <c r="AB69" s="1190"/>
      <c r="AC69" s="2190" t="s">
        <v>2393</v>
      </c>
      <c r="AD69" s="2191"/>
      <c r="AE69" s="2191"/>
      <c r="AF69" s="2191"/>
      <c r="AG69" s="2191"/>
      <c r="AH69" s="2191"/>
      <c r="AI69" s="2191"/>
      <c r="AJ69" s="2191"/>
      <c r="AK69" s="2191"/>
      <c r="AL69" s="2191"/>
      <c r="AM69" s="2191"/>
      <c r="AN69" s="2191"/>
      <c r="AO69" s="2191"/>
      <c r="AP69" s="2191"/>
      <c r="AQ69" s="2191"/>
      <c r="AR69" s="2191"/>
      <c r="AS69" s="2191"/>
      <c r="AT69" s="2191"/>
      <c r="AU69" s="2191"/>
      <c r="AV69" s="2184" t="s">
        <v>669</v>
      </c>
      <c r="AW69" s="2090"/>
      <c r="AX69" s="2090"/>
      <c r="AY69" s="2090"/>
      <c r="AZ69" s="2090"/>
      <c r="BA69" s="2090"/>
      <c r="BB69" s="2090"/>
      <c r="BC69" s="2091"/>
      <c r="BD69" s="1190"/>
      <c r="BE69" s="1194"/>
      <c r="BM69" s="1200" t="s">
        <v>545</v>
      </c>
    </row>
    <row r="70" spans="1:94" ht="15.75" customHeight="1">
      <c r="A70" s="1190"/>
      <c r="B70" s="2167" t="s">
        <v>2392</v>
      </c>
      <c r="C70" s="2168"/>
      <c r="D70" s="2168"/>
      <c r="E70" s="2168"/>
      <c r="F70" s="2168"/>
      <c r="G70" s="2168"/>
      <c r="H70" s="2168"/>
      <c r="I70" s="2168"/>
      <c r="J70" s="2168"/>
      <c r="K70" s="2168"/>
      <c r="L70" s="2168"/>
      <c r="M70" s="2168"/>
      <c r="N70" s="2168"/>
      <c r="O70" s="2041">
        <v>0</v>
      </c>
      <c r="P70" s="2041"/>
      <c r="Q70" s="2041"/>
      <c r="R70" s="2041"/>
      <c r="S70" s="2041"/>
      <c r="T70" s="2041"/>
      <c r="U70" s="2041"/>
      <c r="V70" s="2041"/>
      <c r="W70" s="2041"/>
      <c r="X70" s="2041"/>
      <c r="Y70" s="2041"/>
      <c r="Z70" s="2041"/>
      <c r="AA70" s="2169"/>
      <c r="AB70" s="1190"/>
      <c r="AC70" s="2079" t="s">
        <v>2391</v>
      </c>
      <c r="AD70" s="2035"/>
      <c r="AE70" s="2035"/>
      <c r="AF70" s="2178"/>
      <c r="AG70" s="2178"/>
      <c r="AH70" s="2178"/>
      <c r="AI70" s="2178"/>
      <c r="AJ70" s="2178"/>
      <c r="AK70" s="2178"/>
      <c r="AL70" s="2178"/>
      <c r="AM70" s="2178"/>
      <c r="AN70" s="2178"/>
      <c r="AO70" s="2178"/>
      <c r="AP70" s="2178"/>
      <c r="AQ70" s="2178"/>
      <c r="AR70" s="2178"/>
      <c r="AS70" s="2178"/>
      <c r="AT70" s="2178"/>
      <c r="AU70" s="2179"/>
      <c r="AV70" s="1190"/>
      <c r="AW70" s="1190"/>
      <c r="AX70" s="1190"/>
      <c r="AY70" s="1190"/>
      <c r="AZ70" s="1190"/>
      <c r="BA70" s="1190"/>
      <c r="BB70" s="1190"/>
      <c r="BC70" s="1190"/>
      <c r="BD70" s="1190"/>
      <c r="BE70" s="1194"/>
      <c r="BM70" s="1201" t="s">
        <v>669</v>
      </c>
    </row>
    <row r="71" spans="1:94" ht="15.75" customHeight="1" thickBot="1">
      <c r="A71" s="1190"/>
      <c r="B71" s="2167" t="s">
        <v>2390</v>
      </c>
      <c r="C71" s="2168"/>
      <c r="D71" s="2168"/>
      <c r="E71" s="2168"/>
      <c r="F71" s="2168"/>
      <c r="G71" s="2168"/>
      <c r="H71" s="2168"/>
      <c r="I71" s="2168"/>
      <c r="J71" s="2168"/>
      <c r="K71" s="2168"/>
      <c r="L71" s="2168"/>
      <c r="M71" s="2168"/>
      <c r="N71" s="2168"/>
      <c r="O71" s="2041">
        <v>0</v>
      </c>
      <c r="P71" s="2041"/>
      <c r="Q71" s="2041"/>
      <c r="R71" s="2041"/>
      <c r="S71" s="2041"/>
      <c r="T71" s="2041"/>
      <c r="U71" s="2041"/>
      <c r="V71" s="2041"/>
      <c r="W71" s="2041"/>
      <c r="X71" s="2041"/>
      <c r="Y71" s="2041"/>
      <c r="Z71" s="2041"/>
      <c r="AA71" s="2169"/>
      <c r="AB71" s="1190"/>
      <c r="AC71" s="2180" t="s">
        <v>2389</v>
      </c>
      <c r="AD71" s="2181"/>
      <c r="AE71" s="2181"/>
      <c r="AF71" s="2182"/>
      <c r="AG71" s="2182"/>
      <c r="AH71" s="2182"/>
      <c r="AI71" s="2182"/>
      <c r="AJ71" s="2182"/>
      <c r="AK71" s="2182"/>
      <c r="AL71" s="2182"/>
      <c r="AM71" s="2182"/>
      <c r="AN71" s="2182"/>
      <c r="AO71" s="2182"/>
      <c r="AP71" s="2182"/>
      <c r="AQ71" s="2182"/>
      <c r="AR71" s="2182"/>
      <c r="AS71" s="2182"/>
      <c r="AT71" s="2182"/>
      <c r="AU71" s="2183"/>
      <c r="AV71" s="1190"/>
      <c r="AW71" s="1190"/>
      <c r="AX71" s="1190"/>
      <c r="AY71" s="1190"/>
      <c r="AZ71" s="1190"/>
      <c r="BA71" s="1190"/>
      <c r="BB71" s="1190"/>
      <c r="BC71" s="1190"/>
      <c r="BD71" s="1190"/>
      <c r="BE71" s="1194"/>
      <c r="BM71" s="1187" t="s">
        <v>2388</v>
      </c>
    </row>
    <row r="72" spans="1:94" ht="15.75" customHeight="1">
      <c r="A72" s="1190"/>
      <c r="B72" s="2167" t="s">
        <v>2387</v>
      </c>
      <c r="C72" s="2168"/>
      <c r="D72" s="2168"/>
      <c r="E72" s="2168"/>
      <c r="F72" s="2168"/>
      <c r="G72" s="2168"/>
      <c r="H72" s="2168"/>
      <c r="I72" s="2168"/>
      <c r="J72" s="2168"/>
      <c r="K72" s="2168"/>
      <c r="L72" s="2168"/>
      <c r="M72" s="2168"/>
      <c r="N72" s="2168"/>
      <c r="O72" s="2041">
        <v>0</v>
      </c>
      <c r="P72" s="2041"/>
      <c r="Q72" s="2041"/>
      <c r="R72" s="2041"/>
      <c r="S72" s="2041"/>
      <c r="T72" s="2041"/>
      <c r="U72" s="2041"/>
      <c r="V72" s="2041"/>
      <c r="W72" s="2041"/>
      <c r="X72" s="2041"/>
      <c r="Y72" s="2041"/>
      <c r="Z72" s="2041"/>
      <c r="AA72" s="2169"/>
      <c r="AB72" s="1190"/>
      <c r="AC72" s="2170" t="s">
        <v>2386</v>
      </c>
      <c r="AD72" s="2171"/>
      <c r="AE72" s="2171"/>
      <c r="AF72" s="2171"/>
      <c r="AG72" s="2171"/>
      <c r="AH72" s="2171"/>
      <c r="AI72" s="2171"/>
      <c r="AJ72" s="2171"/>
      <c r="AK72" s="2171"/>
      <c r="AL72" s="2171"/>
      <c r="AM72" s="2171"/>
      <c r="AN72" s="2171"/>
      <c r="AO72" s="2171"/>
      <c r="AP72" s="2171"/>
      <c r="AQ72" s="2171"/>
      <c r="AR72" s="2171"/>
      <c r="AS72" s="2171"/>
      <c r="AT72" s="2171"/>
      <c r="AU72" s="2171"/>
      <c r="AV72" s="2035"/>
      <c r="AW72" s="2035"/>
      <c r="AX72" s="2035"/>
      <c r="AY72" s="2035"/>
      <c r="AZ72" s="2035"/>
      <c r="BA72" s="2035"/>
      <c r="BB72" s="2035"/>
      <c r="BC72" s="2036"/>
      <c r="BD72" s="1190"/>
      <c r="BE72" s="1194"/>
    </row>
    <row r="73" spans="1:94" ht="15.75" customHeight="1">
      <c r="A73" s="1190"/>
      <c r="B73" s="2172" t="s">
        <v>2385</v>
      </c>
      <c r="C73" s="2173"/>
      <c r="D73" s="2173"/>
      <c r="E73" s="2173"/>
      <c r="F73" s="2173"/>
      <c r="G73" s="2173"/>
      <c r="H73" s="2173"/>
      <c r="I73" s="2173"/>
      <c r="J73" s="2173"/>
      <c r="K73" s="2173"/>
      <c r="L73" s="2173"/>
      <c r="M73" s="2173"/>
      <c r="N73" s="2173"/>
      <c r="O73" s="2041">
        <v>0</v>
      </c>
      <c r="P73" s="2041"/>
      <c r="Q73" s="2041"/>
      <c r="R73" s="2041"/>
      <c r="S73" s="2041"/>
      <c r="T73" s="2041"/>
      <c r="U73" s="2041"/>
      <c r="V73" s="2041"/>
      <c r="W73" s="2041"/>
      <c r="X73" s="2041"/>
      <c r="Y73" s="2041"/>
      <c r="Z73" s="2041"/>
      <c r="AA73" s="2169"/>
      <c r="AB73" s="1190"/>
      <c r="AC73" s="2050" t="s">
        <v>2330</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190"/>
      <c r="BE73" s="1194"/>
      <c r="CK73" s="1188"/>
      <c r="CL73" s="1188"/>
      <c r="CM73" s="1188"/>
      <c r="CN73" s="1188"/>
      <c r="CO73" s="1188"/>
      <c r="CP73" s="1188"/>
    </row>
    <row r="74" spans="1:94" ht="15.75" customHeight="1">
      <c r="A74" s="1190"/>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69"/>
      <c r="AB74" s="1190"/>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190"/>
      <c r="BE74" s="1194"/>
      <c r="CK74" s="1188"/>
      <c r="CL74" s="1188"/>
      <c r="CM74" s="1188"/>
      <c r="CN74" s="1188"/>
      <c r="CO74" s="1188"/>
      <c r="CP74" s="1188"/>
    </row>
    <row r="75" spans="1:94" ht="15.75" customHeight="1" thickBot="1">
      <c r="A75" s="1190"/>
      <c r="B75" s="2174" t="s">
        <v>124</v>
      </c>
      <c r="C75" s="2175"/>
      <c r="D75" s="2175"/>
      <c r="E75" s="2175"/>
      <c r="F75" s="2175"/>
      <c r="G75" s="2175"/>
      <c r="H75" s="2175"/>
      <c r="I75" s="2175"/>
      <c r="J75" s="2175"/>
      <c r="K75" s="2175"/>
      <c r="L75" s="2175"/>
      <c r="M75" s="2175"/>
      <c r="N75" s="2175"/>
      <c r="O75" s="2176">
        <f>SUM(O70:AA74)</f>
        <v>0</v>
      </c>
      <c r="P75" s="2176"/>
      <c r="Q75" s="2176"/>
      <c r="R75" s="2176"/>
      <c r="S75" s="2176"/>
      <c r="T75" s="2176"/>
      <c r="U75" s="2176"/>
      <c r="V75" s="2176"/>
      <c r="W75" s="2176"/>
      <c r="X75" s="2176"/>
      <c r="Y75" s="2176"/>
      <c r="Z75" s="2176"/>
      <c r="AA75" s="2177"/>
      <c r="AB75" s="1190"/>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52"/>
      <c r="G79" s="2153"/>
      <c r="H79" s="2153"/>
      <c r="I79" s="2153"/>
      <c r="J79" s="2153"/>
      <c r="K79" s="2153"/>
      <c r="L79" s="2153"/>
      <c r="M79" s="2153"/>
      <c r="N79" s="2153"/>
      <c r="O79" s="2153"/>
      <c r="P79" s="2153"/>
      <c r="Q79" s="2153"/>
      <c r="R79" s="2153"/>
      <c r="S79" s="2153"/>
      <c r="T79" s="215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5" t="s">
        <v>2383</v>
      </c>
      <c r="C80" s="2156"/>
      <c r="D80" s="2156"/>
      <c r="E80" s="2156"/>
      <c r="F80" s="2156"/>
      <c r="G80" s="2156"/>
      <c r="H80" s="2156"/>
      <c r="I80" s="2156"/>
      <c r="J80" s="2156"/>
      <c r="K80" s="2156"/>
      <c r="L80" s="2156"/>
      <c r="M80" s="2156"/>
      <c r="N80" s="2156"/>
      <c r="O80" s="2156"/>
      <c r="P80" s="2156"/>
      <c r="Q80" s="2156"/>
      <c r="R80" s="2158" t="str">
        <f>IFERROR(INDEX(BR96:BR98,MATCH(F79,$BQ$96:$BQ$98,0))/SUM($BR$96:$BR$98),"")</f>
        <v/>
      </c>
      <c r="S80" s="2159"/>
      <c r="T80" s="216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1" t="s">
        <v>2382</v>
      </c>
      <c r="C81" s="2162"/>
      <c r="D81" s="2162"/>
      <c r="E81" s="2162"/>
      <c r="F81" s="2162"/>
      <c r="G81" s="2162"/>
      <c r="H81" s="2162"/>
      <c r="I81" s="2162"/>
      <c r="J81" s="2162"/>
      <c r="K81" s="2162"/>
      <c r="L81" s="2162"/>
      <c r="M81" s="2162"/>
      <c r="N81" s="2162"/>
      <c r="O81" s="2162"/>
      <c r="P81" s="2162"/>
      <c r="Q81" s="2162"/>
      <c r="R81" s="2143" t="s">
        <v>2188</v>
      </c>
      <c r="S81" s="2144"/>
      <c r="T81" s="214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4" t="s">
        <v>2381</v>
      </c>
      <c r="C83" s="2165"/>
      <c r="D83" s="2165"/>
      <c r="E83" s="2165"/>
      <c r="F83" s="2165"/>
      <c r="G83" s="2165"/>
      <c r="H83" s="2165"/>
      <c r="I83" s="2165"/>
      <c r="J83" s="2165"/>
      <c r="K83" s="2165"/>
      <c r="L83" s="2165"/>
      <c r="M83" s="2165"/>
      <c r="N83" s="2165"/>
      <c r="O83" s="2165"/>
      <c r="P83" s="2165"/>
      <c r="Q83" s="2165"/>
      <c r="R83" s="2165"/>
      <c r="S83" s="2165"/>
      <c r="T83" s="2165"/>
      <c r="U83" s="2165"/>
      <c r="V83" s="2165"/>
      <c r="W83" s="2165"/>
      <c r="X83" s="2165"/>
      <c r="Y83" s="2165"/>
      <c r="Z83" s="2165"/>
      <c r="AA83" s="2165"/>
      <c r="AB83" s="2165"/>
      <c r="AC83" s="2165"/>
      <c r="AD83" s="2165"/>
      <c r="AE83" s="2165"/>
      <c r="AF83" s="2165"/>
      <c r="AG83" s="2165"/>
      <c r="AH83" s="2166"/>
      <c r="AI83" s="1190"/>
      <c r="AJ83" s="2131" t="s">
        <v>2380</v>
      </c>
      <c r="AK83" s="2132"/>
      <c r="AL83" s="2132"/>
      <c r="AM83" s="2132"/>
      <c r="AN83" s="2132"/>
      <c r="AO83" s="2132"/>
      <c r="AP83" s="2132"/>
      <c r="AQ83" s="2132"/>
      <c r="AR83" s="2132"/>
      <c r="AS83" s="2132"/>
      <c r="AT83" s="2132"/>
      <c r="AU83" s="2132"/>
      <c r="AV83" s="2132"/>
      <c r="AW83" s="2132"/>
      <c r="AX83" s="2132"/>
      <c r="AY83" s="2148" t="s">
        <v>545</v>
      </c>
      <c r="AZ83" s="2148"/>
      <c r="BA83" s="2148"/>
      <c r="BB83" s="2149"/>
      <c r="BC83" s="1190"/>
      <c r="BD83" s="1190"/>
      <c r="BE83" s="1194"/>
      <c r="CK83" s="1188"/>
      <c r="CL83" s="1188"/>
      <c r="CM83" s="1188"/>
      <c r="CN83" s="1188"/>
      <c r="CO83" s="1188"/>
      <c r="CP83" s="1188"/>
    </row>
    <row r="84" spans="1:94" ht="15.75" customHeight="1">
      <c r="A84" s="1190"/>
      <c r="B84" s="2142"/>
      <c r="C84" s="2110"/>
      <c r="D84" s="2110"/>
      <c r="E84" s="2110"/>
      <c r="F84" s="2110"/>
      <c r="G84" s="2110"/>
      <c r="H84" s="2110"/>
      <c r="I84" s="2110" t="s">
        <v>2370</v>
      </c>
      <c r="J84" s="2110"/>
      <c r="K84" s="2110"/>
      <c r="L84" s="2110"/>
      <c r="M84" s="2110"/>
      <c r="N84" s="2110"/>
      <c r="O84" s="2110" t="s">
        <v>2346</v>
      </c>
      <c r="P84" s="2110"/>
      <c r="Q84" s="2110"/>
      <c r="R84" s="2110"/>
      <c r="S84" s="2110"/>
      <c r="T84" s="2110"/>
      <c r="U84" s="2110"/>
      <c r="V84" s="2146" t="s">
        <v>2345</v>
      </c>
      <c r="W84" s="2146"/>
      <c r="X84" s="2146"/>
      <c r="Y84" s="2146"/>
      <c r="Z84" s="2146"/>
      <c r="AA84" s="2146"/>
      <c r="AB84" s="2080" t="s">
        <v>2369</v>
      </c>
      <c r="AC84" s="2080"/>
      <c r="AD84" s="2080"/>
      <c r="AE84" s="2080"/>
      <c r="AF84" s="2080"/>
      <c r="AG84" s="2080"/>
      <c r="AH84" s="2147"/>
      <c r="AI84" s="1190"/>
      <c r="AJ84" s="2134"/>
      <c r="AK84" s="2135"/>
      <c r="AL84" s="2135"/>
      <c r="AM84" s="2135"/>
      <c r="AN84" s="2135"/>
      <c r="AO84" s="2135"/>
      <c r="AP84" s="2135"/>
      <c r="AQ84" s="2135"/>
      <c r="AR84" s="2135"/>
      <c r="AS84" s="2135"/>
      <c r="AT84" s="2135"/>
      <c r="AU84" s="2135"/>
      <c r="AV84" s="2135"/>
      <c r="AW84" s="2135"/>
      <c r="AX84" s="2135"/>
      <c r="AY84" s="2150"/>
      <c r="AZ84" s="2150"/>
      <c r="BA84" s="2150"/>
      <c r="BB84" s="2151"/>
      <c r="BC84" s="1190"/>
      <c r="BD84" s="1190"/>
      <c r="BE84" s="1194"/>
      <c r="CK84" s="1188"/>
      <c r="CL84" s="1188"/>
      <c r="CM84" s="1188"/>
      <c r="CN84" s="1188"/>
      <c r="CO84" s="1188"/>
      <c r="CP84" s="1188"/>
    </row>
    <row r="85" spans="1:94" ht="15.75" customHeight="1">
      <c r="A85" s="1190"/>
      <c r="B85" s="2142"/>
      <c r="C85" s="2110"/>
      <c r="D85" s="2110"/>
      <c r="E85" s="2110"/>
      <c r="F85" s="2110"/>
      <c r="G85" s="2110"/>
      <c r="H85" s="2110"/>
      <c r="I85" s="2110"/>
      <c r="J85" s="2110"/>
      <c r="K85" s="2110"/>
      <c r="L85" s="2110"/>
      <c r="M85" s="2110"/>
      <c r="N85" s="2110"/>
      <c r="O85" s="2110"/>
      <c r="P85" s="2110"/>
      <c r="Q85" s="2110"/>
      <c r="R85" s="2110"/>
      <c r="S85" s="2110"/>
      <c r="T85" s="2110"/>
      <c r="U85" s="2110"/>
      <c r="V85" s="2146"/>
      <c r="W85" s="2146"/>
      <c r="X85" s="2146"/>
      <c r="Y85" s="2146"/>
      <c r="Z85" s="2146"/>
      <c r="AA85" s="2146"/>
      <c r="AB85" s="2080"/>
      <c r="AC85" s="2080"/>
      <c r="AD85" s="2080"/>
      <c r="AE85" s="2080"/>
      <c r="AF85" s="2080"/>
      <c r="AG85" s="2080"/>
      <c r="AH85" s="2147"/>
      <c r="AI85" s="1190"/>
      <c r="AJ85" s="2134"/>
      <c r="AK85" s="2135"/>
      <c r="AL85" s="2135"/>
      <c r="AM85" s="2135"/>
      <c r="AN85" s="2135"/>
      <c r="AO85" s="2135"/>
      <c r="AP85" s="2135"/>
      <c r="AQ85" s="2135"/>
      <c r="AR85" s="2135"/>
      <c r="AS85" s="2135"/>
      <c r="AT85" s="2135"/>
      <c r="AU85" s="2135"/>
      <c r="AV85" s="2135"/>
      <c r="AW85" s="2135"/>
      <c r="AX85" s="2135"/>
      <c r="AY85" s="2150"/>
      <c r="AZ85" s="2150"/>
      <c r="BA85" s="2150"/>
      <c r="BB85" s="2151"/>
      <c r="BC85" s="1190"/>
      <c r="BD85" s="1190"/>
      <c r="BE85" s="1194"/>
      <c r="CK85" s="1188"/>
      <c r="CL85" s="1188"/>
      <c r="CM85" s="1188"/>
      <c r="CN85" s="1188"/>
      <c r="CO85" s="1188"/>
      <c r="CP85" s="1188"/>
    </row>
    <row r="86" spans="1:94" ht="15.75" customHeight="1">
      <c r="A86" s="1190"/>
      <c r="B86" s="2142" t="s">
        <v>2368</v>
      </c>
      <c r="C86" s="2110"/>
      <c r="D86" s="2110"/>
      <c r="E86" s="2110"/>
      <c r="F86" s="2110"/>
      <c r="G86" s="2110"/>
      <c r="H86" s="2110"/>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0"/>
      <c r="AJ86" s="2134"/>
      <c r="AK86" s="2135"/>
      <c r="AL86" s="2135"/>
      <c r="AM86" s="2135"/>
      <c r="AN86" s="2135"/>
      <c r="AO86" s="2135"/>
      <c r="AP86" s="2135"/>
      <c r="AQ86" s="2135"/>
      <c r="AR86" s="2135"/>
      <c r="AS86" s="2135"/>
      <c r="AT86" s="2135"/>
      <c r="AU86" s="2135"/>
      <c r="AV86" s="2135"/>
      <c r="AW86" s="2135"/>
      <c r="AX86" s="2135"/>
      <c r="AY86" s="2150"/>
      <c r="AZ86" s="2150"/>
      <c r="BA86" s="2150"/>
      <c r="BB86" s="2151"/>
      <c r="BC86" s="1190"/>
      <c r="BD86" s="1190"/>
      <c r="BE86" s="1194"/>
      <c r="CK86" s="1188"/>
      <c r="CL86" s="1188"/>
      <c r="CM86" s="1188"/>
      <c r="CN86" s="1188"/>
      <c r="CO86" s="1188"/>
      <c r="CP86" s="1188"/>
    </row>
    <row r="87" spans="1:94" ht="15.75" customHeight="1">
      <c r="A87" s="1190"/>
      <c r="B87" s="2142" t="s">
        <v>2367</v>
      </c>
      <c r="C87" s="2110"/>
      <c r="D87" s="2110"/>
      <c r="E87" s="2110"/>
      <c r="F87" s="2110"/>
      <c r="G87" s="2110"/>
      <c r="H87" s="2110"/>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0"/>
      <c r="AJ87" s="2050" t="s">
        <v>2374</v>
      </c>
      <c r="AK87" s="2051"/>
      <c r="AL87" s="2051"/>
      <c r="AM87" s="2051"/>
      <c r="AN87" s="2051"/>
      <c r="AO87" s="2051"/>
      <c r="AP87" s="2051"/>
      <c r="AQ87" s="2051"/>
      <c r="AR87" s="2051"/>
      <c r="AS87" s="2051"/>
      <c r="AT87" s="2051"/>
      <c r="AU87" s="2051"/>
      <c r="AV87" s="2051"/>
      <c r="AW87" s="2051"/>
      <c r="AX87" s="2051"/>
      <c r="AY87" s="2051"/>
      <c r="AZ87" s="2051"/>
      <c r="BA87" s="2051"/>
      <c r="BB87" s="2052"/>
      <c r="BC87" s="1190"/>
      <c r="BD87" s="1190"/>
      <c r="BE87" s="1194"/>
      <c r="CK87" s="1188"/>
      <c r="CL87" s="1188"/>
      <c r="CM87" s="1188"/>
      <c r="CN87" s="1188"/>
      <c r="CO87" s="1188"/>
      <c r="CP87" s="1188"/>
    </row>
    <row r="88" spans="1:94" ht="15.75" customHeight="1" thickBot="1">
      <c r="A88" s="1190"/>
      <c r="B88" s="2140" t="s">
        <v>2366</v>
      </c>
      <c r="C88" s="2141"/>
      <c r="D88" s="2141"/>
      <c r="E88" s="2141"/>
      <c r="F88" s="2141"/>
      <c r="G88" s="2141"/>
      <c r="H88" s="2141"/>
      <c r="I88" s="2077">
        <v>0</v>
      </c>
      <c r="J88" s="2077"/>
      <c r="K88" s="2077"/>
      <c r="L88" s="2077"/>
      <c r="M88" s="2077"/>
      <c r="N88" s="2077"/>
      <c r="O88" s="2077">
        <v>0</v>
      </c>
      <c r="P88" s="2077"/>
      <c r="Q88" s="2077"/>
      <c r="R88" s="2077"/>
      <c r="S88" s="2077"/>
      <c r="T88" s="2077"/>
      <c r="U88" s="2077"/>
      <c r="V88" s="2077">
        <v>0</v>
      </c>
      <c r="W88" s="2077"/>
      <c r="X88" s="2077"/>
      <c r="Y88" s="2077"/>
      <c r="Z88" s="2077"/>
      <c r="AA88" s="2077"/>
      <c r="AB88" s="2077">
        <v>0</v>
      </c>
      <c r="AC88" s="2077"/>
      <c r="AD88" s="2077"/>
      <c r="AE88" s="2077"/>
      <c r="AF88" s="2077"/>
      <c r="AG88" s="2077"/>
      <c r="AH88" s="2078"/>
      <c r="AI88" s="1190"/>
      <c r="AJ88" s="2053"/>
      <c r="AK88" s="2054"/>
      <c r="AL88" s="2054"/>
      <c r="AM88" s="2054"/>
      <c r="AN88" s="2054"/>
      <c r="AO88" s="2054"/>
      <c r="AP88" s="2054"/>
      <c r="AQ88" s="2054"/>
      <c r="AR88" s="2054"/>
      <c r="AS88" s="2054"/>
      <c r="AT88" s="2054"/>
      <c r="AU88" s="2054"/>
      <c r="AV88" s="2054"/>
      <c r="AW88" s="2054"/>
      <c r="AX88" s="2054"/>
      <c r="AY88" s="2054"/>
      <c r="AZ88" s="2054"/>
      <c r="BA88" s="2054"/>
      <c r="BB88" s="205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52"/>
      <c r="G92" s="2153"/>
      <c r="H92" s="2153"/>
      <c r="I92" s="2153"/>
      <c r="J92" s="2153"/>
      <c r="K92" s="2153"/>
      <c r="L92" s="2153"/>
      <c r="M92" s="2153"/>
      <c r="N92" s="2153"/>
      <c r="O92" s="2153"/>
      <c r="P92" s="2153"/>
      <c r="Q92" s="2153"/>
      <c r="R92" s="2153"/>
      <c r="S92" s="2153"/>
      <c r="T92" s="215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5" t="s">
        <v>2378</v>
      </c>
      <c r="C93" s="2156"/>
      <c r="D93" s="2156"/>
      <c r="E93" s="2156"/>
      <c r="F93" s="2156"/>
      <c r="G93" s="2156"/>
      <c r="H93" s="2156"/>
      <c r="I93" s="2156"/>
      <c r="J93" s="2156"/>
      <c r="K93" s="2156"/>
      <c r="L93" s="2156"/>
      <c r="M93" s="2156"/>
      <c r="N93" s="2156"/>
      <c r="O93" s="2156"/>
      <c r="P93" s="2156"/>
      <c r="Q93" s="2157"/>
      <c r="R93" s="2158" t="str">
        <f>IFERROR(INDEX(BR96:BR98,MATCH(F92,$BQ$96:$BQ$98,0))/SUM($BR$96:$BR$98),"")</f>
        <v/>
      </c>
      <c r="S93" s="2159"/>
      <c r="T93" s="216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1" t="s">
        <v>2377</v>
      </c>
      <c r="C94" s="2162"/>
      <c r="D94" s="2162"/>
      <c r="E94" s="2162"/>
      <c r="F94" s="2162"/>
      <c r="G94" s="2162"/>
      <c r="H94" s="2162"/>
      <c r="I94" s="2162"/>
      <c r="J94" s="2162"/>
      <c r="K94" s="2162"/>
      <c r="L94" s="2162"/>
      <c r="M94" s="2162"/>
      <c r="N94" s="2162"/>
      <c r="O94" s="2162"/>
      <c r="P94" s="2162"/>
      <c r="Q94" s="2163"/>
      <c r="R94" s="2143" t="s">
        <v>2188</v>
      </c>
      <c r="S94" s="2144"/>
      <c r="T94" s="214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4" t="s">
        <v>2376</v>
      </c>
      <c r="C96" s="2165"/>
      <c r="D96" s="2165"/>
      <c r="E96" s="2165"/>
      <c r="F96" s="2165"/>
      <c r="G96" s="2165"/>
      <c r="H96" s="2165"/>
      <c r="I96" s="2165"/>
      <c r="J96" s="2165"/>
      <c r="K96" s="2165"/>
      <c r="L96" s="2165"/>
      <c r="M96" s="2165"/>
      <c r="N96" s="2165"/>
      <c r="O96" s="2165"/>
      <c r="P96" s="2165"/>
      <c r="Q96" s="2165"/>
      <c r="R96" s="2165"/>
      <c r="S96" s="2165"/>
      <c r="T96" s="2165"/>
      <c r="U96" s="2165"/>
      <c r="V96" s="2165"/>
      <c r="W96" s="2165"/>
      <c r="X96" s="2165"/>
      <c r="Y96" s="2165"/>
      <c r="Z96" s="2165"/>
      <c r="AA96" s="2165"/>
      <c r="AB96" s="2165"/>
      <c r="AC96" s="2165"/>
      <c r="AD96" s="2165"/>
      <c r="AE96" s="2165"/>
      <c r="AF96" s="2165"/>
      <c r="AG96" s="2165"/>
      <c r="AH96" s="2166"/>
      <c r="AI96" s="1190"/>
      <c r="AJ96" s="2131" t="s">
        <v>2375</v>
      </c>
      <c r="AK96" s="2132"/>
      <c r="AL96" s="2132"/>
      <c r="AM96" s="2132"/>
      <c r="AN96" s="2132"/>
      <c r="AO96" s="2132"/>
      <c r="AP96" s="2132"/>
      <c r="AQ96" s="2132"/>
      <c r="AR96" s="2132"/>
      <c r="AS96" s="2132"/>
      <c r="AT96" s="2132"/>
      <c r="AU96" s="2132"/>
      <c r="AV96" s="2132"/>
      <c r="AW96" s="2132"/>
      <c r="AX96" s="2132"/>
      <c r="AY96" s="2148" t="s">
        <v>545</v>
      </c>
      <c r="AZ96" s="2148"/>
      <c r="BA96" s="2148"/>
      <c r="BB96" s="2149"/>
      <c r="BC96" s="1190"/>
      <c r="BD96" s="1190"/>
      <c r="BE96" s="1194"/>
      <c r="BQ96" s="1256" t="str">
        <f>Application!M243&amp;IF(TRIM(Application!AA249)&lt;&gt;""," ("&amp;Application!AA249&amp;")","")</f>
        <v>The Junction AGP LLC (CRP Affordable Housing and Community Development LLC)</v>
      </c>
      <c r="BR96" s="1259">
        <f>Application!AH246</f>
        <v>4.8999999999999998E-4</v>
      </c>
      <c r="CM96" s="1188"/>
      <c r="CN96" s="1188"/>
      <c r="CO96" s="1188"/>
      <c r="CP96" s="1188"/>
    </row>
    <row r="97" spans="1:94" ht="15.75" customHeight="1">
      <c r="A97" s="1190"/>
      <c r="B97" s="2142"/>
      <c r="C97" s="2110"/>
      <c r="D97" s="2110"/>
      <c r="E97" s="2110"/>
      <c r="F97" s="2110"/>
      <c r="G97" s="2110"/>
      <c r="H97" s="2110"/>
      <c r="I97" s="2110" t="s">
        <v>2370</v>
      </c>
      <c r="J97" s="2110"/>
      <c r="K97" s="2110"/>
      <c r="L97" s="2110"/>
      <c r="M97" s="2110"/>
      <c r="N97" s="2110"/>
      <c r="O97" s="2110" t="s">
        <v>2346</v>
      </c>
      <c r="P97" s="2110"/>
      <c r="Q97" s="2110"/>
      <c r="R97" s="2110"/>
      <c r="S97" s="2110"/>
      <c r="T97" s="2110"/>
      <c r="U97" s="2110"/>
      <c r="V97" s="2146" t="s">
        <v>2345</v>
      </c>
      <c r="W97" s="2146"/>
      <c r="X97" s="2146"/>
      <c r="Y97" s="2146"/>
      <c r="Z97" s="2146"/>
      <c r="AA97" s="2146"/>
      <c r="AB97" s="2080" t="s">
        <v>2369</v>
      </c>
      <c r="AC97" s="2080"/>
      <c r="AD97" s="2080"/>
      <c r="AE97" s="2080"/>
      <c r="AF97" s="2080"/>
      <c r="AG97" s="2080"/>
      <c r="AH97" s="2147"/>
      <c r="AI97" s="1190"/>
      <c r="AJ97" s="2134"/>
      <c r="AK97" s="2135"/>
      <c r="AL97" s="2135"/>
      <c r="AM97" s="2135"/>
      <c r="AN97" s="2135"/>
      <c r="AO97" s="2135"/>
      <c r="AP97" s="2135"/>
      <c r="AQ97" s="2135"/>
      <c r="AR97" s="2135"/>
      <c r="AS97" s="2135"/>
      <c r="AT97" s="2135"/>
      <c r="AU97" s="2135"/>
      <c r="AV97" s="2135"/>
      <c r="AW97" s="2135"/>
      <c r="AX97" s="2135"/>
      <c r="AY97" s="2150"/>
      <c r="AZ97" s="2150"/>
      <c r="BA97" s="2150"/>
      <c r="BB97" s="2151"/>
      <c r="BC97" s="1190"/>
      <c r="BD97" s="1190"/>
      <c r="BE97" s="1194"/>
      <c r="BQ97" s="1256" t="str">
        <f>Application!M251&amp;IF(TRIM(Application!AA257)&lt;&gt;""," ("&amp;Application!AA257&amp;")","")</f>
        <v>Community Revitalization and Development Corporation</v>
      </c>
      <c r="BR97" s="1259">
        <f>Application!AH254</f>
        <v>5.1000000000000004E-4</v>
      </c>
      <c r="CM97" s="1188"/>
      <c r="CN97" s="1188"/>
      <c r="CO97" s="1188"/>
      <c r="CP97" s="1188"/>
    </row>
    <row r="98" spans="1:94" ht="15.75" customHeight="1">
      <c r="A98" s="1190"/>
      <c r="B98" s="2142"/>
      <c r="C98" s="2110"/>
      <c r="D98" s="2110"/>
      <c r="E98" s="2110"/>
      <c r="F98" s="2110"/>
      <c r="G98" s="2110"/>
      <c r="H98" s="2110"/>
      <c r="I98" s="2110"/>
      <c r="J98" s="2110"/>
      <c r="K98" s="2110"/>
      <c r="L98" s="2110"/>
      <c r="M98" s="2110"/>
      <c r="N98" s="2110"/>
      <c r="O98" s="2110"/>
      <c r="P98" s="2110"/>
      <c r="Q98" s="2110"/>
      <c r="R98" s="2110"/>
      <c r="S98" s="2110"/>
      <c r="T98" s="2110"/>
      <c r="U98" s="2110"/>
      <c r="V98" s="2146"/>
      <c r="W98" s="2146"/>
      <c r="X98" s="2146"/>
      <c r="Y98" s="2146"/>
      <c r="Z98" s="2146"/>
      <c r="AA98" s="2146"/>
      <c r="AB98" s="2080"/>
      <c r="AC98" s="2080"/>
      <c r="AD98" s="2080"/>
      <c r="AE98" s="2080"/>
      <c r="AF98" s="2080"/>
      <c r="AG98" s="2080"/>
      <c r="AH98" s="2147"/>
      <c r="AI98" s="1190"/>
      <c r="AJ98" s="2134"/>
      <c r="AK98" s="2135"/>
      <c r="AL98" s="2135"/>
      <c r="AM98" s="2135"/>
      <c r="AN98" s="2135"/>
      <c r="AO98" s="2135"/>
      <c r="AP98" s="2135"/>
      <c r="AQ98" s="2135"/>
      <c r="AR98" s="2135"/>
      <c r="AS98" s="2135"/>
      <c r="AT98" s="2135"/>
      <c r="AU98" s="2135"/>
      <c r="AV98" s="2135"/>
      <c r="AW98" s="2135"/>
      <c r="AX98" s="2135"/>
      <c r="AY98" s="2150"/>
      <c r="AZ98" s="2150"/>
      <c r="BA98" s="2150"/>
      <c r="BB98" s="215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42" t="s">
        <v>2368</v>
      </c>
      <c r="C99" s="2110"/>
      <c r="D99" s="2110"/>
      <c r="E99" s="2110"/>
      <c r="F99" s="2110"/>
      <c r="G99" s="2110"/>
      <c r="H99" s="2110"/>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0"/>
      <c r="AJ99" s="2134"/>
      <c r="AK99" s="2135"/>
      <c r="AL99" s="2135"/>
      <c r="AM99" s="2135"/>
      <c r="AN99" s="2135"/>
      <c r="AO99" s="2135"/>
      <c r="AP99" s="2135"/>
      <c r="AQ99" s="2135"/>
      <c r="AR99" s="2135"/>
      <c r="AS99" s="2135"/>
      <c r="AT99" s="2135"/>
      <c r="AU99" s="2135"/>
      <c r="AV99" s="2135"/>
      <c r="AW99" s="2135"/>
      <c r="AX99" s="2135"/>
      <c r="AY99" s="2150"/>
      <c r="AZ99" s="2150"/>
      <c r="BA99" s="2150"/>
      <c r="BB99" s="2151"/>
      <c r="BC99" s="1190"/>
      <c r="BD99" s="1190"/>
      <c r="BE99" s="1194"/>
      <c r="CM99" s="1188"/>
      <c r="CN99" s="1188"/>
      <c r="CO99" s="1188"/>
      <c r="CP99" s="1188"/>
    </row>
    <row r="100" spans="1:94" ht="15.75" customHeight="1">
      <c r="A100" s="1190"/>
      <c r="B100" s="2142" t="s">
        <v>2367</v>
      </c>
      <c r="C100" s="2110"/>
      <c r="D100" s="2110"/>
      <c r="E100" s="2110"/>
      <c r="F100" s="2110"/>
      <c r="G100" s="2110"/>
      <c r="H100" s="2110"/>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0"/>
      <c r="AJ100" s="2050" t="s">
        <v>2374</v>
      </c>
      <c r="AK100" s="2051"/>
      <c r="AL100" s="2051"/>
      <c r="AM100" s="2051"/>
      <c r="AN100" s="2051"/>
      <c r="AO100" s="2051"/>
      <c r="AP100" s="2051"/>
      <c r="AQ100" s="2051"/>
      <c r="AR100" s="2051"/>
      <c r="AS100" s="2051"/>
      <c r="AT100" s="2051"/>
      <c r="AU100" s="2051"/>
      <c r="AV100" s="2051"/>
      <c r="AW100" s="2051"/>
      <c r="AX100" s="2051"/>
      <c r="AY100" s="2051"/>
      <c r="AZ100" s="2051"/>
      <c r="BA100" s="2051"/>
      <c r="BB100" s="2052"/>
      <c r="BC100" s="1190"/>
      <c r="BD100" s="1190"/>
      <c r="BE100" s="1194"/>
      <c r="CM100" s="1188"/>
      <c r="CN100" s="1188"/>
      <c r="CO100" s="1188"/>
      <c r="CP100" s="1188"/>
    </row>
    <row r="101" spans="1:94" ht="15.75" customHeight="1" thickBot="1">
      <c r="A101" s="1190"/>
      <c r="B101" s="2140" t="s">
        <v>2366</v>
      </c>
      <c r="C101" s="2141"/>
      <c r="D101" s="2141"/>
      <c r="E101" s="2141"/>
      <c r="F101" s="2141"/>
      <c r="G101" s="2141"/>
      <c r="H101" s="2141"/>
      <c r="I101" s="2077">
        <v>0</v>
      </c>
      <c r="J101" s="2077"/>
      <c r="K101" s="2077"/>
      <c r="L101" s="2077"/>
      <c r="M101" s="2077"/>
      <c r="N101" s="2077"/>
      <c r="O101" s="2077">
        <v>0</v>
      </c>
      <c r="P101" s="2077"/>
      <c r="Q101" s="2077"/>
      <c r="R101" s="2077"/>
      <c r="S101" s="2077"/>
      <c r="T101" s="2077"/>
      <c r="U101" s="2077"/>
      <c r="V101" s="2077">
        <v>0</v>
      </c>
      <c r="W101" s="2077"/>
      <c r="X101" s="2077"/>
      <c r="Y101" s="2077"/>
      <c r="Z101" s="2077"/>
      <c r="AA101" s="2077"/>
      <c r="AB101" s="2077">
        <v>0</v>
      </c>
      <c r="AC101" s="2077"/>
      <c r="AD101" s="2077"/>
      <c r="AE101" s="2077"/>
      <c r="AF101" s="2077"/>
      <c r="AG101" s="2077"/>
      <c r="AH101" s="2078"/>
      <c r="AI101" s="1190"/>
      <c r="AJ101" s="2053"/>
      <c r="AK101" s="2054"/>
      <c r="AL101" s="2054"/>
      <c r="AM101" s="2054"/>
      <c r="AN101" s="2054"/>
      <c r="AO101" s="2054"/>
      <c r="AP101" s="2054"/>
      <c r="AQ101" s="2054"/>
      <c r="AR101" s="2054"/>
      <c r="AS101" s="2054"/>
      <c r="AT101" s="2054"/>
      <c r="AU101" s="2054"/>
      <c r="AV101" s="2054"/>
      <c r="AW101" s="2054"/>
      <c r="AX101" s="2054"/>
      <c r="AY101" s="2054"/>
      <c r="AZ101" s="2054"/>
      <c r="BA101" s="2054"/>
      <c r="BB101" s="2055"/>
      <c r="BC101" s="1190"/>
      <c r="BD101" s="1190"/>
      <c r="BE101" s="1194"/>
      <c r="BQ101" s="1256" t="str">
        <f>Application!AA335</f>
        <v>Cambridge Real Estate Services,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43" t="str">
        <f>IFERROR(INDEX(BR96:BR98,MATCH(F104,$BQ$96:$BQ$98,0))/SUM($BR$96:$BR$98),"")</f>
        <v/>
      </c>
      <c r="P105" s="2144"/>
      <c r="Q105" s="2144"/>
      <c r="R105" s="214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3" t="s">
        <v>2371</v>
      </c>
      <c r="C107" s="2034"/>
      <c r="D107" s="2034"/>
      <c r="E107" s="2034"/>
      <c r="F107" s="2034"/>
      <c r="G107" s="2034"/>
      <c r="H107" s="2034"/>
      <c r="I107" s="2034"/>
      <c r="J107" s="2034"/>
      <c r="K107" s="2034"/>
      <c r="L107" s="2034"/>
      <c r="M107" s="2034"/>
      <c r="N107" s="2034"/>
      <c r="O107" s="2034"/>
      <c r="P107" s="2034"/>
      <c r="Q107" s="2034"/>
      <c r="R107" s="2034"/>
      <c r="S107" s="2034"/>
      <c r="T107" s="2034"/>
      <c r="U107" s="2034"/>
      <c r="V107" s="2034"/>
      <c r="W107" s="2034"/>
      <c r="X107" s="2034"/>
      <c r="Y107" s="2034"/>
      <c r="Z107" s="2034"/>
      <c r="AA107" s="2034"/>
      <c r="AB107" s="2034"/>
      <c r="AC107" s="2034"/>
      <c r="AD107" s="2034"/>
      <c r="AE107" s="2034"/>
      <c r="AF107" s="2034"/>
      <c r="AG107" s="2034"/>
      <c r="AH107" s="204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2"/>
      <c r="C108" s="2110"/>
      <c r="D108" s="2110"/>
      <c r="E108" s="2110"/>
      <c r="F108" s="2110"/>
      <c r="G108" s="2110"/>
      <c r="H108" s="2110"/>
      <c r="I108" s="2110" t="s">
        <v>2370</v>
      </c>
      <c r="J108" s="2110"/>
      <c r="K108" s="2110"/>
      <c r="L108" s="2110"/>
      <c r="M108" s="2110"/>
      <c r="N108" s="2110"/>
      <c r="O108" s="2110" t="s">
        <v>2346</v>
      </c>
      <c r="P108" s="2110"/>
      <c r="Q108" s="2110"/>
      <c r="R108" s="2110"/>
      <c r="S108" s="2110"/>
      <c r="T108" s="2110"/>
      <c r="U108" s="2110"/>
      <c r="V108" s="2146" t="s">
        <v>2345</v>
      </c>
      <c r="W108" s="2146"/>
      <c r="X108" s="2146"/>
      <c r="Y108" s="2146"/>
      <c r="Z108" s="2146"/>
      <c r="AA108" s="2146"/>
      <c r="AB108" s="2080" t="s">
        <v>2369</v>
      </c>
      <c r="AC108" s="2080"/>
      <c r="AD108" s="2080"/>
      <c r="AE108" s="2080"/>
      <c r="AF108" s="2080"/>
      <c r="AG108" s="2080"/>
      <c r="AH108" s="214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2"/>
      <c r="C109" s="2110"/>
      <c r="D109" s="2110"/>
      <c r="E109" s="2110"/>
      <c r="F109" s="2110"/>
      <c r="G109" s="2110"/>
      <c r="H109" s="2110"/>
      <c r="I109" s="2110"/>
      <c r="J109" s="2110"/>
      <c r="K109" s="2110"/>
      <c r="L109" s="2110"/>
      <c r="M109" s="2110"/>
      <c r="N109" s="2110"/>
      <c r="O109" s="2110"/>
      <c r="P109" s="2110"/>
      <c r="Q109" s="2110"/>
      <c r="R109" s="2110"/>
      <c r="S109" s="2110"/>
      <c r="T109" s="2110"/>
      <c r="U109" s="2110"/>
      <c r="V109" s="2146"/>
      <c r="W109" s="2146"/>
      <c r="X109" s="2146"/>
      <c r="Y109" s="2146"/>
      <c r="Z109" s="2146"/>
      <c r="AA109" s="2146"/>
      <c r="AB109" s="2080"/>
      <c r="AC109" s="2080"/>
      <c r="AD109" s="2080"/>
      <c r="AE109" s="2080"/>
      <c r="AF109" s="2080"/>
      <c r="AG109" s="2080"/>
      <c r="AH109" s="214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2" t="s">
        <v>2368</v>
      </c>
      <c r="C110" s="2110"/>
      <c r="D110" s="2110"/>
      <c r="E110" s="2110"/>
      <c r="F110" s="2110"/>
      <c r="G110" s="2110"/>
      <c r="H110" s="2110"/>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2" t="s">
        <v>2367</v>
      </c>
      <c r="C111" s="2110"/>
      <c r="D111" s="2110"/>
      <c r="E111" s="2110"/>
      <c r="F111" s="2110"/>
      <c r="G111" s="2110"/>
      <c r="H111" s="2110"/>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0" t="s">
        <v>2366</v>
      </c>
      <c r="C112" s="2141"/>
      <c r="D112" s="2141"/>
      <c r="E112" s="2141"/>
      <c r="F112" s="2141"/>
      <c r="G112" s="2141"/>
      <c r="H112" s="2141"/>
      <c r="I112" s="2077">
        <v>0</v>
      </c>
      <c r="J112" s="2077"/>
      <c r="K112" s="2077"/>
      <c r="L112" s="2077"/>
      <c r="M112" s="2077"/>
      <c r="N112" s="2077"/>
      <c r="O112" s="2077">
        <v>0</v>
      </c>
      <c r="P112" s="2077"/>
      <c r="Q112" s="2077"/>
      <c r="R112" s="2077"/>
      <c r="S112" s="2077"/>
      <c r="T112" s="2077"/>
      <c r="U112" s="2077"/>
      <c r="V112" s="2077">
        <v>0</v>
      </c>
      <c r="W112" s="2077"/>
      <c r="X112" s="2077"/>
      <c r="Y112" s="2077"/>
      <c r="Z112" s="2077"/>
      <c r="AA112" s="2077"/>
      <c r="AB112" s="2077">
        <v>0</v>
      </c>
      <c r="AC112" s="2077"/>
      <c r="AD112" s="2077"/>
      <c r="AE112" s="2077"/>
      <c r="AF112" s="2077"/>
      <c r="AG112" s="2077"/>
      <c r="AH112" s="207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2364</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2364</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1" t="s">
        <v>2362</v>
      </c>
      <c r="Y125" s="2132"/>
      <c r="Z125" s="2132"/>
      <c r="AA125" s="2132"/>
      <c r="AB125" s="2132"/>
      <c r="AC125" s="2132"/>
      <c r="AD125" s="2132"/>
      <c r="AE125" s="2132"/>
      <c r="AF125" s="2132"/>
      <c r="AG125" s="2132"/>
      <c r="AH125" s="2132"/>
      <c r="AI125" s="2132"/>
      <c r="AJ125" s="2132"/>
      <c r="AK125" s="2132"/>
      <c r="AL125" s="2132"/>
      <c r="AM125" s="2132"/>
      <c r="AN125" s="2132"/>
      <c r="AO125" s="2132"/>
      <c r="AP125" s="2132"/>
      <c r="AQ125" s="2132"/>
      <c r="AR125" s="2132"/>
      <c r="AS125" s="2132"/>
      <c r="AT125" s="2132"/>
      <c r="AU125" s="2132"/>
      <c r="AV125" s="2132"/>
      <c r="AW125" s="2132"/>
      <c r="AX125" s="2132"/>
      <c r="AY125" s="2132"/>
      <c r="AZ125" s="2132"/>
      <c r="BA125" s="2132"/>
      <c r="BB125" s="2132"/>
      <c r="BC125" s="2132"/>
      <c r="BD125" s="2133"/>
      <c r="BE125" s="1194"/>
    </row>
    <row r="126" spans="1:57" ht="15.75" customHeight="1">
      <c r="A126" s="1190"/>
      <c r="B126" s="2137" t="s">
        <v>1576</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134"/>
      <c r="Y126" s="2135"/>
      <c r="Z126" s="2135"/>
      <c r="AA126" s="2135"/>
      <c r="AB126" s="2135"/>
      <c r="AC126" s="2135"/>
      <c r="AD126" s="2135"/>
      <c r="AE126" s="2135"/>
      <c r="AF126" s="2135"/>
      <c r="AG126" s="2135"/>
      <c r="AH126" s="2135"/>
      <c r="AI126" s="2135"/>
      <c r="AJ126" s="2135"/>
      <c r="AK126" s="2135"/>
      <c r="AL126" s="2135"/>
      <c r="AM126" s="2135"/>
      <c r="AN126" s="2135"/>
      <c r="AO126" s="2135"/>
      <c r="AP126" s="2135"/>
      <c r="AQ126" s="2135"/>
      <c r="AR126" s="2135"/>
      <c r="AS126" s="2135"/>
      <c r="AT126" s="2135"/>
      <c r="AU126" s="2135"/>
      <c r="AV126" s="2135"/>
      <c r="AW126" s="2135"/>
      <c r="AX126" s="2135"/>
      <c r="AY126" s="2135"/>
      <c r="AZ126" s="2135"/>
      <c r="BA126" s="2135"/>
      <c r="BB126" s="2135"/>
      <c r="BC126" s="2135"/>
      <c r="BD126" s="2136"/>
      <c r="BE126" s="1194"/>
    </row>
    <row r="127" spans="1:57" ht="15.75" customHeight="1">
      <c r="A127" s="1190"/>
      <c r="B127" s="2047"/>
      <c r="C127" s="2048"/>
      <c r="D127" s="2048"/>
      <c r="E127" s="2048"/>
      <c r="F127" s="2048"/>
      <c r="G127" s="2048"/>
      <c r="H127" s="2048"/>
      <c r="I127" s="2110" t="s">
        <v>2361</v>
      </c>
      <c r="J127" s="2110"/>
      <c r="K127" s="2110"/>
      <c r="L127" s="2110"/>
      <c r="M127" s="2110"/>
      <c r="N127" s="2110"/>
      <c r="O127" s="2111" t="s">
        <v>2360</v>
      </c>
      <c r="P127" s="2111"/>
      <c r="Q127" s="2111"/>
      <c r="R127" s="2111"/>
      <c r="S127" s="2111"/>
      <c r="T127" s="2111"/>
      <c r="U127" s="2112"/>
      <c r="V127" s="1190"/>
      <c r="W127" s="1190"/>
      <c r="X127" s="2050" t="s">
        <v>2330</v>
      </c>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194"/>
    </row>
    <row r="128" spans="1:57" ht="15.75" customHeight="1">
      <c r="A128" s="1190"/>
      <c r="B128" s="2081" t="s">
        <v>2344</v>
      </c>
      <c r="C128" s="2082"/>
      <c r="D128" s="2082"/>
      <c r="E128" s="2082"/>
      <c r="F128" s="2082"/>
      <c r="G128" s="2082"/>
      <c r="H128" s="2082"/>
      <c r="I128" s="2083">
        <v>0</v>
      </c>
      <c r="J128" s="2083"/>
      <c r="K128" s="2083"/>
      <c r="L128" s="2083"/>
      <c r="M128" s="2083"/>
      <c r="N128" s="2083"/>
      <c r="O128" s="2083">
        <v>0</v>
      </c>
      <c r="P128" s="2083"/>
      <c r="Q128" s="2083"/>
      <c r="R128" s="2083"/>
      <c r="S128" s="2083"/>
      <c r="T128" s="2083"/>
      <c r="U128" s="2084"/>
      <c r="V128" s="1190"/>
      <c r="W128" s="1190"/>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194"/>
    </row>
    <row r="129" spans="1:57" ht="15.75" customHeight="1" thickBot="1">
      <c r="A129" s="1190"/>
      <c r="B129" s="2075" t="s">
        <v>2343</v>
      </c>
      <c r="C129" s="2076"/>
      <c r="D129" s="2076"/>
      <c r="E129" s="2076"/>
      <c r="F129" s="2076"/>
      <c r="G129" s="2076"/>
      <c r="H129" s="2076"/>
      <c r="I129" s="2077">
        <v>0</v>
      </c>
      <c r="J129" s="2077"/>
      <c r="K129" s="2077"/>
      <c r="L129" s="2077"/>
      <c r="M129" s="2077"/>
      <c r="N129" s="2077"/>
      <c r="O129" s="2113"/>
      <c r="P129" s="2113"/>
      <c r="Q129" s="2113"/>
      <c r="R129" s="2113"/>
      <c r="S129" s="2113"/>
      <c r="T129" s="2113"/>
      <c r="U129" s="2114"/>
      <c r="V129" s="1190"/>
      <c r="W129" s="1190"/>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194"/>
    </row>
    <row r="133" spans="1:57" ht="15.75" customHeight="1">
      <c r="A133" s="1190"/>
      <c r="B133" s="2107" t="s">
        <v>2358</v>
      </c>
      <c r="C133" s="2108"/>
      <c r="D133" s="2108"/>
      <c r="E133" s="2108"/>
      <c r="F133" s="2108"/>
      <c r="G133" s="2108"/>
      <c r="H133" s="2108"/>
      <c r="I133" s="2108"/>
      <c r="J133" s="2108"/>
      <c r="K133" s="2108"/>
      <c r="L133" s="2108"/>
      <c r="M133" s="2108"/>
      <c r="N133" s="2108"/>
      <c r="O133" s="2108"/>
      <c r="P133" s="2108"/>
      <c r="Q133" s="2108"/>
      <c r="R133" s="2108"/>
      <c r="S133" s="2108"/>
      <c r="T133" s="2108"/>
      <c r="U133" s="2109"/>
      <c r="V133" s="1190"/>
      <c r="W133" s="1190"/>
      <c r="X133" s="2050"/>
      <c r="Y133" s="2051"/>
      <c r="Z133" s="2051"/>
      <c r="AA133" s="2051"/>
      <c r="AB133" s="2051"/>
      <c r="AC133" s="2051"/>
      <c r="AD133" s="2051"/>
      <c r="AE133" s="2051"/>
      <c r="AF133" s="2051"/>
      <c r="AG133" s="2051"/>
      <c r="AH133" s="2051"/>
      <c r="AI133" s="2051"/>
      <c r="AJ133" s="2051"/>
      <c r="AK133" s="2051"/>
      <c r="AL133" s="2051"/>
      <c r="AM133" s="2051"/>
      <c r="AN133" s="2051"/>
      <c r="AO133" s="2051"/>
      <c r="AP133" s="2051"/>
      <c r="AQ133" s="2051"/>
      <c r="AR133" s="2051"/>
      <c r="AS133" s="2051"/>
      <c r="AT133" s="2051"/>
      <c r="AU133" s="2051"/>
      <c r="AV133" s="2051"/>
      <c r="AW133" s="2051"/>
      <c r="AX133" s="2051"/>
      <c r="AY133" s="2051"/>
      <c r="AZ133" s="2051"/>
      <c r="BA133" s="2051"/>
      <c r="BB133" s="2051"/>
      <c r="BC133" s="2051"/>
      <c r="BD133" s="2052"/>
      <c r="BE133" s="1194"/>
    </row>
    <row r="134" spans="1:57" ht="15.75" customHeight="1">
      <c r="A134" s="1190"/>
      <c r="B134" s="2047"/>
      <c r="C134" s="2048"/>
      <c r="D134" s="2048"/>
      <c r="E134" s="2048"/>
      <c r="F134" s="2048"/>
      <c r="G134" s="2048"/>
      <c r="H134" s="2048"/>
      <c r="I134" s="2085" t="s">
        <v>2346</v>
      </c>
      <c r="J134" s="2085"/>
      <c r="K134" s="2085"/>
      <c r="L134" s="2085"/>
      <c r="M134" s="2085"/>
      <c r="N134" s="2085"/>
      <c r="O134" s="2085"/>
      <c r="P134" s="2085" t="s">
        <v>2345</v>
      </c>
      <c r="Q134" s="2085"/>
      <c r="R134" s="2085"/>
      <c r="S134" s="2085"/>
      <c r="T134" s="2085"/>
      <c r="U134" s="2086"/>
      <c r="V134" s="1190"/>
      <c r="W134" s="1190"/>
      <c r="X134" s="2050"/>
      <c r="Y134" s="2051"/>
      <c r="Z134" s="2051"/>
      <c r="AA134" s="2051"/>
      <c r="AB134" s="2051"/>
      <c r="AC134" s="2051"/>
      <c r="AD134" s="2051"/>
      <c r="AE134" s="2051"/>
      <c r="AF134" s="2051"/>
      <c r="AG134" s="2051"/>
      <c r="AH134" s="2051"/>
      <c r="AI134" s="2051"/>
      <c r="AJ134" s="2051"/>
      <c r="AK134" s="2051"/>
      <c r="AL134" s="2051"/>
      <c r="AM134" s="2051"/>
      <c r="AN134" s="2051"/>
      <c r="AO134" s="2051"/>
      <c r="AP134" s="2051"/>
      <c r="AQ134" s="2051"/>
      <c r="AR134" s="2051"/>
      <c r="AS134" s="2051"/>
      <c r="AT134" s="2051"/>
      <c r="AU134" s="2051"/>
      <c r="AV134" s="2051"/>
      <c r="AW134" s="2051"/>
      <c r="AX134" s="2051"/>
      <c r="AY134" s="2051"/>
      <c r="AZ134" s="2051"/>
      <c r="BA134" s="2051"/>
      <c r="BB134" s="2051"/>
      <c r="BC134" s="2051"/>
      <c r="BD134" s="2052"/>
      <c r="BE134" s="1194"/>
    </row>
    <row r="135" spans="1:57" ht="15.75" customHeight="1">
      <c r="A135" s="1190"/>
      <c r="B135" s="2047"/>
      <c r="C135" s="2048"/>
      <c r="D135" s="2048"/>
      <c r="E135" s="2048"/>
      <c r="F135" s="2048"/>
      <c r="G135" s="2048"/>
      <c r="H135" s="2048"/>
      <c r="I135" s="2085"/>
      <c r="J135" s="2085"/>
      <c r="K135" s="2085"/>
      <c r="L135" s="2085"/>
      <c r="M135" s="2085"/>
      <c r="N135" s="2085"/>
      <c r="O135" s="2085"/>
      <c r="P135" s="2085"/>
      <c r="Q135" s="2085"/>
      <c r="R135" s="2085"/>
      <c r="S135" s="2085"/>
      <c r="T135" s="2085"/>
      <c r="U135" s="2086"/>
      <c r="V135" s="1190"/>
      <c r="W135" s="1190"/>
      <c r="X135" s="2050"/>
      <c r="Y135" s="2051"/>
      <c r="Z135" s="2051"/>
      <c r="AA135" s="2051"/>
      <c r="AB135" s="2051"/>
      <c r="AC135" s="2051"/>
      <c r="AD135" s="2051"/>
      <c r="AE135" s="2051"/>
      <c r="AF135" s="2051"/>
      <c r="AG135" s="2051"/>
      <c r="AH135" s="2051"/>
      <c r="AI135" s="2051"/>
      <c r="AJ135" s="2051"/>
      <c r="AK135" s="2051"/>
      <c r="AL135" s="2051"/>
      <c r="AM135" s="2051"/>
      <c r="AN135" s="2051"/>
      <c r="AO135" s="2051"/>
      <c r="AP135" s="2051"/>
      <c r="AQ135" s="2051"/>
      <c r="AR135" s="2051"/>
      <c r="AS135" s="2051"/>
      <c r="AT135" s="2051"/>
      <c r="AU135" s="2051"/>
      <c r="AV135" s="2051"/>
      <c r="AW135" s="2051"/>
      <c r="AX135" s="2051"/>
      <c r="AY135" s="2051"/>
      <c r="AZ135" s="2051"/>
      <c r="BA135" s="2051"/>
      <c r="BB135" s="2051"/>
      <c r="BC135" s="2051"/>
      <c r="BD135" s="2052"/>
      <c r="BE135" s="1194"/>
    </row>
    <row r="136" spans="1:57" ht="15.75" customHeight="1">
      <c r="A136" s="1190"/>
      <c r="B136" s="2081" t="s">
        <v>2344</v>
      </c>
      <c r="C136" s="2082"/>
      <c r="D136" s="2082"/>
      <c r="E136" s="2082"/>
      <c r="F136" s="2082"/>
      <c r="G136" s="2082"/>
      <c r="H136" s="2082"/>
      <c r="I136" s="2083">
        <v>0</v>
      </c>
      <c r="J136" s="2083"/>
      <c r="K136" s="2083"/>
      <c r="L136" s="2083"/>
      <c r="M136" s="2083"/>
      <c r="N136" s="2083"/>
      <c r="O136" s="2083"/>
      <c r="P136" s="2083">
        <v>0</v>
      </c>
      <c r="Q136" s="2083"/>
      <c r="R136" s="2083"/>
      <c r="S136" s="2083"/>
      <c r="T136" s="2083"/>
      <c r="U136" s="2084"/>
      <c r="V136" s="1190"/>
      <c r="W136" s="1190"/>
      <c r="X136" s="2050"/>
      <c r="Y136" s="2051"/>
      <c r="Z136" s="2051"/>
      <c r="AA136" s="2051"/>
      <c r="AB136" s="2051"/>
      <c r="AC136" s="2051"/>
      <c r="AD136" s="2051"/>
      <c r="AE136" s="2051"/>
      <c r="AF136" s="2051"/>
      <c r="AG136" s="2051"/>
      <c r="AH136" s="2051"/>
      <c r="AI136" s="2051"/>
      <c r="AJ136" s="2051"/>
      <c r="AK136" s="2051"/>
      <c r="AL136" s="2051"/>
      <c r="AM136" s="2051"/>
      <c r="AN136" s="2051"/>
      <c r="AO136" s="2051"/>
      <c r="AP136" s="2051"/>
      <c r="AQ136" s="2051"/>
      <c r="AR136" s="2051"/>
      <c r="AS136" s="2051"/>
      <c r="AT136" s="2051"/>
      <c r="AU136" s="2051"/>
      <c r="AV136" s="2051"/>
      <c r="AW136" s="2051"/>
      <c r="AX136" s="2051"/>
      <c r="AY136" s="2051"/>
      <c r="AZ136" s="2051"/>
      <c r="BA136" s="2051"/>
      <c r="BB136" s="2051"/>
      <c r="BC136" s="2051"/>
      <c r="BD136" s="2052"/>
      <c r="BE136" s="1194"/>
    </row>
    <row r="137" spans="1:57" ht="15.75" customHeight="1" thickBot="1">
      <c r="A137" s="1190"/>
      <c r="B137" s="2075" t="s">
        <v>2343</v>
      </c>
      <c r="C137" s="2076"/>
      <c r="D137" s="2076"/>
      <c r="E137" s="2076"/>
      <c r="F137" s="2076"/>
      <c r="G137" s="2076"/>
      <c r="H137" s="2076"/>
      <c r="I137" s="2077">
        <v>0</v>
      </c>
      <c r="J137" s="2077"/>
      <c r="K137" s="2077"/>
      <c r="L137" s="2077"/>
      <c r="M137" s="2077"/>
      <c r="N137" s="2077"/>
      <c r="O137" s="2077"/>
      <c r="P137" s="2077">
        <v>0</v>
      </c>
      <c r="Q137" s="2077"/>
      <c r="R137" s="2077"/>
      <c r="S137" s="2077"/>
      <c r="T137" s="2077"/>
      <c r="U137" s="2078"/>
      <c r="V137" s="1190"/>
      <c r="W137" s="1190"/>
      <c r="X137" s="2053"/>
      <c r="Y137" s="2054"/>
      <c r="Z137" s="2054"/>
      <c r="AA137" s="2054"/>
      <c r="AB137" s="2054"/>
      <c r="AC137" s="2054"/>
      <c r="AD137" s="2054"/>
      <c r="AE137" s="2054"/>
      <c r="AF137" s="2054"/>
      <c r="AG137" s="2054"/>
      <c r="AH137" s="2054"/>
      <c r="AI137" s="2054"/>
      <c r="AJ137" s="2054"/>
      <c r="AK137" s="2054"/>
      <c r="AL137" s="2054"/>
      <c r="AM137" s="2054"/>
      <c r="AN137" s="2054"/>
      <c r="AO137" s="2054"/>
      <c r="AP137" s="2054"/>
      <c r="AQ137" s="2054"/>
      <c r="AR137" s="2054"/>
      <c r="AS137" s="2054"/>
      <c r="AT137" s="2054"/>
      <c r="AU137" s="2054"/>
      <c r="AV137" s="2054"/>
      <c r="AW137" s="2054"/>
      <c r="AX137" s="2054"/>
      <c r="AY137" s="2054"/>
      <c r="AZ137" s="2054"/>
      <c r="BA137" s="2054"/>
      <c r="BB137" s="2054"/>
      <c r="BC137" s="2054"/>
      <c r="BD137" s="205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2" t="s">
        <v>2357</v>
      </c>
      <c r="C139" s="2103"/>
      <c r="D139" s="2103"/>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3"/>
      <c r="AB139" s="2103"/>
      <c r="AC139" s="2103"/>
      <c r="AD139" s="2103"/>
      <c r="AE139" s="2103"/>
      <c r="AF139" s="2103"/>
      <c r="AG139" s="2103"/>
      <c r="AH139" s="2090" t="s">
        <v>545</v>
      </c>
      <c r="AI139" s="2090"/>
      <c r="AJ139" s="2090"/>
      <c r="AK139" s="2090"/>
      <c r="AL139" s="2090"/>
      <c r="AM139" s="2090"/>
      <c r="AN139" s="2090"/>
      <c r="AO139" s="2090"/>
      <c r="AP139" s="2090"/>
      <c r="AQ139" s="2090"/>
      <c r="AR139" s="2090"/>
      <c r="AS139" s="2090"/>
      <c r="AT139" s="2090"/>
      <c r="AU139" s="2090"/>
      <c r="AV139" s="2090"/>
      <c r="AW139" s="2090"/>
      <c r="AX139" s="2091"/>
      <c r="AY139" s="1190"/>
      <c r="AZ139" s="1190"/>
      <c r="BA139" s="1190"/>
      <c r="BB139" s="1190"/>
      <c r="BC139" s="1190"/>
      <c r="BD139" s="1190"/>
      <c r="BE139" s="1194"/>
    </row>
    <row r="140" spans="1:57" ht="15.75" customHeight="1" thickBot="1">
      <c r="A140" s="1190"/>
      <c r="B140" s="2087" t="s">
        <v>2356</v>
      </c>
      <c r="C140" s="2088"/>
      <c r="D140" s="2088"/>
      <c r="E140" s="2088"/>
      <c r="F140" s="2088"/>
      <c r="G140" s="2088"/>
      <c r="H140" s="2088"/>
      <c r="I140" s="2088"/>
      <c r="J140" s="2088"/>
      <c r="K140" s="2088"/>
      <c r="L140" s="2088"/>
      <c r="M140" s="2088"/>
      <c r="N140" s="2088"/>
      <c r="O140" s="2088"/>
      <c r="P140" s="2088"/>
      <c r="Q140" s="2088"/>
      <c r="R140" s="2088"/>
      <c r="S140" s="2088"/>
      <c r="T140" s="2088"/>
      <c r="U140" s="2088"/>
      <c r="V140" s="2088"/>
      <c r="W140" s="2088"/>
      <c r="X140" s="2088"/>
      <c r="Y140" s="2088"/>
      <c r="Z140" s="2088"/>
      <c r="AA140" s="2088"/>
      <c r="AB140" s="2088"/>
      <c r="AC140" s="2088"/>
      <c r="AD140" s="2088"/>
      <c r="AE140" s="2088"/>
      <c r="AF140" s="2088"/>
      <c r="AG140" s="208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087" t="s">
        <v>2355</v>
      </c>
      <c r="C141" s="2088"/>
      <c r="D141" s="2088"/>
      <c r="E141" s="2088"/>
      <c r="F141" s="2088"/>
      <c r="G141" s="2088"/>
      <c r="H141" s="2088"/>
      <c r="I141" s="2088"/>
      <c r="J141" s="2088"/>
      <c r="K141" s="2088"/>
      <c r="L141" s="2088"/>
      <c r="M141" s="2088"/>
      <c r="N141" s="2088"/>
      <c r="O141" s="2088"/>
      <c r="P141" s="2088"/>
      <c r="Q141" s="2088"/>
      <c r="R141" s="2088"/>
      <c r="S141" s="2088"/>
      <c r="T141" s="2088"/>
      <c r="U141" s="2088"/>
      <c r="V141" s="2088"/>
      <c r="W141" s="2088"/>
      <c r="X141" s="2088"/>
      <c r="Y141" s="2088"/>
      <c r="Z141" s="2088"/>
      <c r="AA141" s="2088"/>
      <c r="AB141" s="2088"/>
      <c r="AC141" s="2088"/>
      <c r="AD141" s="2088"/>
      <c r="AE141" s="2088"/>
      <c r="AF141" s="2088"/>
      <c r="AG141" s="2089"/>
      <c r="AH141" s="2090" t="s">
        <v>545</v>
      </c>
      <c r="AI141" s="2090"/>
      <c r="AJ141" s="2090"/>
      <c r="AK141" s="2090"/>
      <c r="AL141" s="2090"/>
      <c r="AM141" s="2090"/>
      <c r="AN141" s="2090"/>
      <c r="AO141" s="2090"/>
      <c r="AP141" s="2090"/>
      <c r="AQ141" s="2090"/>
      <c r="AR141" s="2090"/>
      <c r="AS141" s="2090"/>
      <c r="AT141" s="2090"/>
      <c r="AU141" s="2090"/>
      <c r="AV141" s="2090"/>
      <c r="AW141" s="2090"/>
      <c r="AX141" s="2091"/>
      <c r="AY141" s="1190"/>
      <c r="AZ141" s="1190"/>
      <c r="BA141" s="1190"/>
      <c r="BB141" s="1190"/>
      <c r="BC141" s="1190"/>
      <c r="BD141" s="1190"/>
      <c r="BE141" s="1194"/>
    </row>
    <row r="142" spans="1:57" ht="15.75" customHeight="1">
      <c r="A142" s="1190"/>
      <c r="B142" s="2092" t="s">
        <v>2354</v>
      </c>
      <c r="C142" s="2093"/>
      <c r="D142" s="2093"/>
      <c r="E142" s="2093"/>
      <c r="F142" s="2093"/>
      <c r="G142" s="2093"/>
      <c r="H142" s="2093"/>
      <c r="I142" s="2093"/>
      <c r="J142" s="2093"/>
      <c r="K142" s="2093"/>
      <c r="L142" s="2093"/>
      <c r="M142" s="2093"/>
      <c r="N142" s="2093"/>
      <c r="O142" s="2093"/>
      <c r="P142" s="2093"/>
      <c r="Q142" s="2093"/>
      <c r="R142" s="2094" t="s">
        <v>2353</v>
      </c>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190"/>
      <c r="AZ142" s="1190"/>
      <c r="BA142" s="1190"/>
      <c r="BB142" s="1190"/>
      <c r="BC142" s="1190" t="s">
        <v>250</v>
      </c>
      <c r="BD142" s="1190"/>
      <c r="BE142" s="1194"/>
    </row>
    <row r="143" spans="1:57" ht="15.75" customHeight="1">
      <c r="A143" s="1190"/>
      <c r="B143" s="2096" t="s">
        <v>2352</v>
      </c>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190"/>
      <c r="AZ143" s="1190"/>
      <c r="BA143" s="1190"/>
      <c r="BB143" s="1190"/>
      <c r="BC143" s="1190"/>
      <c r="BD143" s="1190"/>
      <c r="BE143" s="1194"/>
    </row>
    <row r="144" spans="1:57" ht="15.75" customHeight="1">
      <c r="A144" s="1190"/>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190"/>
      <c r="AZ144" s="1190"/>
      <c r="BA144" s="1190"/>
      <c r="BB144" s="1190"/>
      <c r="BC144" s="1190"/>
      <c r="BD144" s="1190"/>
      <c r="BE144" s="1194"/>
    </row>
    <row r="145" spans="1:57" ht="15.75" customHeight="1">
      <c r="A145" s="1190"/>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190"/>
      <c r="AZ145" s="1190"/>
      <c r="BA145" s="1190"/>
      <c r="BB145" s="1190"/>
      <c r="BC145" s="1190"/>
      <c r="BD145" s="1190"/>
      <c r="BE145" s="1194"/>
    </row>
    <row r="146" spans="1:57" ht="15.75" customHeight="1">
      <c r="A146" s="1190"/>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190"/>
      <c r="AZ146" s="1190"/>
      <c r="BA146" s="1190"/>
      <c r="BB146" s="1190"/>
      <c r="BC146" s="1190"/>
      <c r="BD146" s="1190"/>
      <c r="BE146" s="1194"/>
    </row>
    <row r="147" spans="1:57" ht="15.75" customHeight="1">
      <c r="A147" s="1190"/>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190"/>
      <c r="AZ147" s="1190"/>
      <c r="BA147" s="1190"/>
      <c r="BB147" s="1190"/>
      <c r="BC147" s="1190"/>
      <c r="BD147" s="1190"/>
      <c r="BE147" s="1194"/>
    </row>
    <row r="148" spans="1:57" ht="15.75" customHeight="1">
      <c r="A148" s="1190"/>
      <c r="B148" s="2096"/>
      <c r="C148" s="2097"/>
      <c r="D148" s="2097"/>
      <c r="E148" s="2097"/>
      <c r="F148" s="2097"/>
      <c r="G148" s="2097"/>
      <c r="H148" s="2097"/>
      <c r="I148" s="2097"/>
      <c r="J148" s="2097"/>
      <c r="K148" s="2097"/>
      <c r="L148" s="2097"/>
      <c r="M148" s="2097"/>
      <c r="N148" s="2097"/>
      <c r="O148" s="2097"/>
      <c r="P148" s="2097"/>
      <c r="Q148" s="2097"/>
      <c r="R148" s="2097"/>
      <c r="S148" s="2097"/>
      <c r="T148" s="2097"/>
      <c r="U148" s="2097"/>
      <c r="V148" s="2097"/>
      <c r="W148" s="2097"/>
      <c r="X148" s="2097"/>
      <c r="Y148" s="2097"/>
      <c r="Z148" s="2097"/>
      <c r="AA148" s="2097"/>
      <c r="AB148" s="2097"/>
      <c r="AC148" s="2097"/>
      <c r="AD148" s="2097"/>
      <c r="AE148" s="2097"/>
      <c r="AF148" s="2097"/>
      <c r="AG148" s="2097"/>
      <c r="AH148" s="2097"/>
      <c r="AI148" s="2097"/>
      <c r="AJ148" s="2097"/>
      <c r="AK148" s="2097"/>
      <c r="AL148" s="2097"/>
      <c r="AM148" s="2097"/>
      <c r="AN148" s="2097"/>
      <c r="AO148" s="2097"/>
      <c r="AP148" s="2097"/>
      <c r="AQ148" s="2097"/>
      <c r="AR148" s="2097"/>
      <c r="AS148" s="2097"/>
      <c r="AT148" s="2097"/>
      <c r="AU148" s="2097"/>
      <c r="AV148" s="2097"/>
      <c r="AW148" s="2097"/>
      <c r="AX148" s="2098"/>
      <c r="AY148" s="1190"/>
      <c r="AZ148" s="1190"/>
      <c r="BA148" s="1190"/>
      <c r="BB148" s="1190"/>
      <c r="BC148" s="1190"/>
      <c r="BD148" s="1190"/>
      <c r="BE148" s="1194"/>
    </row>
    <row r="149" spans="1:57" ht="15.75" customHeight="1">
      <c r="A149" s="1190"/>
      <c r="B149" s="2096"/>
      <c r="C149" s="2097"/>
      <c r="D149" s="2097"/>
      <c r="E149" s="2097"/>
      <c r="F149" s="2097"/>
      <c r="G149" s="2097"/>
      <c r="H149" s="2097"/>
      <c r="I149" s="2097"/>
      <c r="J149" s="2097"/>
      <c r="K149" s="2097"/>
      <c r="L149" s="2097"/>
      <c r="M149" s="2097"/>
      <c r="N149" s="2097"/>
      <c r="O149" s="2097"/>
      <c r="P149" s="2097"/>
      <c r="Q149" s="2097"/>
      <c r="R149" s="2097"/>
      <c r="S149" s="2097"/>
      <c r="T149" s="2097"/>
      <c r="U149" s="2097"/>
      <c r="V149" s="2097"/>
      <c r="W149" s="2097"/>
      <c r="X149" s="2097"/>
      <c r="Y149" s="2097"/>
      <c r="Z149" s="2097"/>
      <c r="AA149" s="2097"/>
      <c r="AB149" s="2097"/>
      <c r="AC149" s="2097"/>
      <c r="AD149" s="2097"/>
      <c r="AE149" s="2097"/>
      <c r="AF149" s="2097"/>
      <c r="AG149" s="2097"/>
      <c r="AH149" s="2097"/>
      <c r="AI149" s="2097"/>
      <c r="AJ149" s="2097"/>
      <c r="AK149" s="2097"/>
      <c r="AL149" s="2097"/>
      <c r="AM149" s="2097"/>
      <c r="AN149" s="2097"/>
      <c r="AO149" s="2097"/>
      <c r="AP149" s="2097"/>
      <c r="AQ149" s="2097"/>
      <c r="AR149" s="2097"/>
      <c r="AS149" s="2097"/>
      <c r="AT149" s="2097"/>
      <c r="AU149" s="2097"/>
      <c r="AV149" s="2097"/>
      <c r="AW149" s="2097"/>
      <c r="AX149" s="2098"/>
      <c r="AY149" s="1190"/>
      <c r="AZ149" s="1190"/>
      <c r="BA149" s="1190"/>
      <c r="BB149" s="1190"/>
      <c r="BC149" s="1190"/>
      <c r="BD149" s="1190"/>
      <c r="BE149" s="1194"/>
    </row>
    <row r="150" spans="1:57" ht="15.75" customHeight="1">
      <c r="A150" s="1190"/>
      <c r="B150" s="2096"/>
      <c r="C150" s="2097"/>
      <c r="D150" s="2097"/>
      <c r="E150" s="2097"/>
      <c r="F150" s="2097"/>
      <c r="G150" s="2097"/>
      <c r="H150" s="2097"/>
      <c r="I150" s="2097"/>
      <c r="J150" s="2097"/>
      <c r="K150" s="2097"/>
      <c r="L150" s="2097"/>
      <c r="M150" s="2097"/>
      <c r="N150" s="2097"/>
      <c r="O150" s="2097"/>
      <c r="P150" s="2097"/>
      <c r="Q150" s="2097"/>
      <c r="R150" s="2097"/>
      <c r="S150" s="2097"/>
      <c r="T150" s="2097"/>
      <c r="U150" s="2097"/>
      <c r="V150" s="2097"/>
      <c r="W150" s="2097"/>
      <c r="X150" s="2097"/>
      <c r="Y150" s="2097"/>
      <c r="Z150" s="2097"/>
      <c r="AA150" s="2097"/>
      <c r="AB150" s="2097"/>
      <c r="AC150" s="2097"/>
      <c r="AD150" s="2097"/>
      <c r="AE150" s="2097"/>
      <c r="AF150" s="2097"/>
      <c r="AG150" s="2097"/>
      <c r="AH150" s="2097"/>
      <c r="AI150" s="2097"/>
      <c r="AJ150" s="2097"/>
      <c r="AK150" s="2097"/>
      <c r="AL150" s="2097"/>
      <c r="AM150" s="2097"/>
      <c r="AN150" s="2097"/>
      <c r="AO150" s="2097"/>
      <c r="AP150" s="2097"/>
      <c r="AQ150" s="2097"/>
      <c r="AR150" s="2097"/>
      <c r="AS150" s="2097"/>
      <c r="AT150" s="2097"/>
      <c r="AU150" s="2097"/>
      <c r="AV150" s="2097"/>
      <c r="AW150" s="2097"/>
      <c r="AX150" s="2098"/>
      <c r="AY150" s="1190"/>
      <c r="AZ150" s="1190"/>
      <c r="BA150" s="1190"/>
      <c r="BB150" s="1190"/>
      <c r="BC150" s="1190"/>
      <c r="BD150" s="1190"/>
      <c r="BE150" s="1194"/>
    </row>
    <row r="151" spans="1:57" ht="15.75" customHeight="1">
      <c r="A151" s="1190"/>
      <c r="B151" s="2096"/>
      <c r="C151" s="2097"/>
      <c r="D151" s="2097"/>
      <c r="E151" s="2097"/>
      <c r="F151" s="2097"/>
      <c r="G151" s="2097"/>
      <c r="H151" s="2097"/>
      <c r="I151" s="2097"/>
      <c r="J151" s="2097"/>
      <c r="K151" s="2097"/>
      <c r="L151" s="2097"/>
      <c r="M151" s="2097"/>
      <c r="N151" s="2097"/>
      <c r="O151" s="2097"/>
      <c r="P151" s="2097"/>
      <c r="Q151" s="2097"/>
      <c r="R151" s="2097"/>
      <c r="S151" s="2097"/>
      <c r="T151" s="2097"/>
      <c r="U151" s="2097"/>
      <c r="V151" s="2097"/>
      <c r="W151" s="2097"/>
      <c r="X151" s="2097"/>
      <c r="Y151" s="2097"/>
      <c r="Z151" s="2097"/>
      <c r="AA151" s="2097"/>
      <c r="AB151" s="2097"/>
      <c r="AC151" s="2097"/>
      <c r="AD151" s="2097"/>
      <c r="AE151" s="2097"/>
      <c r="AF151" s="2097"/>
      <c r="AG151" s="2097"/>
      <c r="AH151" s="2097"/>
      <c r="AI151" s="2097"/>
      <c r="AJ151" s="2097"/>
      <c r="AK151" s="2097"/>
      <c r="AL151" s="2097"/>
      <c r="AM151" s="2097"/>
      <c r="AN151" s="2097"/>
      <c r="AO151" s="2097"/>
      <c r="AP151" s="2097"/>
      <c r="AQ151" s="2097"/>
      <c r="AR151" s="2097"/>
      <c r="AS151" s="2097"/>
      <c r="AT151" s="2097"/>
      <c r="AU151" s="2097"/>
      <c r="AV151" s="2097"/>
      <c r="AW151" s="2097"/>
      <c r="AX151" s="2098"/>
      <c r="AY151" s="1190"/>
      <c r="AZ151" s="1190"/>
      <c r="BA151" s="1190"/>
      <c r="BB151" s="1190"/>
      <c r="BC151" s="1190"/>
      <c r="BD151" s="1190"/>
      <c r="BE151" s="1194"/>
    </row>
    <row r="152" spans="1:57" ht="15.75" customHeight="1" thickBot="1">
      <c r="A152" s="1190"/>
      <c r="B152" s="2099"/>
      <c r="C152" s="2100"/>
      <c r="D152" s="2100"/>
      <c r="E152" s="2100"/>
      <c r="F152" s="2100"/>
      <c r="G152" s="2100"/>
      <c r="H152" s="2100"/>
      <c r="I152" s="2100"/>
      <c r="J152" s="2100"/>
      <c r="K152" s="2100"/>
      <c r="L152" s="2100"/>
      <c r="M152" s="2100"/>
      <c r="N152" s="2100"/>
      <c r="O152" s="2100"/>
      <c r="P152" s="2100"/>
      <c r="Q152" s="2100"/>
      <c r="R152" s="2100"/>
      <c r="S152" s="2100"/>
      <c r="T152" s="2100"/>
      <c r="U152" s="2100"/>
      <c r="V152" s="2100"/>
      <c r="W152" s="2100"/>
      <c r="X152" s="2100"/>
      <c r="Y152" s="2100"/>
      <c r="Z152" s="2100"/>
      <c r="AA152" s="2100"/>
      <c r="AB152" s="2100"/>
      <c r="AC152" s="2100"/>
      <c r="AD152" s="2100"/>
      <c r="AE152" s="2100"/>
      <c r="AF152" s="2100"/>
      <c r="AG152" s="2100"/>
      <c r="AH152" s="2100"/>
      <c r="AI152" s="2100"/>
      <c r="AJ152" s="2100"/>
      <c r="AK152" s="2100"/>
      <c r="AL152" s="2100"/>
      <c r="AM152" s="2100"/>
      <c r="AN152" s="2100"/>
      <c r="AO152" s="2100"/>
      <c r="AP152" s="2100"/>
      <c r="AQ152" s="2100"/>
      <c r="AR152" s="2100"/>
      <c r="AS152" s="2100"/>
      <c r="AT152" s="2100"/>
      <c r="AU152" s="2100"/>
      <c r="AV152" s="2100"/>
      <c r="AW152" s="2100"/>
      <c r="AX152" s="210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9" t="s">
        <v>2349</v>
      </c>
      <c r="C156" s="2035"/>
      <c r="D156" s="2035"/>
      <c r="E156" s="2035"/>
      <c r="F156" s="2035"/>
      <c r="G156" s="2035"/>
      <c r="H156" s="2035"/>
      <c r="I156" s="2035"/>
      <c r="J156" s="2035"/>
      <c r="K156" s="2035"/>
      <c r="L156" s="2035"/>
      <c r="M156" s="2035"/>
      <c r="N156" s="2035"/>
      <c r="O156" s="2035"/>
      <c r="P156" s="2035"/>
      <c r="Q156" s="2035"/>
      <c r="R156" s="2035"/>
      <c r="S156" s="2035"/>
      <c r="T156" s="2035"/>
      <c r="U156" s="2036"/>
      <c r="V156" s="1190"/>
      <c r="W156" s="1192"/>
      <c r="X156" s="2079" t="s">
        <v>2348</v>
      </c>
      <c r="Y156" s="2035"/>
      <c r="Z156" s="2035"/>
      <c r="AA156" s="2035"/>
      <c r="AB156" s="2035"/>
      <c r="AC156" s="2035"/>
      <c r="AD156" s="2035"/>
      <c r="AE156" s="2035"/>
      <c r="AF156" s="2035"/>
      <c r="AG156" s="2035"/>
      <c r="AH156" s="2035"/>
      <c r="AI156" s="2035"/>
      <c r="AJ156" s="2035"/>
      <c r="AK156" s="2035"/>
      <c r="AL156" s="2035"/>
      <c r="AM156" s="2035"/>
      <c r="AN156" s="2035"/>
      <c r="AO156" s="2035"/>
      <c r="AP156" s="2035"/>
      <c r="AQ156" s="203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7"/>
      <c r="C157" s="2048"/>
      <c r="D157" s="2048"/>
      <c r="E157" s="2048"/>
      <c r="F157" s="2048"/>
      <c r="G157" s="2048"/>
      <c r="H157" s="2048"/>
      <c r="I157" s="2085" t="s">
        <v>2346</v>
      </c>
      <c r="J157" s="2085"/>
      <c r="K157" s="2085"/>
      <c r="L157" s="2085"/>
      <c r="M157" s="2085"/>
      <c r="N157" s="2085"/>
      <c r="O157" s="2085"/>
      <c r="P157" s="2085" t="s">
        <v>2347</v>
      </c>
      <c r="Q157" s="2085"/>
      <c r="R157" s="2085"/>
      <c r="S157" s="2085"/>
      <c r="T157" s="2085"/>
      <c r="U157" s="2086"/>
      <c r="V157" s="1190"/>
      <c r="W157" s="1190"/>
      <c r="X157" s="2047"/>
      <c r="Y157" s="2048"/>
      <c r="Z157" s="2048"/>
      <c r="AA157" s="2048"/>
      <c r="AB157" s="2048"/>
      <c r="AC157" s="2048"/>
      <c r="AD157" s="2048"/>
      <c r="AE157" s="2085" t="s">
        <v>2346</v>
      </c>
      <c r="AF157" s="2085"/>
      <c r="AG157" s="2085"/>
      <c r="AH157" s="2085"/>
      <c r="AI157" s="2085"/>
      <c r="AJ157" s="2085"/>
      <c r="AK157" s="2085"/>
      <c r="AL157" s="2085" t="s">
        <v>2345</v>
      </c>
      <c r="AM157" s="2085"/>
      <c r="AN157" s="2085"/>
      <c r="AO157" s="2085"/>
      <c r="AP157" s="2085"/>
      <c r="AQ157" s="208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7"/>
      <c r="C158" s="2048"/>
      <c r="D158" s="2048"/>
      <c r="E158" s="2048"/>
      <c r="F158" s="2048"/>
      <c r="G158" s="2048"/>
      <c r="H158" s="2048"/>
      <c r="I158" s="2085"/>
      <c r="J158" s="2085"/>
      <c r="K158" s="2085"/>
      <c r="L158" s="2085"/>
      <c r="M158" s="2085"/>
      <c r="N158" s="2085"/>
      <c r="O158" s="2085"/>
      <c r="P158" s="2085"/>
      <c r="Q158" s="2085"/>
      <c r="R158" s="2085"/>
      <c r="S158" s="2085"/>
      <c r="T158" s="2085"/>
      <c r="U158" s="2086"/>
      <c r="V158" s="1190"/>
      <c r="W158" s="1190"/>
      <c r="X158" s="2047"/>
      <c r="Y158" s="2048"/>
      <c r="Z158" s="2048"/>
      <c r="AA158" s="2048"/>
      <c r="AB158" s="2048"/>
      <c r="AC158" s="2048"/>
      <c r="AD158" s="2048"/>
      <c r="AE158" s="2085"/>
      <c r="AF158" s="2085"/>
      <c r="AG158" s="2085"/>
      <c r="AH158" s="2085"/>
      <c r="AI158" s="2085"/>
      <c r="AJ158" s="2085"/>
      <c r="AK158" s="2085"/>
      <c r="AL158" s="2085"/>
      <c r="AM158" s="2085"/>
      <c r="AN158" s="2085"/>
      <c r="AO158" s="2085"/>
      <c r="AP158" s="2085"/>
      <c r="AQ158" s="208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1" t="s">
        <v>2344</v>
      </c>
      <c r="C159" s="2082"/>
      <c r="D159" s="2082"/>
      <c r="E159" s="2082"/>
      <c r="F159" s="2082"/>
      <c r="G159" s="2082"/>
      <c r="H159" s="2082"/>
      <c r="I159" s="2083">
        <v>0</v>
      </c>
      <c r="J159" s="2083"/>
      <c r="K159" s="2083"/>
      <c r="L159" s="2083"/>
      <c r="M159" s="2083"/>
      <c r="N159" s="2083"/>
      <c r="O159" s="2083"/>
      <c r="P159" s="2083">
        <v>0</v>
      </c>
      <c r="Q159" s="2083"/>
      <c r="R159" s="2083"/>
      <c r="S159" s="2083"/>
      <c r="T159" s="2083"/>
      <c r="U159" s="2084"/>
      <c r="V159" s="1190"/>
      <c r="W159" s="1190"/>
      <c r="X159" s="2075" t="s">
        <v>2344</v>
      </c>
      <c r="Y159" s="2076"/>
      <c r="Z159" s="2076"/>
      <c r="AA159" s="2076"/>
      <c r="AB159" s="2076"/>
      <c r="AC159" s="2076"/>
      <c r="AD159" s="2076"/>
      <c r="AE159" s="2077">
        <v>0</v>
      </c>
      <c r="AF159" s="2077"/>
      <c r="AG159" s="2077"/>
      <c r="AH159" s="2077"/>
      <c r="AI159" s="2077"/>
      <c r="AJ159" s="2077"/>
      <c r="AK159" s="2077"/>
      <c r="AL159" s="2077">
        <v>0</v>
      </c>
      <c r="AM159" s="2077"/>
      <c r="AN159" s="2077"/>
      <c r="AO159" s="2077"/>
      <c r="AP159" s="2077"/>
      <c r="AQ159" s="207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5" t="s">
        <v>2343</v>
      </c>
      <c r="C160" s="2076"/>
      <c r="D160" s="2076"/>
      <c r="E160" s="2076"/>
      <c r="F160" s="2076"/>
      <c r="G160" s="2076"/>
      <c r="H160" s="2076"/>
      <c r="I160" s="2077">
        <v>0</v>
      </c>
      <c r="J160" s="2077"/>
      <c r="K160" s="2077"/>
      <c r="L160" s="2077"/>
      <c r="M160" s="2077"/>
      <c r="N160" s="2077"/>
      <c r="O160" s="2077"/>
      <c r="P160" s="2077">
        <v>0</v>
      </c>
      <c r="Q160" s="2077"/>
      <c r="R160" s="2077"/>
      <c r="S160" s="2077"/>
      <c r="T160" s="2077"/>
      <c r="U160" s="207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9" t="s">
        <v>2342</v>
      </c>
      <c r="D162" s="2035"/>
      <c r="E162" s="2035"/>
      <c r="F162" s="2035"/>
      <c r="G162" s="2035"/>
      <c r="H162" s="2035"/>
      <c r="I162" s="2035"/>
      <c r="J162" s="2035"/>
      <c r="K162" s="2035"/>
      <c r="L162" s="2035"/>
      <c r="M162" s="2035"/>
      <c r="N162" s="2035"/>
      <c r="O162" s="2035"/>
      <c r="P162" s="2035"/>
      <c r="Q162" s="2035"/>
      <c r="R162" s="2035"/>
      <c r="S162" s="2035"/>
      <c r="T162" s="2035"/>
      <c r="U162" s="2035"/>
      <c r="V162" s="2035"/>
      <c r="W162" s="2035"/>
      <c r="X162" s="2035"/>
      <c r="Y162" s="2035"/>
      <c r="Z162" s="2035"/>
      <c r="AA162" s="2035"/>
      <c r="AB162" s="2035"/>
      <c r="AC162" s="2035"/>
      <c r="AD162" s="2035"/>
      <c r="AE162" s="2035"/>
      <c r="AF162" s="2035"/>
      <c r="AG162" s="203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7" t="s">
        <v>2327</v>
      </c>
      <c r="D163" s="2048"/>
      <c r="E163" s="2048"/>
      <c r="F163" s="2048"/>
      <c r="G163" s="2048"/>
      <c r="H163" s="2048"/>
      <c r="I163" s="2048"/>
      <c r="J163" s="2048"/>
      <c r="K163" s="2048"/>
      <c r="L163" s="2048"/>
      <c r="M163" s="2048"/>
      <c r="N163" s="2048"/>
      <c r="O163" s="2048"/>
      <c r="P163" s="2048"/>
      <c r="Q163" s="2048" t="s">
        <v>2341</v>
      </c>
      <c r="R163" s="2048"/>
      <c r="S163" s="2048"/>
      <c r="T163" s="2080" t="s">
        <v>2340</v>
      </c>
      <c r="U163" s="2080"/>
      <c r="V163" s="2080"/>
      <c r="W163" s="2080"/>
      <c r="X163" s="2080"/>
      <c r="Y163" s="2080"/>
      <c r="Z163" s="2080"/>
      <c r="AA163" s="2080"/>
      <c r="AB163" s="2048" t="s">
        <v>2339</v>
      </c>
      <c r="AC163" s="2048"/>
      <c r="AD163" s="2048"/>
      <c r="AE163" s="2048"/>
      <c r="AF163" s="2048"/>
      <c r="AG163" s="204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2" t="s">
        <v>2338</v>
      </c>
      <c r="D164" s="2063"/>
      <c r="E164" s="2063"/>
      <c r="F164" s="2063"/>
      <c r="G164" s="2063"/>
      <c r="H164" s="2063"/>
      <c r="I164" s="2063"/>
      <c r="J164" s="2063"/>
      <c r="K164" s="2063"/>
      <c r="L164" s="2063"/>
      <c r="M164" s="2063"/>
      <c r="N164" s="2063"/>
      <c r="O164" s="2063"/>
      <c r="P164" s="2063"/>
      <c r="Q164" s="2005">
        <v>55</v>
      </c>
      <c r="R164" s="2005"/>
      <c r="S164" s="2005"/>
      <c r="T164" s="2056"/>
      <c r="U164" s="2056"/>
      <c r="V164" s="2056"/>
      <c r="W164" s="2056"/>
      <c r="X164" s="2056"/>
      <c r="Y164" s="2056"/>
      <c r="Z164" s="2056"/>
      <c r="AA164" s="20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2" t="s">
        <v>2337</v>
      </c>
      <c r="D165" s="2063"/>
      <c r="E165" s="2063"/>
      <c r="F165" s="2063"/>
      <c r="G165" s="2063"/>
      <c r="H165" s="2063"/>
      <c r="I165" s="2063"/>
      <c r="J165" s="2063"/>
      <c r="K165" s="2063"/>
      <c r="L165" s="2063"/>
      <c r="M165" s="2063"/>
      <c r="N165" s="2063"/>
      <c r="O165" s="2063"/>
      <c r="P165" s="2063"/>
      <c r="Q165" s="2005">
        <v>55</v>
      </c>
      <c r="R165" s="2005"/>
      <c r="S165" s="2005"/>
      <c r="T165" s="2065"/>
      <c r="U165" s="2065"/>
      <c r="V165" s="2065"/>
      <c r="W165" s="2065"/>
      <c r="X165" s="2065"/>
      <c r="Y165" s="2065"/>
      <c r="Z165" s="2065"/>
      <c r="AA165" s="206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2" t="s">
        <v>2336</v>
      </c>
      <c r="D166" s="2063"/>
      <c r="E166" s="2063"/>
      <c r="F166" s="2063"/>
      <c r="G166" s="2063"/>
      <c r="H166" s="2063"/>
      <c r="I166" s="2063"/>
      <c r="J166" s="2063"/>
      <c r="K166" s="2063"/>
      <c r="L166" s="2063"/>
      <c r="M166" s="2063"/>
      <c r="N166" s="2063"/>
      <c r="O166" s="2063"/>
      <c r="P166" s="2063"/>
      <c r="Q166" s="2005">
        <v>55</v>
      </c>
      <c r="R166" s="2005"/>
      <c r="S166" s="2005"/>
      <c r="T166" s="2056"/>
      <c r="U166" s="2056"/>
      <c r="V166" s="2056"/>
      <c r="W166" s="2056"/>
      <c r="X166" s="2056"/>
      <c r="Y166" s="2056"/>
      <c r="Z166" s="2056"/>
      <c r="AA166" s="20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2" t="s">
        <v>2335</v>
      </c>
      <c r="D167" s="2063"/>
      <c r="E167" s="2063"/>
      <c r="F167" s="2063"/>
      <c r="G167" s="2063"/>
      <c r="H167" s="2063"/>
      <c r="I167" s="2063"/>
      <c r="J167" s="2063"/>
      <c r="K167" s="2063"/>
      <c r="L167" s="2063"/>
      <c r="M167" s="2063"/>
      <c r="N167" s="2063"/>
      <c r="O167" s="2063"/>
      <c r="P167" s="2063"/>
      <c r="Q167" s="2005">
        <v>55</v>
      </c>
      <c r="R167" s="2005"/>
      <c r="S167" s="2005"/>
      <c r="T167" s="2056"/>
      <c r="U167" s="2056"/>
      <c r="V167" s="2056"/>
      <c r="W167" s="2056"/>
      <c r="X167" s="2056"/>
      <c r="Y167" s="2056"/>
      <c r="Z167" s="2056"/>
      <c r="AA167" s="2056"/>
      <c r="AB167" s="2066">
        <v>0</v>
      </c>
      <c r="AC167" s="2066"/>
      <c r="AD167" s="2066"/>
      <c r="AE167" s="2066"/>
      <c r="AF167" s="2066"/>
      <c r="AG167" s="206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2" t="s">
        <v>170</v>
      </c>
      <c r="D168" s="2063"/>
      <c r="E168" s="2063"/>
      <c r="F168" s="2064" t="s">
        <v>2316</v>
      </c>
      <c r="G168" s="2064"/>
      <c r="H168" s="2064"/>
      <c r="I168" s="2064"/>
      <c r="J168" s="2064"/>
      <c r="K168" s="2064"/>
      <c r="L168" s="2064"/>
      <c r="M168" s="2064"/>
      <c r="N168" s="2064"/>
      <c r="O168" s="2064"/>
      <c r="P168" s="2064"/>
      <c r="Q168" s="2005">
        <v>55</v>
      </c>
      <c r="R168" s="2005"/>
      <c r="S168" s="2005"/>
      <c r="T168" s="2065"/>
      <c r="U168" s="2065"/>
      <c r="V168" s="2065"/>
      <c r="W168" s="2065"/>
      <c r="X168" s="2065"/>
      <c r="Y168" s="2065"/>
      <c r="Z168" s="2065"/>
      <c r="AA168" s="2065"/>
      <c r="AB168" s="2066">
        <v>0</v>
      </c>
      <c r="AC168" s="2066"/>
      <c r="AD168" s="2066"/>
      <c r="AE168" s="2066"/>
      <c r="AF168" s="2066"/>
      <c r="AG168" s="206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2" t="s">
        <v>170</v>
      </c>
      <c r="D169" s="2063"/>
      <c r="E169" s="2063"/>
      <c r="F169" s="2064" t="s">
        <v>2316</v>
      </c>
      <c r="G169" s="2064"/>
      <c r="H169" s="2064"/>
      <c r="I169" s="2064"/>
      <c r="J169" s="2064"/>
      <c r="K169" s="2064"/>
      <c r="L169" s="2064"/>
      <c r="M169" s="2064"/>
      <c r="N169" s="2064"/>
      <c r="O169" s="2064"/>
      <c r="P169" s="2064"/>
      <c r="Q169" s="2005">
        <v>55</v>
      </c>
      <c r="R169" s="2005"/>
      <c r="S169" s="2005"/>
      <c r="T169" s="2065"/>
      <c r="U169" s="2065"/>
      <c r="V169" s="2065"/>
      <c r="W169" s="2065"/>
      <c r="X169" s="2065"/>
      <c r="Y169" s="2065"/>
      <c r="Z169" s="2065"/>
      <c r="AA169" s="2065"/>
      <c r="AB169" s="2066">
        <v>0</v>
      </c>
      <c r="AC169" s="2066"/>
      <c r="AD169" s="2066"/>
      <c r="AE169" s="2066"/>
      <c r="AF169" s="2066"/>
      <c r="AG169" s="206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8" t="s">
        <v>170</v>
      </c>
      <c r="D170" s="2069"/>
      <c r="E170" s="2069"/>
      <c r="F170" s="2070" t="s">
        <v>2316</v>
      </c>
      <c r="G170" s="2070"/>
      <c r="H170" s="2070"/>
      <c r="I170" s="2070"/>
      <c r="J170" s="2070"/>
      <c r="K170" s="2070"/>
      <c r="L170" s="2070"/>
      <c r="M170" s="2070"/>
      <c r="N170" s="2070"/>
      <c r="O170" s="2070"/>
      <c r="P170" s="2070"/>
      <c r="Q170" s="2071">
        <v>55</v>
      </c>
      <c r="R170" s="2071"/>
      <c r="S170" s="2071"/>
      <c r="T170" s="2072"/>
      <c r="U170" s="2072"/>
      <c r="V170" s="2072"/>
      <c r="W170" s="2072"/>
      <c r="X170" s="2072"/>
      <c r="Y170" s="2072"/>
      <c r="Z170" s="2072"/>
      <c r="AA170" s="2072"/>
      <c r="AB170" s="2073">
        <v>0</v>
      </c>
      <c r="AC170" s="2073"/>
      <c r="AD170" s="2073"/>
      <c r="AE170" s="2073"/>
      <c r="AF170" s="2073"/>
      <c r="AG170" s="20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3" t="s">
        <v>2334</v>
      </c>
      <c r="D172" s="2034"/>
      <c r="E172" s="2034"/>
      <c r="F172" s="2034"/>
      <c r="G172" s="2034"/>
      <c r="H172" s="2034"/>
      <c r="I172" s="2034"/>
      <c r="J172" s="2034"/>
      <c r="K172" s="2034"/>
      <c r="L172" s="2034"/>
      <c r="M172" s="2034"/>
      <c r="N172" s="2043"/>
      <c r="O172" s="1190"/>
      <c r="P172" s="2044" t="s">
        <v>2333</v>
      </c>
      <c r="Q172" s="2045"/>
      <c r="R172" s="2045"/>
      <c r="S172" s="2045"/>
      <c r="T172" s="2045"/>
      <c r="U172" s="2045"/>
      <c r="V172" s="2045"/>
      <c r="W172" s="2045"/>
      <c r="X172" s="2045"/>
      <c r="Y172" s="2045"/>
      <c r="Z172" s="2045"/>
      <c r="AA172" s="2045"/>
      <c r="AB172" s="2045"/>
      <c r="AC172" s="2045"/>
      <c r="AD172" s="2045"/>
      <c r="AE172" s="2045"/>
      <c r="AF172" s="2045"/>
      <c r="AG172" s="2045"/>
      <c r="AH172" s="2045"/>
      <c r="AI172" s="2045"/>
      <c r="AJ172" s="2045"/>
      <c r="AK172" s="2045"/>
      <c r="AL172" s="2045"/>
      <c r="AM172" s="2045"/>
      <c r="AN172" s="2045"/>
      <c r="AO172" s="204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7" t="s">
        <v>2332</v>
      </c>
      <c r="D173" s="2048"/>
      <c r="E173" s="2048"/>
      <c r="F173" s="2048"/>
      <c r="G173" s="2048"/>
      <c r="H173" s="2048"/>
      <c r="I173" s="2048" t="s">
        <v>2331</v>
      </c>
      <c r="J173" s="2048"/>
      <c r="K173" s="2048"/>
      <c r="L173" s="2048"/>
      <c r="M173" s="2048"/>
      <c r="N173" s="2049"/>
      <c r="O173" s="1190"/>
      <c r="P173" s="2050" t="s">
        <v>2330</v>
      </c>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5"/>
      <c r="D174" s="1996"/>
      <c r="E174" s="1996"/>
      <c r="F174" s="1996"/>
      <c r="G174" s="1996"/>
      <c r="H174" s="1996"/>
      <c r="I174" s="2056"/>
      <c r="J174" s="2056"/>
      <c r="K174" s="2056"/>
      <c r="L174" s="2056"/>
      <c r="M174" s="2056"/>
      <c r="N174" s="2057"/>
      <c r="O174" s="1190"/>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5"/>
      <c r="D175" s="1996"/>
      <c r="E175" s="1996"/>
      <c r="F175" s="1996"/>
      <c r="G175" s="1996"/>
      <c r="H175" s="1996"/>
      <c r="I175" s="2056"/>
      <c r="J175" s="2056"/>
      <c r="K175" s="2056"/>
      <c r="L175" s="2056"/>
      <c r="M175" s="2056"/>
      <c r="N175" s="2057"/>
      <c r="O175" s="1190"/>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5"/>
      <c r="D176" s="1996"/>
      <c r="E176" s="1996"/>
      <c r="F176" s="1996"/>
      <c r="G176" s="1996"/>
      <c r="H176" s="1996"/>
      <c r="I176" s="2056"/>
      <c r="J176" s="2056"/>
      <c r="K176" s="2056"/>
      <c r="L176" s="2056"/>
      <c r="M176" s="2056"/>
      <c r="N176" s="2057"/>
      <c r="O176" s="1190"/>
      <c r="P176" s="2050"/>
      <c r="Q176" s="2051"/>
      <c r="R176" s="2051"/>
      <c r="S176" s="2051"/>
      <c r="T176" s="2051"/>
      <c r="U176" s="2051"/>
      <c r="V176" s="2051"/>
      <c r="W176" s="2051"/>
      <c r="X176" s="2051"/>
      <c r="Y176" s="2051"/>
      <c r="Z176" s="2051"/>
      <c r="AA176" s="2051"/>
      <c r="AB176" s="2051"/>
      <c r="AC176" s="2051"/>
      <c r="AD176" s="2051"/>
      <c r="AE176" s="2051"/>
      <c r="AF176" s="2051"/>
      <c r="AG176" s="2051"/>
      <c r="AH176" s="2051"/>
      <c r="AI176" s="2051"/>
      <c r="AJ176" s="2051"/>
      <c r="AK176" s="2051"/>
      <c r="AL176" s="2051"/>
      <c r="AM176" s="2051"/>
      <c r="AN176" s="2051"/>
      <c r="AO176" s="205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5"/>
      <c r="D177" s="1996"/>
      <c r="E177" s="1996"/>
      <c r="F177" s="1996"/>
      <c r="G177" s="1996"/>
      <c r="H177" s="1996"/>
      <c r="I177" s="2056"/>
      <c r="J177" s="2056"/>
      <c r="K177" s="2056"/>
      <c r="L177" s="2056"/>
      <c r="M177" s="2056"/>
      <c r="N177" s="2057"/>
      <c r="O177" s="1190"/>
      <c r="P177" s="2050"/>
      <c r="Q177" s="2051"/>
      <c r="R177" s="2051"/>
      <c r="S177" s="2051"/>
      <c r="T177" s="2051"/>
      <c r="U177" s="2051"/>
      <c r="V177" s="2051"/>
      <c r="W177" s="2051"/>
      <c r="X177" s="2051"/>
      <c r="Y177" s="2051"/>
      <c r="Z177" s="2051"/>
      <c r="AA177" s="2051"/>
      <c r="AB177" s="2051"/>
      <c r="AC177" s="2051"/>
      <c r="AD177" s="2051"/>
      <c r="AE177" s="2051"/>
      <c r="AF177" s="2051"/>
      <c r="AG177" s="2051"/>
      <c r="AH177" s="2051"/>
      <c r="AI177" s="2051"/>
      <c r="AJ177" s="2051"/>
      <c r="AK177" s="2051"/>
      <c r="AL177" s="2051"/>
      <c r="AM177" s="2051"/>
      <c r="AN177" s="2051"/>
      <c r="AO177" s="205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5"/>
      <c r="D178" s="1996"/>
      <c r="E178" s="1996"/>
      <c r="F178" s="1996"/>
      <c r="G178" s="1996"/>
      <c r="H178" s="1996"/>
      <c r="I178" s="2056"/>
      <c r="J178" s="2056"/>
      <c r="K178" s="2056"/>
      <c r="L178" s="2056"/>
      <c r="M178" s="2056"/>
      <c r="N178" s="2057"/>
      <c r="O178" s="1190"/>
      <c r="P178" s="2050"/>
      <c r="Q178" s="2051"/>
      <c r="R178" s="2051"/>
      <c r="S178" s="2051"/>
      <c r="T178" s="2051"/>
      <c r="U178" s="2051"/>
      <c r="V178" s="2051"/>
      <c r="W178" s="2051"/>
      <c r="X178" s="2051"/>
      <c r="Y178" s="2051"/>
      <c r="Z178" s="2051"/>
      <c r="AA178" s="2051"/>
      <c r="AB178" s="2051"/>
      <c r="AC178" s="2051"/>
      <c r="AD178" s="2051"/>
      <c r="AE178" s="2051"/>
      <c r="AF178" s="2051"/>
      <c r="AG178" s="2051"/>
      <c r="AH178" s="2051"/>
      <c r="AI178" s="2051"/>
      <c r="AJ178" s="2051"/>
      <c r="AK178" s="2051"/>
      <c r="AL178" s="2051"/>
      <c r="AM178" s="2051"/>
      <c r="AN178" s="2051"/>
      <c r="AO178" s="205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5"/>
      <c r="D179" s="1996"/>
      <c r="E179" s="1996"/>
      <c r="F179" s="1996"/>
      <c r="G179" s="1996"/>
      <c r="H179" s="1996"/>
      <c r="I179" s="2056"/>
      <c r="J179" s="2056"/>
      <c r="K179" s="2056"/>
      <c r="L179" s="2056"/>
      <c r="M179" s="2056"/>
      <c r="N179" s="2057"/>
      <c r="O179" s="1190"/>
      <c r="P179" s="2050"/>
      <c r="Q179" s="2051"/>
      <c r="R179" s="2051"/>
      <c r="S179" s="2051"/>
      <c r="T179" s="2051"/>
      <c r="U179" s="2051"/>
      <c r="V179" s="2051"/>
      <c r="W179" s="2051"/>
      <c r="X179" s="2051"/>
      <c r="Y179" s="2051"/>
      <c r="Z179" s="2051"/>
      <c r="AA179" s="2051"/>
      <c r="AB179" s="2051"/>
      <c r="AC179" s="2051"/>
      <c r="AD179" s="2051"/>
      <c r="AE179" s="2051"/>
      <c r="AF179" s="2051"/>
      <c r="AG179" s="2051"/>
      <c r="AH179" s="2051"/>
      <c r="AI179" s="2051"/>
      <c r="AJ179" s="2051"/>
      <c r="AK179" s="2051"/>
      <c r="AL179" s="2051"/>
      <c r="AM179" s="2051"/>
      <c r="AN179" s="2051"/>
      <c r="AO179" s="205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8"/>
      <c r="D180" s="2059"/>
      <c r="E180" s="2059"/>
      <c r="F180" s="2059"/>
      <c r="G180" s="2059"/>
      <c r="H180" s="2059"/>
      <c r="I180" s="2060"/>
      <c r="J180" s="2060"/>
      <c r="K180" s="2060"/>
      <c r="L180" s="2060"/>
      <c r="M180" s="2060"/>
      <c r="N180" s="2061"/>
      <c r="O180" s="1190"/>
      <c r="P180" s="2053"/>
      <c r="Q180" s="2054"/>
      <c r="R180" s="2054"/>
      <c r="S180" s="2054"/>
      <c r="T180" s="2054"/>
      <c r="U180" s="2054"/>
      <c r="V180" s="2054"/>
      <c r="W180" s="2054"/>
      <c r="X180" s="2054"/>
      <c r="Y180" s="2054"/>
      <c r="Z180" s="2054"/>
      <c r="AA180" s="2054"/>
      <c r="AB180" s="2054"/>
      <c r="AC180" s="2054"/>
      <c r="AD180" s="2054"/>
      <c r="AE180" s="2054"/>
      <c r="AF180" s="2054"/>
      <c r="AG180" s="2054"/>
      <c r="AH180" s="2054"/>
      <c r="AI180" s="2054"/>
      <c r="AJ180" s="2054"/>
      <c r="AK180" s="2054"/>
      <c r="AL180" s="2054"/>
      <c r="AM180" s="2054"/>
      <c r="AN180" s="2054"/>
      <c r="AO180" s="205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4" t="s">
        <v>2329</v>
      </c>
      <c r="D182" s="2025"/>
      <c r="E182" s="2025"/>
      <c r="F182" s="2025"/>
      <c r="G182" s="2025"/>
      <c r="H182" s="2025"/>
      <c r="I182" s="2025"/>
      <c r="J182" s="2025"/>
      <c r="K182" s="2025"/>
      <c r="L182" s="2025"/>
      <c r="M182" s="2025"/>
      <c r="N182" s="2025"/>
      <c r="O182" s="2025"/>
      <c r="P182" s="2025"/>
      <c r="Q182" s="2025"/>
      <c r="R182" s="2025"/>
      <c r="S182" s="2025"/>
      <c r="T182" s="2025"/>
      <c r="U182" s="2025"/>
      <c r="V182" s="2025"/>
      <c r="W182" s="2025"/>
      <c r="X182" s="2025"/>
      <c r="Y182" s="2025"/>
      <c r="Z182" s="2025"/>
      <c r="AA182" s="2025"/>
      <c r="AB182" s="2025"/>
      <c r="AC182" s="2025"/>
      <c r="AD182" s="2025"/>
      <c r="AE182" s="2026"/>
      <c r="AF182" s="1190"/>
      <c r="AG182" s="1190"/>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190"/>
      <c r="B183" s="1190"/>
      <c r="C183" s="2027"/>
      <c r="D183" s="2028"/>
      <c r="E183" s="2028"/>
      <c r="F183" s="2028"/>
      <c r="G183" s="2028"/>
      <c r="H183" s="2028"/>
      <c r="I183" s="2028"/>
      <c r="J183" s="2028"/>
      <c r="K183" s="2028"/>
      <c r="L183" s="2028"/>
      <c r="M183" s="2028"/>
      <c r="N183" s="2028"/>
      <c r="O183" s="2028"/>
      <c r="P183" s="2028"/>
      <c r="Q183" s="2028"/>
      <c r="R183" s="2028"/>
      <c r="S183" s="2028"/>
      <c r="T183" s="2028"/>
      <c r="U183" s="2028"/>
      <c r="V183" s="2028"/>
      <c r="W183" s="2028"/>
      <c r="X183" s="2028"/>
      <c r="Y183" s="2028"/>
      <c r="Z183" s="2028"/>
      <c r="AA183" s="2028"/>
      <c r="AB183" s="2028"/>
      <c r="AC183" s="2028"/>
      <c r="AD183" s="2028"/>
      <c r="AE183" s="2029"/>
      <c r="AF183" s="1190"/>
      <c r="AG183" s="1190"/>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c r="A184" s="1190"/>
      <c r="B184" s="1190"/>
      <c r="C184" s="2033" t="s">
        <v>2327</v>
      </c>
      <c r="D184" s="2034"/>
      <c r="E184" s="2034"/>
      <c r="F184" s="2034"/>
      <c r="G184" s="2034"/>
      <c r="H184" s="2034"/>
      <c r="I184" s="2034"/>
      <c r="J184" s="2034"/>
      <c r="K184" s="2034"/>
      <c r="L184" s="2034"/>
      <c r="M184" s="2034"/>
      <c r="N184" s="2034" t="s">
        <v>2328</v>
      </c>
      <c r="O184" s="2034"/>
      <c r="P184" s="2034"/>
      <c r="Q184" s="2034"/>
      <c r="R184" s="2034"/>
      <c r="S184" s="2034"/>
      <c r="T184" s="2034"/>
      <c r="U184" s="2035" t="s">
        <v>2327</v>
      </c>
      <c r="V184" s="2035"/>
      <c r="W184" s="2035"/>
      <c r="X184" s="2035"/>
      <c r="Y184" s="2035"/>
      <c r="Z184" s="2035"/>
      <c r="AA184" s="2035"/>
      <c r="AB184" s="2035"/>
      <c r="AC184" s="2035"/>
      <c r="AD184" s="2035"/>
      <c r="AE184" s="2036"/>
      <c r="AF184" s="1190"/>
      <c r="AG184" s="1190"/>
      <c r="AH184" s="1909"/>
      <c r="AI184" s="1909"/>
      <c r="AJ184" s="1909"/>
      <c r="AK184" s="1909"/>
      <c r="AL184" s="1909"/>
      <c r="AM184" s="1909"/>
      <c r="AN184" s="1909"/>
      <c r="AO184" s="1909"/>
      <c r="AP184" s="1909"/>
      <c r="AQ184" s="1909"/>
      <c r="AR184" s="1909"/>
      <c r="AS184" s="1909"/>
      <c r="AT184" s="1909"/>
      <c r="AU184" s="1909"/>
      <c r="AV184" s="1909"/>
      <c r="AW184" s="1909"/>
      <c r="AX184" s="1909"/>
      <c r="AY184" s="1909"/>
      <c r="AZ184" s="1909"/>
      <c r="BA184" s="1909"/>
      <c r="BB184" s="1909"/>
      <c r="BC184" s="1909"/>
      <c r="BD184" s="1909"/>
      <c r="BE184" s="1909"/>
    </row>
    <row r="185" spans="1:57" ht="15.75" customHeight="1">
      <c r="A185" s="1190"/>
      <c r="B185" s="1190"/>
      <c r="C185" s="2012" t="s">
        <v>2326</v>
      </c>
      <c r="D185" s="2013"/>
      <c r="E185" s="2013"/>
      <c r="F185" s="2013"/>
      <c r="G185" s="2013"/>
      <c r="H185" s="2013"/>
      <c r="I185" s="2013"/>
      <c r="J185" s="2013"/>
      <c r="K185" s="2013"/>
      <c r="L185" s="2013"/>
      <c r="M185" s="2013"/>
      <c r="N185" s="2023">
        <f>'Sources and Uses Budget'!B105</f>
        <v>36575967</v>
      </c>
      <c r="O185" s="2023"/>
      <c r="P185" s="2023"/>
      <c r="Q185" s="2023"/>
      <c r="R185" s="2023"/>
      <c r="S185" s="2023"/>
      <c r="T185" s="2023"/>
      <c r="U185" s="2037"/>
      <c r="V185" s="2037"/>
      <c r="W185" s="2037"/>
      <c r="X185" s="2037"/>
      <c r="Y185" s="2037"/>
      <c r="Z185" s="2037"/>
      <c r="AA185" s="2037"/>
      <c r="AB185" s="2037"/>
      <c r="AC185" s="2037"/>
      <c r="AD185" s="2037"/>
      <c r="AE185" s="2038"/>
      <c r="AF185" s="1190"/>
      <c r="AG185" s="1190"/>
      <c r="AH185" s="1909"/>
      <c r="AI185" s="1909"/>
      <c r="AJ185" s="1909"/>
      <c r="AK185" s="1909"/>
      <c r="AL185" s="1909"/>
      <c r="AM185" s="1909"/>
      <c r="AN185" s="1909"/>
      <c r="AO185" s="1909"/>
      <c r="AP185" s="1909"/>
      <c r="AQ185" s="1909"/>
      <c r="AR185" s="1909"/>
      <c r="AS185" s="1909"/>
      <c r="AT185" s="1909"/>
      <c r="AU185" s="1909"/>
      <c r="AV185" s="1909"/>
      <c r="AW185" s="1909"/>
      <c r="AX185" s="1909"/>
      <c r="AY185" s="1909"/>
      <c r="AZ185" s="1909"/>
      <c r="BA185" s="1909"/>
      <c r="BB185" s="1909"/>
      <c r="BC185" s="1909"/>
      <c r="BD185" s="1909"/>
      <c r="BE185" s="1909"/>
    </row>
    <row r="186" spans="1:57" ht="15.75" customHeight="1">
      <c r="A186" s="1190"/>
      <c r="B186" s="1190"/>
      <c r="C186" s="2012" t="s">
        <v>2325</v>
      </c>
      <c r="D186" s="2013"/>
      <c r="E186" s="2013"/>
      <c r="F186" s="2013"/>
      <c r="G186" s="2013"/>
      <c r="H186" s="2013"/>
      <c r="I186" s="2013"/>
      <c r="J186" s="2013"/>
      <c r="K186" s="2013"/>
      <c r="L186" s="2013"/>
      <c r="M186" s="2013"/>
      <c r="N186" s="2023">
        <f>N185/J29</f>
        <v>795129.71739130432</v>
      </c>
      <c r="O186" s="2023"/>
      <c r="P186" s="2023"/>
      <c r="Q186" s="2023"/>
      <c r="R186" s="2023"/>
      <c r="S186" s="2023"/>
      <c r="T186" s="2023"/>
      <c r="U186" s="1228"/>
      <c r="V186" s="1228"/>
      <c r="W186" s="1228"/>
      <c r="X186" s="1228"/>
      <c r="Y186" s="1228"/>
      <c r="Z186" s="1228"/>
      <c r="AA186" s="1228"/>
      <c r="AB186" s="1228"/>
      <c r="AC186" s="1228"/>
      <c r="AD186" s="1228"/>
      <c r="AE186" s="1229"/>
      <c r="AF186" s="1190"/>
      <c r="AG186" s="1190"/>
      <c r="AH186" s="1909"/>
      <c r="AI186" s="1909"/>
      <c r="AJ186" s="1909"/>
      <c r="AK186" s="1909"/>
      <c r="AL186" s="1909"/>
      <c r="AM186" s="1909"/>
      <c r="AN186" s="1909"/>
      <c r="AO186" s="1909"/>
      <c r="AP186" s="1909"/>
      <c r="AQ186" s="1909"/>
      <c r="AR186" s="1909"/>
      <c r="AS186" s="1909"/>
      <c r="AT186" s="1909"/>
      <c r="AU186" s="1909"/>
      <c r="AV186" s="1909"/>
      <c r="AW186" s="1909"/>
      <c r="AX186" s="1909"/>
      <c r="AY186" s="1909"/>
      <c r="AZ186" s="1909"/>
      <c r="BA186" s="1909"/>
      <c r="BB186" s="1909"/>
      <c r="BC186" s="1909"/>
      <c r="BD186" s="1909"/>
      <c r="BE186" s="1909"/>
    </row>
    <row r="187" spans="1:57" ht="15.75" customHeight="1">
      <c r="A187" s="1190"/>
      <c r="B187" s="1190"/>
      <c r="C187" s="2039" t="s">
        <v>2324</v>
      </c>
      <c r="D187" s="2040"/>
      <c r="E187" s="2040"/>
      <c r="F187" s="2040"/>
      <c r="G187" s="2040"/>
      <c r="H187" s="2040"/>
      <c r="I187" s="2040"/>
      <c r="J187" s="2040"/>
      <c r="K187" s="2040"/>
      <c r="L187" s="2040"/>
      <c r="M187" s="2040"/>
      <c r="N187" s="2041">
        <v>0</v>
      </c>
      <c r="O187" s="2041"/>
      <c r="P187" s="2041"/>
      <c r="Q187" s="2041"/>
      <c r="R187" s="2041"/>
      <c r="S187" s="2041"/>
      <c r="T187" s="2041"/>
      <c r="U187" s="1999"/>
      <c r="V187" s="1999"/>
      <c r="W187" s="1999"/>
      <c r="X187" s="1999"/>
      <c r="Y187" s="1999"/>
      <c r="Z187" s="1999"/>
      <c r="AA187" s="1999"/>
      <c r="AB187" s="1999"/>
      <c r="AC187" s="1999"/>
      <c r="AD187" s="1999"/>
      <c r="AE187" s="2000"/>
      <c r="AF187" s="1190"/>
      <c r="AG187" s="1190"/>
      <c r="AH187" s="1909"/>
      <c r="AI187" s="1909"/>
      <c r="AJ187" s="1909"/>
      <c r="AK187" s="1909"/>
      <c r="AL187" s="1909"/>
      <c r="AM187" s="1909"/>
      <c r="AN187" s="1909"/>
      <c r="AO187" s="1909"/>
      <c r="AP187" s="1909"/>
      <c r="AQ187" s="1909"/>
      <c r="AR187" s="1909"/>
      <c r="AS187" s="1909"/>
      <c r="AT187" s="1909"/>
      <c r="AU187" s="1909"/>
      <c r="AV187" s="1909"/>
      <c r="AW187" s="1909"/>
      <c r="AX187" s="1909"/>
      <c r="AY187" s="1909"/>
      <c r="AZ187" s="1909"/>
      <c r="BA187" s="1909"/>
      <c r="BB187" s="1909"/>
      <c r="BC187" s="1909"/>
      <c r="BD187" s="1909"/>
      <c r="BE187" s="1909"/>
    </row>
    <row r="188" spans="1:57" ht="15.75" customHeight="1" thickBot="1">
      <c r="A188" s="1190"/>
      <c r="B188" s="1190"/>
      <c r="C188" s="2012" t="s">
        <v>2323</v>
      </c>
      <c r="D188" s="2013"/>
      <c r="E188" s="2013"/>
      <c r="F188" s="2013"/>
      <c r="G188" s="2013"/>
      <c r="H188" s="2013"/>
      <c r="I188" s="2013"/>
      <c r="J188" s="2013"/>
      <c r="K188" s="2013"/>
      <c r="L188" s="2013"/>
      <c r="M188" s="2013"/>
      <c r="N188" s="2042">
        <f>SUM('Sources and Uses Budget'!B85:B86)</f>
        <v>1619851</v>
      </c>
      <c r="O188" s="2042"/>
      <c r="P188" s="2042"/>
      <c r="Q188" s="2042"/>
      <c r="R188" s="2042"/>
      <c r="S188" s="2042"/>
      <c r="T188" s="2042"/>
      <c r="U188" s="1999"/>
      <c r="V188" s="1999"/>
      <c r="W188" s="1999"/>
      <c r="X188" s="1999"/>
      <c r="Y188" s="1999"/>
      <c r="Z188" s="1999"/>
      <c r="AA188" s="1999"/>
      <c r="AB188" s="1999"/>
      <c r="AC188" s="1999"/>
      <c r="AD188" s="1999"/>
      <c r="AE188" s="2000"/>
      <c r="AF188" s="1190"/>
      <c r="AG188" s="1190"/>
      <c r="AH188" s="1909"/>
      <c r="AI188" s="1909"/>
      <c r="AJ188" s="1909"/>
      <c r="AK188" s="1909"/>
      <c r="AL188" s="1909"/>
      <c r="AM188" s="1909"/>
      <c r="AN188" s="1909"/>
      <c r="AO188" s="1909"/>
      <c r="AP188" s="1909"/>
      <c r="AQ188" s="1909"/>
      <c r="AR188" s="1909"/>
      <c r="AS188" s="1909"/>
      <c r="AT188" s="1909"/>
      <c r="AU188" s="1909"/>
      <c r="AV188" s="1909"/>
      <c r="AW188" s="1909"/>
      <c r="AX188" s="1909"/>
      <c r="AY188" s="1909"/>
      <c r="AZ188" s="1909"/>
      <c r="BA188" s="1909"/>
      <c r="BB188" s="1909"/>
      <c r="BC188" s="1909"/>
      <c r="BD188" s="1909"/>
      <c r="BE188" s="1909"/>
    </row>
    <row r="189" spans="1:57" ht="15.75" customHeight="1" thickBot="1">
      <c r="A189" s="1190"/>
      <c r="B189" s="1190"/>
      <c r="C189" s="2012" t="s">
        <v>2322</v>
      </c>
      <c r="D189" s="2013"/>
      <c r="E189" s="2013"/>
      <c r="F189" s="2013"/>
      <c r="G189" s="2013"/>
      <c r="H189" s="2013"/>
      <c r="I189" s="2013"/>
      <c r="J189" s="2013"/>
      <c r="K189" s="2013"/>
      <c r="L189" s="2013"/>
      <c r="M189" s="2013"/>
      <c r="N189" s="2042">
        <f>'Sources and Uses Budget'!B8</f>
        <v>1600000</v>
      </c>
      <c r="O189" s="2042"/>
      <c r="P189" s="2042"/>
      <c r="Q189" s="2042"/>
      <c r="R189" s="2042"/>
      <c r="S189" s="2042"/>
      <c r="T189" s="2042"/>
      <c r="U189" s="1999"/>
      <c r="V189" s="1999"/>
      <c r="W189" s="1999"/>
      <c r="X189" s="1999"/>
      <c r="Y189" s="1999"/>
      <c r="Z189" s="1999"/>
      <c r="AA189" s="1999"/>
      <c r="AB189" s="1999"/>
      <c r="AC189" s="1999"/>
      <c r="AD189" s="1999"/>
      <c r="AE189" s="2000"/>
      <c r="AF189" s="1190"/>
      <c r="AG189" s="1190"/>
      <c r="AH189" s="2009" t="s">
        <v>2320</v>
      </c>
      <c r="AI189" s="2010"/>
      <c r="AJ189" s="2010"/>
      <c r="AK189" s="2010"/>
      <c r="AL189" s="2010"/>
      <c r="AM189" s="2010"/>
      <c r="AN189" s="2010"/>
      <c r="AO189" s="2010"/>
      <c r="AP189" s="2010"/>
      <c r="AQ189" s="2010"/>
      <c r="AR189" s="2010"/>
      <c r="AS189" s="2010"/>
      <c r="AT189" s="2010"/>
      <c r="AU189" s="2010"/>
      <c r="AV189" s="2010"/>
      <c r="AW189" s="2010"/>
      <c r="AX189" s="2010"/>
      <c r="AY189" s="2010"/>
      <c r="AZ189" s="2010"/>
      <c r="BA189" s="2010"/>
      <c r="BB189" s="2010"/>
      <c r="BC189" s="2010"/>
      <c r="BD189" s="2010"/>
      <c r="BE189" s="2011"/>
    </row>
    <row r="190" spans="1:57" ht="15.75" customHeight="1">
      <c r="A190" s="1190"/>
      <c r="B190" s="1190"/>
      <c r="C190" s="2012" t="s">
        <v>2321</v>
      </c>
      <c r="D190" s="2013"/>
      <c r="E190" s="2013"/>
      <c r="F190" s="2013"/>
      <c r="G190" s="2013"/>
      <c r="H190" s="2013"/>
      <c r="I190" s="2013"/>
      <c r="J190" s="2013"/>
      <c r="K190" s="2013"/>
      <c r="L190" s="2013"/>
      <c r="M190" s="2013"/>
      <c r="N190" s="1998">
        <v>0</v>
      </c>
      <c r="O190" s="1998"/>
      <c r="P190" s="1998"/>
      <c r="Q190" s="1998"/>
      <c r="R190" s="1998"/>
      <c r="S190" s="1998"/>
      <c r="T190" s="1998"/>
      <c r="U190" s="1999"/>
      <c r="V190" s="1999"/>
      <c r="W190" s="1999"/>
      <c r="X190" s="1999"/>
      <c r="Y190" s="1999"/>
      <c r="Z190" s="1999"/>
      <c r="AA190" s="1999"/>
      <c r="AB190" s="1999"/>
      <c r="AC190" s="1999"/>
      <c r="AD190" s="1999"/>
      <c r="AE190" s="2000"/>
      <c r="AF190" s="1190"/>
      <c r="AG190" s="1190"/>
      <c r="AH190" s="2014" t="s">
        <v>2320</v>
      </c>
      <c r="AI190" s="2015"/>
      <c r="AJ190" s="2015"/>
      <c r="AK190" s="2015"/>
      <c r="AL190" s="2015"/>
      <c r="AM190" s="2015"/>
      <c r="AN190" s="2015"/>
      <c r="AO190" s="2015"/>
      <c r="AP190" s="2015"/>
      <c r="AQ190" s="2015"/>
      <c r="AR190" s="2015"/>
      <c r="AS190" s="2015"/>
      <c r="AT190" s="2015"/>
      <c r="AU190" s="2016">
        <v>0</v>
      </c>
      <c r="AV190" s="2016"/>
      <c r="AW190" s="2016"/>
      <c r="AX190" s="2016"/>
      <c r="AY190" s="2016"/>
      <c r="AZ190" s="2016"/>
      <c r="BA190" s="2016"/>
      <c r="BB190" s="2016"/>
      <c r="BC190" s="2017"/>
      <c r="BD190" s="2018"/>
      <c r="BE190" s="2019"/>
    </row>
    <row r="191" spans="1:57" ht="15.75" customHeight="1">
      <c r="A191" s="1190"/>
      <c r="B191" s="1190"/>
      <c r="C191" s="2012" t="s">
        <v>2319</v>
      </c>
      <c r="D191" s="2013"/>
      <c r="E191" s="2013"/>
      <c r="F191" s="2013"/>
      <c r="G191" s="2013"/>
      <c r="H191" s="2013"/>
      <c r="I191" s="2013"/>
      <c r="J191" s="2013"/>
      <c r="K191" s="2013"/>
      <c r="L191" s="2013"/>
      <c r="M191" s="2013"/>
      <c r="N191" s="1998">
        <v>0</v>
      </c>
      <c r="O191" s="1998"/>
      <c r="P191" s="1998"/>
      <c r="Q191" s="1998"/>
      <c r="R191" s="1998"/>
      <c r="S191" s="1998"/>
      <c r="T191" s="1998"/>
      <c r="U191" s="1999"/>
      <c r="V191" s="1999"/>
      <c r="W191" s="1999"/>
      <c r="X191" s="1999"/>
      <c r="Y191" s="1999"/>
      <c r="Z191" s="1999"/>
      <c r="AA191" s="1999"/>
      <c r="AB191" s="1999"/>
      <c r="AC191" s="1999"/>
      <c r="AD191" s="1999"/>
      <c r="AE191" s="2000"/>
      <c r="AF191" s="1190"/>
      <c r="AG191" s="1190"/>
      <c r="AH191" s="2030" t="s">
        <v>2318</v>
      </c>
      <c r="AI191" s="2031"/>
      <c r="AJ191" s="2031"/>
      <c r="AK191" s="2031"/>
      <c r="AL191" s="2031"/>
      <c r="AM191" s="2031"/>
      <c r="AN191" s="2031"/>
      <c r="AO191" s="2031"/>
      <c r="AP191" s="2031"/>
      <c r="AQ191" s="2031"/>
      <c r="AR191" s="2031"/>
      <c r="AS191" s="2031"/>
      <c r="AT191" s="2031"/>
      <c r="AU191" s="2032"/>
      <c r="AV191" s="2032"/>
      <c r="AW191" s="2032"/>
      <c r="AX191" s="2032"/>
      <c r="AY191" s="2032"/>
      <c r="AZ191" s="2032"/>
      <c r="BA191" s="2032"/>
      <c r="BB191" s="2032"/>
      <c r="BC191" s="2020"/>
      <c r="BD191" s="2021"/>
      <c r="BE191" s="2022"/>
    </row>
    <row r="192" spans="1:57" ht="15.75" customHeight="1">
      <c r="A192" s="1190"/>
      <c r="B192" s="1190"/>
      <c r="C192" s="2004" t="s">
        <v>300</v>
      </c>
      <c r="D192" s="2005"/>
      <c r="E192" s="1997" t="s">
        <v>2316</v>
      </c>
      <c r="F192" s="1997"/>
      <c r="G192" s="1997"/>
      <c r="H192" s="1997"/>
      <c r="I192" s="1997"/>
      <c r="J192" s="1997"/>
      <c r="K192" s="1997"/>
      <c r="L192" s="1997"/>
      <c r="M192" s="1997"/>
      <c r="N192" s="1998">
        <v>0</v>
      </c>
      <c r="O192" s="1998"/>
      <c r="P192" s="1998"/>
      <c r="Q192" s="1998"/>
      <c r="R192" s="1998"/>
      <c r="S192" s="1998"/>
      <c r="T192" s="1998"/>
      <c r="U192" s="1999"/>
      <c r="V192" s="1999"/>
      <c r="W192" s="1999"/>
      <c r="X192" s="1999"/>
      <c r="Y192" s="1999"/>
      <c r="Z192" s="1999"/>
      <c r="AA192" s="1999"/>
      <c r="AB192" s="1999"/>
      <c r="AC192" s="1999"/>
      <c r="AD192" s="1999"/>
      <c r="AE192" s="2000"/>
      <c r="AF192" s="1190"/>
      <c r="AG192" s="1190"/>
      <c r="AH192" s="2006" t="s">
        <v>2317</v>
      </c>
      <c r="AI192" s="2007"/>
      <c r="AJ192" s="2007"/>
      <c r="AK192" s="2007"/>
      <c r="AL192" s="2007"/>
      <c r="AM192" s="2007"/>
      <c r="AN192" s="2007"/>
      <c r="AO192" s="2007"/>
      <c r="AP192" s="2007"/>
      <c r="AQ192" s="2007"/>
      <c r="AR192" s="2007"/>
      <c r="AS192" s="2007"/>
      <c r="AT192" s="2007"/>
      <c r="AU192" s="2008">
        <f>SUM(AU190:BB191)</f>
        <v>0</v>
      </c>
      <c r="AV192" s="2008"/>
      <c r="AW192" s="2008"/>
      <c r="AX192" s="2008"/>
      <c r="AY192" s="2008"/>
      <c r="AZ192" s="2008"/>
      <c r="BA192" s="2008"/>
      <c r="BB192" s="2008"/>
      <c r="BC192" s="2020"/>
      <c r="BD192" s="2021"/>
      <c r="BE192" s="2022"/>
    </row>
    <row r="193" spans="1:57" ht="15.75" customHeight="1" thickBot="1">
      <c r="A193" s="1190"/>
      <c r="B193" s="1190"/>
      <c r="C193" s="1995" t="s">
        <v>300</v>
      </c>
      <c r="D193" s="1996"/>
      <c r="E193" s="1997" t="s">
        <v>2316</v>
      </c>
      <c r="F193" s="1997"/>
      <c r="G193" s="1997"/>
      <c r="H193" s="1997"/>
      <c r="I193" s="1997"/>
      <c r="J193" s="1997"/>
      <c r="K193" s="1997"/>
      <c r="L193" s="1997"/>
      <c r="M193" s="1997"/>
      <c r="N193" s="1998">
        <v>0</v>
      </c>
      <c r="O193" s="1998"/>
      <c r="P193" s="1998"/>
      <c r="Q193" s="1998"/>
      <c r="R193" s="1998"/>
      <c r="S193" s="1998"/>
      <c r="T193" s="1998"/>
      <c r="U193" s="1999"/>
      <c r="V193" s="1999"/>
      <c r="W193" s="1999"/>
      <c r="X193" s="1999"/>
      <c r="Y193" s="1999"/>
      <c r="Z193" s="1999"/>
      <c r="AA193" s="1999"/>
      <c r="AB193" s="1999"/>
      <c r="AC193" s="1999"/>
      <c r="AD193" s="1999"/>
      <c r="AE193" s="200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1"/>
      <c r="BD193" s="2002"/>
      <c r="BE193" s="2003"/>
    </row>
    <row r="194" spans="1:57" ht="15.75" customHeight="1" thickBot="1">
      <c r="A194" s="1190"/>
      <c r="B194" s="1190"/>
      <c r="C194" s="1983" t="s">
        <v>300</v>
      </c>
      <c r="D194" s="1984"/>
      <c r="E194" s="1985" t="s">
        <v>2316</v>
      </c>
      <c r="F194" s="1985"/>
      <c r="G194" s="1985"/>
      <c r="H194" s="1985"/>
      <c r="I194" s="1985"/>
      <c r="J194" s="1985"/>
      <c r="K194" s="1985"/>
      <c r="L194" s="1985"/>
      <c r="M194" s="1986"/>
      <c r="N194" s="1987">
        <v>0</v>
      </c>
      <c r="O194" s="1987"/>
      <c r="P194" s="1987"/>
      <c r="Q194" s="1987"/>
      <c r="R194" s="1987"/>
      <c r="S194" s="1987"/>
      <c r="T194" s="1988"/>
      <c r="U194" s="1989"/>
      <c r="V194" s="1990"/>
      <c r="W194" s="1990"/>
      <c r="X194" s="1990"/>
      <c r="Y194" s="1990"/>
      <c r="Z194" s="1990"/>
      <c r="AA194" s="1990"/>
      <c r="AB194" s="1990"/>
      <c r="AC194" s="1990"/>
      <c r="AD194" s="1990"/>
      <c r="AE194" s="1991"/>
      <c r="AF194" s="1190"/>
      <c r="AG194" s="1190"/>
      <c r="AH194" s="1992" t="s">
        <v>2315</v>
      </c>
      <c r="AI194" s="1993"/>
      <c r="AJ194" s="1993"/>
      <c r="AK194" s="1993"/>
      <c r="AL194" s="1993"/>
      <c r="AM194" s="1993"/>
      <c r="AN194" s="1993"/>
      <c r="AO194" s="1993"/>
      <c r="AP194" s="1993"/>
      <c r="AQ194" s="1993"/>
      <c r="AR194" s="1993"/>
      <c r="AS194" s="1993"/>
      <c r="AT194" s="1993"/>
      <c r="AU194" s="1994"/>
      <c r="AV194" s="1994"/>
      <c r="AW194" s="1994"/>
      <c r="AX194" s="1994"/>
      <c r="AY194" s="1994"/>
      <c r="AZ194" s="1994"/>
      <c r="BA194" s="1994"/>
      <c r="BB194" s="1994"/>
      <c r="BC194" s="1171"/>
      <c r="BD194" s="1171"/>
      <c r="BE194" s="1232"/>
    </row>
    <row r="195" spans="1:57" ht="15.75" customHeight="1">
      <c r="A195" s="1190"/>
      <c r="B195" s="1190"/>
      <c r="C195" s="1966" t="s">
        <v>2314</v>
      </c>
      <c r="D195" s="1967"/>
      <c r="E195" s="1967"/>
      <c r="F195" s="1967"/>
      <c r="G195" s="1967"/>
      <c r="H195" s="1967"/>
      <c r="I195" s="1967"/>
      <c r="J195" s="1967"/>
      <c r="K195" s="1967"/>
      <c r="L195" s="1967"/>
      <c r="M195" s="1967"/>
      <c r="N195" s="1968">
        <f>SUM(N187:T194)</f>
        <v>3219851</v>
      </c>
      <c r="O195" s="1968"/>
      <c r="P195" s="1968"/>
      <c r="Q195" s="1968"/>
      <c r="R195" s="1968"/>
      <c r="S195" s="1968"/>
      <c r="T195" s="1969"/>
      <c r="U195" s="1190"/>
      <c r="V195" s="1190"/>
      <c r="W195" s="1190"/>
      <c r="X195" s="1190"/>
      <c r="Y195" s="1190"/>
      <c r="Z195" s="1190"/>
      <c r="AA195" s="1190"/>
      <c r="AB195" s="1190"/>
      <c r="AC195" s="1190"/>
      <c r="AD195" s="1190"/>
      <c r="AE195" s="1190"/>
      <c r="AF195" s="1190"/>
      <c r="AG195" s="1190"/>
      <c r="AH195" s="1970" t="s">
        <v>2313</v>
      </c>
      <c r="AI195" s="1971"/>
      <c r="AJ195" s="1971"/>
      <c r="AK195" s="1971"/>
      <c r="AL195" s="1971"/>
      <c r="AM195" s="1971"/>
      <c r="AN195" s="1971"/>
      <c r="AO195" s="1971"/>
      <c r="AP195" s="1971"/>
      <c r="AQ195" s="1971"/>
      <c r="AR195" s="1971"/>
      <c r="AS195" s="1971"/>
      <c r="AT195" s="1971"/>
      <c r="AU195" s="1971"/>
      <c r="AV195" s="1971"/>
      <c r="AW195" s="1971"/>
      <c r="AX195" s="1971"/>
      <c r="AY195" s="1971"/>
      <c r="AZ195" s="1971"/>
      <c r="BA195" s="1971"/>
      <c r="BB195" s="1971"/>
      <c r="BC195" s="1971"/>
      <c r="BD195" s="1971"/>
      <c r="BE195" s="1972"/>
    </row>
    <row r="196" spans="1:57" ht="15.75" customHeight="1" thickBot="1">
      <c r="A196" s="1190"/>
      <c r="B196" s="1190"/>
      <c r="C196" s="1976" t="s">
        <v>2312</v>
      </c>
      <c r="D196" s="1977"/>
      <c r="E196" s="1977"/>
      <c r="F196" s="1977"/>
      <c r="G196" s="1977"/>
      <c r="H196" s="1977"/>
      <c r="I196" s="1977"/>
      <c r="J196" s="1977"/>
      <c r="K196" s="1977"/>
      <c r="L196" s="1977"/>
      <c r="M196" s="1977"/>
      <c r="N196" s="1978">
        <f>(N185-N195)/J29</f>
        <v>725132.95652173914</v>
      </c>
      <c r="O196" s="1979"/>
      <c r="P196" s="1979"/>
      <c r="Q196" s="1979"/>
      <c r="R196" s="1979"/>
      <c r="S196" s="1979"/>
      <c r="T196" s="1980"/>
      <c r="U196" s="1195"/>
      <c r="V196" s="1190"/>
      <c r="W196" s="1190"/>
      <c r="X196" s="1190"/>
      <c r="Y196" s="1190"/>
      <c r="Z196" s="1190"/>
      <c r="AA196" s="1190"/>
      <c r="AB196" s="1190"/>
      <c r="AC196" s="1190"/>
      <c r="AD196" s="1190"/>
      <c r="AE196" s="1190"/>
      <c r="AF196" s="1190"/>
      <c r="AG196" s="1190"/>
      <c r="AH196" s="1973"/>
      <c r="AI196" s="1974"/>
      <c r="AJ196" s="1974"/>
      <c r="AK196" s="1974"/>
      <c r="AL196" s="1974"/>
      <c r="AM196" s="1974"/>
      <c r="AN196" s="1974"/>
      <c r="AO196" s="1974"/>
      <c r="AP196" s="1974"/>
      <c r="AQ196" s="1974"/>
      <c r="AR196" s="1974"/>
      <c r="AS196" s="1974"/>
      <c r="AT196" s="1974"/>
      <c r="AU196" s="1974"/>
      <c r="AV196" s="1974"/>
      <c r="AW196" s="1974"/>
      <c r="AX196" s="1974"/>
      <c r="AY196" s="1974"/>
      <c r="AZ196" s="1974"/>
      <c r="BA196" s="1974"/>
      <c r="BB196" s="1974"/>
      <c r="BC196" s="1974"/>
      <c r="BD196" s="1974"/>
      <c r="BE196" s="197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1"/>
      <c r="AI197" s="1981"/>
      <c r="AJ197" s="1981"/>
      <c r="AK197" s="1981"/>
      <c r="AL197" s="1981"/>
      <c r="AM197" s="1981"/>
      <c r="AN197" s="1981"/>
      <c r="AO197" s="1981"/>
      <c r="AP197" s="1981"/>
      <c r="AQ197" s="1981"/>
      <c r="AR197" s="1981"/>
      <c r="AS197" s="1982"/>
      <c r="AT197" s="1982"/>
      <c r="AU197" s="1982"/>
      <c r="AV197" s="1982"/>
      <c r="AW197" s="1982"/>
      <c r="AX197" s="1982"/>
      <c r="AY197" s="1982"/>
      <c r="AZ197" s="1982"/>
      <c r="BA197" s="1982"/>
      <c r="BB197" s="1982"/>
      <c r="BC197" s="1982"/>
      <c r="BD197" s="198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1" t="s">
        <v>2311</v>
      </c>
      <c r="D199" s="1962"/>
      <c r="E199" s="1962"/>
      <c r="F199" s="1962"/>
      <c r="G199" s="1962"/>
      <c r="H199" s="1962"/>
      <c r="I199" s="1962"/>
      <c r="J199" s="1962"/>
      <c r="K199" s="1962"/>
      <c r="L199" s="1962"/>
      <c r="M199" s="1962"/>
      <c r="N199" s="1962"/>
      <c r="O199" s="1962"/>
      <c r="P199" s="1962"/>
      <c r="Q199" s="1962"/>
      <c r="R199" s="1962"/>
      <c r="S199" s="1962"/>
      <c r="T199" s="1962"/>
      <c r="U199" s="1962"/>
      <c r="V199" s="1962"/>
      <c r="W199" s="1962"/>
      <c r="X199" s="1962"/>
      <c r="Y199" s="1962"/>
      <c r="Z199" s="1962"/>
      <c r="AA199" s="1962"/>
      <c r="AB199" s="1962"/>
      <c r="AC199" s="1962"/>
      <c r="AD199" s="1962"/>
      <c r="AE199" s="196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4" t="s">
        <v>2310</v>
      </c>
      <c r="D200" s="1964"/>
      <c r="E200" s="1964"/>
      <c r="F200" s="1964"/>
      <c r="G200" s="1964"/>
      <c r="H200" s="1964"/>
      <c r="I200" s="1964"/>
      <c r="J200" s="1964"/>
      <c r="K200" s="1964"/>
      <c r="L200" s="1964"/>
      <c r="M200" s="1964"/>
      <c r="N200" s="1964"/>
      <c r="O200" s="1965" t="s">
        <v>2309</v>
      </c>
      <c r="P200" s="1965"/>
      <c r="Q200" s="1965"/>
      <c r="R200" s="1965"/>
      <c r="S200" s="1965"/>
      <c r="T200" s="1965"/>
      <c r="U200" s="1965"/>
      <c r="V200" s="1965"/>
      <c r="W200" s="1965"/>
      <c r="X200" s="1965" t="s">
        <v>2308</v>
      </c>
      <c r="Y200" s="1965"/>
      <c r="Z200" s="1965"/>
      <c r="AA200" s="1965"/>
      <c r="AB200" s="1965"/>
      <c r="AC200" s="1965"/>
      <c r="AD200" s="1965"/>
      <c r="AE200" s="196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6" t="s">
        <v>2307</v>
      </c>
      <c r="D201" s="1956"/>
      <c r="E201" s="1956"/>
      <c r="F201" s="1956"/>
      <c r="G201" s="1956"/>
      <c r="H201" s="1956"/>
      <c r="I201" s="1956"/>
      <c r="J201" s="1956"/>
      <c r="K201" s="1956"/>
      <c r="L201" s="1956"/>
      <c r="M201" s="1956"/>
      <c r="N201" s="1956"/>
      <c r="O201" s="1957" t="s">
        <v>2306</v>
      </c>
      <c r="P201" s="1957"/>
      <c r="Q201" s="1957"/>
      <c r="R201" s="1957"/>
      <c r="S201" s="1957"/>
      <c r="T201" s="1957"/>
      <c r="U201" s="1957"/>
      <c r="V201" s="1957"/>
      <c r="W201" s="1957"/>
      <c r="X201" s="1958">
        <v>0.03</v>
      </c>
      <c r="Y201" s="1958"/>
      <c r="Z201" s="1958"/>
      <c r="AA201" s="1958"/>
      <c r="AB201" s="1958"/>
      <c r="AC201" s="1958"/>
      <c r="AD201" s="1958"/>
      <c r="AE201" s="195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6" t="s">
        <v>854</v>
      </c>
      <c r="D202" s="1956"/>
      <c r="E202" s="1956"/>
      <c r="F202" s="1956"/>
      <c r="G202" s="1956"/>
      <c r="H202" s="1956"/>
      <c r="I202" s="1956"/>
      <c r="J202" s="1956"/>
      <c r="K202" s="1956"/>
      <c r="L202" s="1956"/>
      <c r="M202" s="1956"/>
      <c r="N202" s="1956"/>
      <c r="O202" s="1957" t="s">
        <v>2306</v>
      </c>
      <c r="P202" s="1957"/>
      <c r="Q202" s="1957"/>
      <c r="R202" s="1957"/>
      <c r="S202" s="1957"/>
      <c r="T202" s="1957"/>
      <c r="U202" s="1957"/>
      <c r="V202" s="1957"/>
      <c r="W202" s="1957"/>
      <c r="X202" s="1958">
        <v>0.03</v>
      </c>
      <c r="Y202" s="1958"/>
      <c r="Z202" s="1958"/>
      <c r="AA202" s="1958"/>
      <c r="AB202" s="1958"/>
      <c r="AC202" s="1958"/>
      <c r="AD202" s="1958"/>
      <c r="AE202" s="195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6" t="s">
        <v>2305</v>
      </c>
      <c r="D203" s="1956"/>
      <c r="E203" s="1956"/>
      <c r="F203" s="1956"/>
      <c r="G203" s="1956"/>
      <c r="H203" s="1956"/>
      <c r="I203" s="1956"/>
      <c r="J203" s="1956"/>
      <c r="K203" s="1956"/>
      <c r="L203" s="1956"/>
      <c r="M203" s="1956"/>
      <c r="N203" s="1956"/>
      <c r="O203" s="1959">
        <f>SUM(O201:W202)</f>
        <v>0</v>
      </c>
      <c r="P203" s="1960"/>
      <c r="Q203" s="1960"/>
      <c r="R203" s="1960"/>
      <c r="S203" s="1960"/>
      <c r="T203" s="1960"/>
      <c r="U203" s="1960"/>
      <c r="V203" s="1960"/>
      <c r="W203" s="1960"/>
      <c r="X203" s="1960" t="s">
        <v>2304</v>
      </c>
      <c r="Y203" s="1960"/>
      <c r="Z203" s="1960"/>
      <c r="AA203" s="1960"/>
      <c r="AB203" s="1960"/>
      <c r="AC203" s="1960"/>
      <c r="AD203" s="1960"/>
      <c r="AE203" s="196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0" t="s">
        <v>2303</v>
      </c>
      <c r="D204" s="1930"/>
      <c r="E204" s="1930"/>
      <c r="F204" s="1930"/>
      <c r="G204" s="1930"/>
      <c r="H204" s="1930"/>
      <c r="I204" s="1930"/>
      <c r="J204" s="1930"/>
      <c r="K204" s="1930"/>
      <c r="L204" s="1930"/>
      <c r="M204" s="1930"/>
      <c r="N204" s="1930"/>
      <c r="O204" s="1930"/>
      <c r="P204" s="1930"/>
      <c r="Q204" s="1930"/>
      <c r="R204" s="1930"/>
      <c r="S204" s="1930"/>
      <c r="T204" s="1930"/>
      <c r="U204" s="1930"/>
      <c r="V204" s="1930"/>
      <c r="W204" s="1930"/>
      <c r="X204" s="1930"/>
      <c r="Y204" s="1930"/>
      <c r="Z204" s="1930"/>
      <c r="AA204" s="1930"/>
      <c r="AB204" s="1930"/>
      <c r="AC204" s="1930"/>
      <c r="AD204" s="1930"/>
      <c r="AE204" s="193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1" t="s">
        <v>2302</v>
      </c>
      <c r="D206" s="1932"/>
      <c r="E206" s="1932"/>
      <c r="F206" s="1932"/>
      <c r="G206" s="1932"/>
      <c r="H206" s="1932"/>
      <c r="I206" s="1932"/>
      <c r="J206" s="1932"/>
      <c r="K206" s="1932"/>
      <c r="L206" s="1932"/>
      <c r="M206" s="1932"/>
      <c r="N206" s="1932"/>
      <c r="O206" s="1932"/>
      <c r="P206" s="1932"/>
      <c r="Q206" s="1932"/>
      <c r="R206" s="1932"/>
      <c r="S206" s="1932"/>
      <c r="T206" s="1932"/>
      <c r="U206" s="1932"/>
      <c r="V206" s="1932"/>
      <c r="W206" s="1932"/>
      <c r="X206" s="1932"/>
      <c r="Y206" s="1932"/>
      <c r="Z206" s="1932"/>
      <c r="AA206" s="1932"/>
      <c r="AB206" s="1932"/>
      <c r="AC206" s="1932"/>
      <c r="AD206" s="1932"/>
      <c r="AE206" s="1932"/>
      <c r="AF206" s="1932"/>
      <c r="AG206" s="1932"/>
      <c r="AH206" s="1932"/>
      <c r="AI206" s="1932"/>
      <c r="AJ206" s="1932"/>
      <c r="AK206" s="193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4" t="s">
        <v>2301</v>
      </c>
      <c r="D207" s="1935"/>
      <c r="E207" s="1935"/>
      <c r="F207" s="1936"/>
      <c r="G207" s="1940" t="s">
        <v>2300</v>
      </c>
      <c r="H207" s="1935"/>
      <c r="I207" s="1935"/>
      <c r="J207" s="1935"/>
      <c r="K207" s="1935"/>
      <c r="L207" s="1935"/>
      <c r="M207" s="1935"/>
      <c r="N207" s="1935"/>
      <c r="O207" s="1936"/>
      <c r="P207" s="1942" t="s">
        <v>2299</v>
      </c>
      <c r="Q207" s="1943"/>
      <c r="R207" s="1943"/>
      <c r="S207" s="1943"/>
      <c r="T207" s="1944"/>
      <c r="U207" s="1948" t="s">
        <v>2298</v>
      </c>
      <c r="V207" s="1949"/>
      <c r="W207" s="1949"/>
      <c r="X207" s="1950"/>
      <c r="Y207" s="1948" t="s">
        <v>2297</v>
      </c>
      <c r="Z207" s="1949"/>
      <c r="AA207" s="1949"/>
      <c r="AB207" s="1950"/>
      <c r="AC207" s="1948" t="s">
        <v>2296</v>
      </c>
      <c r="AD207" s="1949"/>
      <c r="AE207" s="1949"/>
      <c r="AF207" s="1950"/>
      <c r="AG207" s="1940" t="s">
        <v>2295</v>
      </c>
      <c r="AH207" s="1935"/>
      <c r="AI207" s="1935"/>
      <c r="AJ207" s="1935"/>
      <c r="AK207" s="195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7"/>
      <c r="D208" s="1938"/>
      <c r="E208" s="1938"/>
      <c r="F208" s="1939"/>
      <c r="G208" s="1941"/>
      <c r="H208" s="1938"/>
      <c r="I208" s="1938"/>
      <c r="J208" s="1938"/>
      <c r="K208" s="1938"/>
      <c r="L208" s="1938"/>
      <c r="M208" s="1938"/>
      <c r="N208" s="1938"/>
      <c r="O208" s="1939"/>
      <c r="P208" s="1945"/>
      <c r="Q208" s="1946"/>
      <c r="R208" s="1946"/>
      <c r="S208" s="1946"/>
      <c r="T208" s="1947"/>
      <c r="U208" s="1951"/>
      <c r="V208" s="1952"/>
      <c r="W208" s="1952"/>
      <c r="X208" s="1953"/>
      <c r="Y208" s="1951"/>
      <c r="Z208" s="1952"/>
      <c r="AA208" s="1952"/>
      <c r="AB208" s="1953"/>
      <c r="AC208" s="1951"/>
      <c r="AD208" s="1952"/>
      <c r="AE208" s="1952"/>
      <c r="AF208" s="1953"/>
      <c r="AG208" s="1941"/>
      <c r="AH208" s="1938"/>
      <c r="AI208" s="1938"/>
      <c r="AJ208" s="1938"/>
      <c r="AK208" s="195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3">
        <v>1</v>
      </c>
      <c r="D209" s="1924"/>
      <c r="E209" s="1924"/>
      <c r="F209" s="1924"/>
      <c r="G209" s="1925" t="s">
        <v>1884</v>
      </c>
      <c r="H209" s="1925"/>
      <c r="I209" s="1925"/>
      <c r="J209" s="1925"/>
      <c r="K209" s="1925"/>
      <c r="L209" s="1925"/>
      <c r="M209" s="1925"/>
      <c r="N209" s="1925"/>
      <c r="O209" s="1925"/>
      <c r="P209" s="1926"/>
      <c r="Q209" s="1929"/>
      <c r="R209" s="1929"/>
      <c r="S209" s="1929"/>
      <c r="T209" s="1929"/>
      <c r="U209" s="1927" t="s">
        <v>1884</v>
      </c>
      <c r="V209" s="1927"/>
      <c r="W209" s="1927"/>
      <c r="X209" s="1927"/>
      <c r="Y209" s="1927" t="s">
        <v>1884</v>
      </c>
      <c r="Z209" s="1927"/>
      <c r="AA209" s="1927"/>
      <c r="AB209" s="1927"/>
      <c r="AC209" s="1928" t="s">
        <v>1884</v>
      </c>
      <c r="AD209" s="1928"/>
      <c r="AE209" s="1928"/>
      <c r="AF209" s="1928"/>
      <c r="AG209" s="1912"/>
      <c r="AH209" s="1913"/>
      <c r="AI209" s="1913"/>
      <c r="AJ209" s="1913"/>
      <c r="AK209" s="191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3">
        <v>2</v>
      </c>
      <c r="D210" s="1924"/>
      <c r="E210" s="1924"/>
      <c r="F210" s="1924"/>
      <c r="G210" s="1925" t="s">
        <v>1884</v>
      </c>
      <c r="H210" s="1925"/>
      <c r="I210" s="1925"/>
      <c r="J210" s="1925"/>
      <c r="K210" s="1925"/>
      <c r="L210" s="1925"/>
      <c r="M210" s="1925"/>
      <c r="N210" s="1925"/>
      <c r="O210" s="1925"/>
      <c r="P210" s="1926"/>
      <c r="Q210" s="1926"/>
      <c r="R210" s="1926"/>
      <c r="S210" s="1926"/>
      <c r="T210" s="1926"/>
      <c r="U210" s="1927" t="s">
        <v>1884</v>
      </c>
      <c r="V210" s="1927"/>
      <c r="W210" s="1927"/>
      <c r="X210" s="1927"/>
      <c r="Y210" s="1927" t="s">
        <v>1884</v>
      </c>
      <c r="Z210" s="1927"/>
      <c r="AA210" s="1927"/>
      <c r="AB210" s="1927"/>
      <c r="AC210" s="1928" t="s">
        <v>1884</v>
      </c>
      <c r="AD210" s="1928"/>
      <c r="AE210" s="1928"/>
      <c r="AF210" s="1928"/>
      <c r="AG210" s="1912"/>
      <c r="AH210" s="1913"/>
      <c r="AI210" s="1913"/>
      <c r="AJ210" s="1913"/>
      <c r="AK210" s="191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3">
        <v>3</v>
      </c>
      <c r="D211" s="1924"/>
      <c r="E211" s="1924"/>
      <c r="F211" s="1924"/>
      <c r="G211" s="1925" t="s">
        <v>1884</v>
      </c>
      <c r="H211" s="1925"/>
      <c r="I211" s="1925"/>
      <c r="J211" s="1925"/>
      <c r="K211" s="1925"/>
      <c r="L211" s="1925"/>
      <c r="M211" s="1925"/>
      <c r="N211" s="1925"/>
      <c r="O211" s="1925"/>
      <c r="P211" s="1926"/>
      <c r="Q211" s="1926"/>
      <c r="R211" s="1926"/>
      <c r="S211" s="1926"/>
      <c r="T211" s="1926"/>
      <c r="U211" s="1927" t="s">
        <v>1884</v>
      </c>
      <c r="V211" s="1927"/>
      <c r="W211" s="1927"/>
      <c r="X211" s="1927"/>
      <c r="Y211" s="1927" t="s">
        <v>1884</v>
      </c>
      <c r="Z211" s="1927"/>
      <c r="AA211" s="1927"/>
      <c r="AB211" s="1927"/>
      <c r="AC211" s="1928" t="s">
        <v>1884</v>
      </c>
      <c r="AD211" s="1928"/>
      <c r="AE211" s="1928"/>
      <c r="AF211" s="1928"/>
      <c r="AG211" s="1912"/>
      <c r="AH211" s="1913"/>
      <c r="AI211" s="1913"/>
      <c r="AJ211" s="1913"/>
      <c r="AK211" s="191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3">
        <v>4</v>
      </c>
      <c r="D212" s="1924"/>
      <c r="E212" s="1924"/>
      <c r="F212" s="1924"/>
      <c r="G212" s="1925" t="s">
        <v>1884</v>
      </c>
      <c r="H212" s="1925"/>
      <c r="I212" s="1925"/>
      <c r="J212" s="1925"/>
      <c r="K212" s="1925"/>
      <c r="L212" s="1925"/>
      <c r="M212" s="1925"/>
      <c r="N212" s="1925"/>
      <c r="O212" s="1925"/>
      <c r="P212" s="1926"/>
      <c r="Q212" s="1926"/>
      <c r="R212" s="1926"/>
      <c r="S212" s="1926"/>
      <c r="T212" s="1926"/>
      <c r="U212" s="1927" t="s">
        <v>1884</v>
      </c>
      <c r="V212" s="1927"/>
      <c r="W212" s="1927"/>
      <c r="X212" s="1927"/>
      <c r="Y212" s="1927" t="s">
        <v>1884</v>
      </c>
      <c r="Z212" s="1927"/>
      <c r="AA212" s="1927"/>
      <c r="AB212" s="1927"/>
      <c r="AC212" s="1928" t="s">
        <v>1884</v>
      </c>
      <c r="AD212" s="1928"/>
      <c r="AE212" s="1928"/>
      <c r="AF212" s="1928"/>
      <c r="AG212" s="1912"/>
      <c r="AH212" s="1913"/>
      <c r="AI212" s="1913"/>
      <c r="AJ212" s="1913"/>
      <c r="AK212" s="191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3">
        <v>5</v>
      </c>
      <c r="D213" s="1924"/>
      <c r="E213" s="1924"/>
      <c r="F213" s="1924"/>
      <c r="G213" s="1925" t="s">
        <v>1884</v>
      </c>
      <c r="H213" s="1925"/>
      <c r="I213" s="1925"/>
      <c r="J213" s="1925"/>
      <c r="K213" s="1925"/>
      <c r="L213" s="1925"/>
      <c r="M213" s="1925"/>
      <c r="N213" s="1925"/>
      <c r="O213" s="1925"/>
      <c r="P213" s="1926"/>
      <c r="Q213" s="1926"/>
      <c r="R213" s="1926"/>
      <c r="S213" s="1926"/>
      <c r="T213" s="1926"/>
      <c r="U213" s="1927" t="s">
        <v>1884</v>
      </c>
      <c r="V213" s="1927"/>
      <c r="W213" s="1927"/>
      <c r="X213" s="1927"/>
      <c r="Y213" s="1927" t="s">
        <v>1884</v>
      </c>
      <c r="Z213" s="1927"/>
      <c r="AA213" s="1927"/>
      <c r="AB213" s="1927"/>
      <c r="AC213" s="1928" t="s">
        <v>1884</v>
      </c>
      <c r="AD213" s="1928"/>
      <c r="AE213" s="1928"/>
      <c r="AF213" s="1928"/>
      <c r="AG213" s="1912"/>
      <c r="AH213" s="1913"/>
      <c r="AI213" s="1913"/>
      <c r="AJ213" s="1913"/>
      <c r="AK213" s="191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3">
        <v>6</v>
      </c>
      <c r="D214" s="1924"/>
      <c r="E214" s="1924"/>
      <c r="F214" s="1924"/>
      <c r="G214" s="1925" t="s">
        <v>1884</v>
      </c>
      <c r="H214" s="1925"/>
      <c r="I214" s="1925"/>
      <c r="J214" s="1925"/>
      <c r="K214" s="1925"/>
      <c r="L214" s="1925"/>
      <c r="M214" s="1925"/>
      <c r="N214" s="1925"/>
      <c r="O214" s="1925"/>
      <c r="P214" s="1926"/>
      <c r="Q214" s="1926"/>
      <c r="R214" s="1926"/>
      <c r="S214" s="1926"/>
      <c r="T214" s="1926"/>
      <c r="U214" s="1927"/>
      <c r="V214" s="1927"/>
      <c r="W214" s="1927"/>
      <c r="X214" s="1927"/>
      <c r="Y214" s="1927"/>
      <c r="Z214" s="1927"/>
      <c r="AA214" s="1927"/>
      <c r="AB214" s="1927"/>
      <c r="AC214" s="1928" t="s">
        <v>1884</v>
      </c>
      <c r="AD214" s="1928"/>
      <c r="AE214" s="1928"/>
      <c r="AF214" s="1928"/>
      <c r="AG214" s="1912"/>
      <c r="AH214" s="1913"/>
      <c r="AI214" s="1913"/>
      <c r="AJ214" s="1913"/>
      <c r="AK214" s="191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3">
        <v>7</v>
      </c>
      <c r="D215" s="1924"/>
      <c r="E215" s="1924"/>
      <c r="F215" s="1924"/>
      <c r="G215" s="1925"/>
      <c r="H215" s="1925"/>
      <c r="I215" s="1925"/>
      <c r="J215" s="1925"/>
      <c r="K215" s="1925"/>
      <c r="L215" s="1925"/>
      <c r="M215" s="1925"/>
      <c r="N215" s="1925"/>
      <c r="O215" s="1925"/>
      <c r="P215" s="1926"/>
      <c r="Q215" s="1926"/>
      <c r="R215" s="1926"/>
      <c r="S215" s="1926"/>
      <c r="T215" s="1926"/>
      <c r="U215" s="1927"/>
      <c r="V215" s="1927"/>
      <c r="W215" s="1927"/>
      <c r="X215" s="1927"/>
      <c r="Y215" s="1927"/>
      <c r="Z215" s="1927"/>
      <c r="AA215" s="1927"/>
      <c r="AB215" s="1927"/>
      <c r="AC215" s="1928" t="s">
        <v>1884</v>
      </c>
      <c r="AD215" s="1928"/>
      <c r="AE215" s="1928"/>
      <c r="AF215" s="1928"/>
      <c r="AG215" s="1912"/>
      <c r="AH215" s="1913"/>
      <c r="AI215" s="1913"/>
      <c r="AJ215" s="1913"/>
      <c r="AK215" s="191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5" t="s">
        <v>2294</v>
      </c>
      <c r="D216" s="1916"/>
      <c r="E216" s="1916"/>
      <c r="F216" s="1916"/>
      <c r="G216" s="1916"/>
      <c r="H216" s="1916"/>
      <c r="I216" s="1916"/>
      <c r="J216" s="1916"/>
      <c r="K216" s="1916"/>
      <c r="L216" s="1916"/>
      <c r="M216" s="1916"/>
      <c r="N216" s="1916"/>
      <c r="O216" s="1916"/>
      <c r="P216" s="1917"/>
      <c r="Q216" s="1917"/>
      <c r="R216" s="1917"/>
      <c r="S216" s="1917"/>
      <c r="T216" s="1917"/>
      <c r="U216" s="1918">
        <f>-SUM(U209:U215)</f>
        <v>0</v>
      </c>
      <c r="V216" s="1918"/>
      <c r="W216" s="1918"/>
      <c r="X216" s="1918"/>
      <c r="Y216" s="1918">
        <f>-SUM(Y209:Y215)</f>
        <v>0</v>
      </c>
      <c r="Z216" s="1918"/>
      <c r="AA216" s="1918"/>
      <c r="AB216" s="1918"/>
      <c r="AC216" s="1919">
        <f>-SUM(AC209:AC215)</f>
        <v>0</v>
      </c>
      <c r="AD216" s="1919"/>
      <c r="AE216" s="1919"/>
      <c r="AF216" s="1919"/>
      <c r="AG216" s="1920"/>
      <c r="AH216" s="1921"/>
      <c r="AI216" s="1921"/>
      <c r="AJ216" s="1921"/>
      <c r="AK216" s="192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9" t="s">
        <v>2292</v>
      </c>
      <c r="C221" s="1900"/>
      <c r="D221" s="1900"/>
      <c r="E221" s="1900"/>
      <c r="F221" s="1900"/>
      <c r="G221" s="1900"/>
      <c r="H221" s="1900"/>
      <c r="I221" s="1900"/>
      <c r="J221" s="1900"/>
      <c r="K221" s="1900"/>
      <c r="L221" s="1900"/>
      <c r="M221" s="1900"/>
      <c r="N221" s="1900"/>
      <c r="O221" s="1900"/>
      <c r="P221" s="1900"/>
      <c r="Q221" s="1900"/>
      <c r="R221" s="1900"/>
      <c r="S221" s="1900"/>
      <c r="T221" s="1900"/>
      <c r="U221" s="1900"/>
      <c r="V221" s="1900"/>
      <c r="W221" s="1900"/>
      <c r="X221" s="1900"/>
      <c r="Y221" s="1900"/>
      <c r="Z221" s="1900"/>
      <c r="AA221" s="1900"/>
      <c r="AB221" s="1900"/>
      <c r="AC221" s="1900"/>
      <c r="AD221" s="1900"/>
      <c r="AE221" s="1900"/>
      <c r="AF221" s="1900"/>
      <c r="AG221" s="1900"/>
      <c r="AH221" s="1900"/>
      <c r="AI221" s="1900"/>
      <c r="AJ221" s="1900"/>
      <c r="AK221" s="1900"/>
      <c r="AL221" s="1900"/>
      <c r="AM221" s="1900"/>
      <c r="AN221" s="1900"/>
      <c r="AO221" s="1900"/>
      <c r="AP221" s="1900"/>
      <c r="AQ221" s="1900"/>
      <c r="AR221" s="1900"/>
      <c r="AS221" s="1900"/>
      <c r="AT221" s="1900"/>
      <c r="AU221" s="1900"/>
      <c r="AV221" s="1900"/>
      <c r="AW221" s="1900"/>
      <c r="AX221" s="1900"/>
      <c r="AY221" s="1900"/>
      <c r="AZ221" s="1900"/>
      <c r="BA221" s="1900"/>
      <c r="BB221" s="1900"/>
      <c r="BC221" s="1900"/>
      <c r="BD221" s="1901"/>
      <c r="BE221" s="1194"/>
    </row>
    <row r="222" spans="1:57" ht="15.75" customHeight="1">
      <c r="A222" s="1190"/>
      <c r="B222" s="1902"/>
      <c r="C222" s="1903"/>
      <c r="D222" s="1903"/>
      <c r="E222" s="1903"/>
      <c r="F222" s="1903"/>
      <c r="G222" s="1903"/>
      <c r="H222" s="1903"/>
      <c r="I222" s="1903"/>
      <c r="J222" s="1903"/>
      <c r="K222" s="1903"/>
      <c r="L222" s="1903"/>
      <c r="M222" s="1903"/>
      <c r="N222" s="1903"/>
      <c r="O222" s="1903"/>
      <c r="P222" s="1903"/>
      <c r="Q222" s="1903"/>
      <c r="R222" s="1903"/>
      <c r="S222" s="1903"/>
      <c r="T222" s="1903"/>
      <c r="U222" s="1903"/>
      <c r="V222" s="1903"/>
      <c r="W222" s="1903"/>
      <c r="X222" s="1903"/>
      <c r="Y222" s="1903"/>
      <c r="Z222" s="1903"/>
      <c r="AA222" s="1903"/>
      <c r="AB222" s="1903"/>
      <c r="AC222" s="1903"/>
      <c r="AD222" s="1903"/>
      <c r="AE222" s="1903"/>
      <c r="AF222" s="1903"/>
      <c r="AG222" s="1903"/>
      <c r="AH222" s="1903"/>
      <c r="AI222" s="1903"/>
      <c r="AJ222" s="1903"/>
      <c r="AK222" s="1903"/>
      <c r="AL222" s="1903"/>
      <c r="AM222" s="1903"/>
      <c r="AN222" s="1903"/>
      <c r="AO222" s="1903"/>
      <c r="AP222" s="1903"/>
      <c r="AQ222" s="1903"/>
      <c r="AR222" s="1903"/>
      <c r="AS222" s="1903"/>
      <c r="AT222" s="1903"/>
      <c r="AU222" s="1903"/>
      <c r="AV222" s="1903"/>
      <c r="AW222" s="1903"/>
      <c r="AX222" s="1903"/>
      <c r="AY222" s="1903"/>
      <c r="AZ222" s="1903"/>
      <c r="BA222" s="1903"/>
      <c r="BB222" s="1903"/>
      <c r="BC222" s="1903"/>
      <c r="BD222" s="1904"/>
      <c r="BE222" s="1194"/>
    </row>
    <row r="223" spans="1:57" ht="15.75" customHeight="1">
      <c r="A223" s="1190"/>
      <c r="B223" s="1905" t="s">
        <v>2291</v>
      </c>
      <c r="C223" s="1906"/>
      <c r="D223" s="1906"/>
      <c r="E223" s="1906"/>
      <c r="F223" s="1906"/>
      <c r="G223" s="1906"/>
      <c r="H223" s="1906"/>
      <c r="I223" s="1906"/>
      <c r="J223" s="1906"/>
      <c r="K223" s="1906"/>
      <c r="L223" s="1906"/>
      <c r="M223" s="1906"/>
      <c r="N223" s="1906"/>
      <c r="O223" s="1906"/>
      <c r="P223" s="1906"/>
      <c r="Q223" s="1906"/>
      <c r="R223" s="1906"/>
      <c r="S223" s="1906"/>
      <c r="T223" s="1906"/>
      <c r="U223" s="1906"/>
      <c r="V223" s="1906"/>
      <c r="W223" s="1906"/>
      <c r="X223" s="1906"/>
      <c r="Y223" s="1906"/>
      <c r="Z223" s="1906"/>
      <c r="AA223" s="1906"/>
      <c r="AB223" s="1906"/>
      <c r="AC223" s="1906"/>
      <c r="AD223" s="1906"/>
      <c r="AE223" s="1906"/>
      <c r="AF223" s="1906"/>
      <c r="AG223" s="1906"/>
      <c r="AH223" s="1906"/>
      <c r="AI223" s="1906"/>
      <c r="AJ223" s="1906"/>
      <c r="AK223" s="1906"/>
      <c r="AL223" s="1906"/>
      <c r="AM223" s="1906"/>
      <c r="AN223" s="1906"/>
      <c r="AO223" s="1906"/>
      <c r="AP223" s="1906"/>
      <c r="AQ223" s="1906"/>
      <c r="AR223" s="1906"/>
      <c r="AS223" s="1906"/>
      <c r="AT223" s="1906"/>
      <c r="AU223" s="1906"/>
      <c r="AV223" s="1906"/>
      <c r="AW223" s="1906"/>
      <c r="AX223" s="1906"/>
      <c r="AY223" s="1906"/>
      <c r="AZ223" s="1906"/>
      <c r="BA223" s="1906"/>
      <c r="BB223" s="1906"/>
      <c r="BC223" s="1906"/>
      <c r="BD223" s="1907"/>
      <c r="BE223" s="1194"/>
    </row>
    <row r="224" spans="1:57" ht="15.75" customHeight="1">
      <c r="A224" s="1190"/>
      <c r="B224" s="1905" t="s">
        <v>2290</v>
      </c>
      <c r="C224" s="1906"/>
      <c r="D224" s="1906"/>
      <c r="E224" s="1906"/>
      <c r="F224" s="1906"/>
      <c r="G224" s="1906"/>
      <c r="H224" s="1906"/>
      <c r="I224" s="1906"/>
      <c r="J224" s="1906"/>
      <c r="K224" s="1906"/>
      <c r="L224" s="1906"/>
      <c r="M224" s="1906"/>
      <c r="N224" s="1906"/>
      <c r="O224" s="1906"/>
      <c r="P224" s="1906"/>
      <c r="Q224" s="1906"/>
      <c r="R224" s="1906"/>
      <c r="S224" s="1906"/>
      <c r="T224" s="1906"/>
      <c r="U224" s="1906"/>
      <c r="V224" s="1906"/>
      <c r="W224" s="1906"/>
      <c r="X224" s="1906"/>
      <c r="Y224" s="1906"/>
      <c r="Z224" s="1906"/>
      <c r="AA224" s="1906"/>
      <c r="AB224" s="1906"/>
      <c r="AC224" s="1906"/>
      <c r="AD224" s="1906"/>
      <c r="AE224" s="1906"/>
      <c r="AF224" s="1906"/>
      <c r="AG224" s="1906"/>
      <c r="AH224" s="1906"/>
      <c r="AI224" s="1906"/>
      <c r="AJ224" s="1906"/>
      <c r="AK224" s="1906"/>
      <c r="AL224" s="1906"/>
      <c r="AM224" s="1906"/>
      <c r="AN224" s="1906"/>
      <c r="AO224" s="1906"/>
      <c r="AP224" s="1906"/>
      <c r="AQ224" s="1906"/>
      <c r="AR224" s="1906"/>
      <c r="AS224" s="1906"/>
      <c r="AT224" s="1906"/>
      <c r="AU224" s="1906"/>
      <c r="AV224" s="1906"/>
      <c r="AW224" s="1906"/>
      <c r="AX224" s="1906"/>
      <c r="AY224" s="1906"/>
      <c r="AZ224" s="1906"/>
      <c r="BA224" s="1906"/>
      <c r="BB224" s="1906"/>
      <c r="BC224" s="1906"/>
      <c r="BD224" s="190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8" t="s">
        <v>2289</v>
      </c>
      <c r="C226" s="1909"/>
      <c r="D226" s="1909"/>
      <c r="E226" s="1909"/>
      <c r="F226" s="1909"/>
      <c r="G226" s="1909"/>
      <c r="H226" s="1909"/>
      <c r="I226" s="1909"/>
      <c r="J226" s="1909"/>
      <c r="K226" s="1909"/>
      <c r="L226" s="1909"/>
      <c r="M226" s="1909"/>
      <c r="N226" s="1909"/>
      <c r="O226" s="1909"/>
      <c r="P226" s="1909"/>
      <c r="Q226" s="1909"/>
      <c r="R226" s="1909"/>
      <c r="S226" s="1909"/>
      <c r="T226" s="1909"/>
      <c r="U226" s="1909"/>
      <c r="V226" s="1909"/>
      <c r="W226" s="1909"/>
      <c r="X226" s="1909"/>
      <c r="Y226" s="1909"/>
      <c r="Z226" s="1909"/>
      <c r="AA226" s="1909"/>
      <c r="AB226" s="1909"/>
      <c r="AC226" s="1909"/>
      <c r="AD226" s="1909"/>
      <c r="AE226" s="1909"/>
      <c r="AF226" s="1909"/>
      <c r="AG226" s="1909"/>
      <c r="AH226" s="1909"/>
      <c r="AI226" s="1909"/>
      <c r="AJ226" s="1909"/>
      <c r="AK226" s="1909"/>
      <c r="AL226" s="1909"/>
      <c r="AM226" s="1909"/>
      <c r="AN226" s="1909"/>
      <c r="AO226" s="1909"/>
      <c r="AP226" s="1909"/>
      <c r="AQ226" s="1909"/>
      <c r="AR226" s="1909"/>
      <c r="AS226" s="1909"/>
      <c r="AT226" s="1909"/>
      <c r="AU226" s="1909"/>
      <c r="AV226" s="1909"/>
      <c r="AW226" s="1909"/>
      <c r="AX226" s="1909"/>
      <c r="AY226" s="1909"/>
      <c r="AZ226" s="1909"/>
      <c r="BA226" s="1909"/>
      <c r="BB226" s="1909"/>
      <c r="BC226" s="1909"/>
      <c r="BD226" s="191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1" t="s">
        <v>2287</v>
      </c>
      <c r="I230" s="1911"/>
      <c r="J230" s="1911"/>
      <c r="K230" s="1911"/>
      <c r="L230" s="1911"/>
      <c r="M230" s="1911"/>
      <c r="N230" s="1911"/>
      <c r="O230" s="1911"/>
      <c r="P230" s="1911"/>
      <c r="Q230" s="1911"/>
      <c r="R230" s="1911"/>
      <c r="S230" s="1911"/>
      <c r="T230" s="1911"/>
      <c r="U230" s="1911"/>
      <c r="V230" s="1911"/>
      <c r="W230" s="1911"/>
      <c r="X230" s="1911"/>
      <c r="Y230" s="1911"/>
      <c r="Z230" s="1911"/>
      <c r="AA230" s="1911"/>
      <c r="AB230" s="1911"/>
      <c r="AC230" s="1911"/>
      <c r="AD230" s="1911"/>
      <c r="AE230" s="1911"/>
      <c r="AF230" s="1911"/>
      <c r="AG230" s="1911"/>
      <c r="AH230" s="1911"/>
      <c r="AI230" s="1911"/>
      <c r="AJ230" s="1911"/>
      <c r="AK230" s="1911"/>
      <c r="AL230" s="1911"/>
      <c r="AM230" s="1911"/>
      <c r="AN230" s="1911"/>
      <c r="AO230" s="1911"/>
      <c r="AP230" s="1911"/>
      <c r="AQ230" s="1911"/>
      <c r="AR230" s="1911"/>
      <c r="AS230" s="1911"/>
      <c r="AT230" s="1911"/>
      <c r="AU230" s="1911"/>
      <c r="AV230" s="1911"/>
      <c r="AW230" s="1911"/>
      <c r="AX230" s="1911"/>
      <c r="AY230" s="191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4" t="s">
        <v>2286</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894"/>
      <c r="AX232" s="1894"/>
      <c r="AY232" s="1894"/>
      <c r="AZ232" s="1894"/>
      <c r="BA232" s="1190"/>
      <c r="BB232" s="1190"/>
      <c r="BC232" s="1190"/>
      <c r="BD232" s="1194"/>
      <c r="BE232" s="1194"/>
    </row>
    <row r="233" spans="1:57" ht="15.75" customHeight="1">
      <c r="A233" s="1190"/>
      <c r="B233" s="1189"/>
      <c r="C233" s="1190"/>
      <c r="D233" s="1190"/>
      <c r="E233" s="1190"/>
      <c r="F233" s="1190"/>
      <c r="G233" s="1190"/>
      <c r="H233" s="1894"/>
      <c r="I233" s="1894"/>
      <c r="J233" s="1894"/>
      <c r="K233" s="1894"/>
      <c r="L233" s="1894"/>
      <c r="M233" s="1894"/>
      <c r="N233" s="1894"/>
      <c r="O233" s="1894"/>
      <c r="P233" s="1894"/>
      <c r="Q233" s="1894"/>
      <c r="R233" s="1894"/>
      <c r="S233" s="1894"/>
      <c r="T233" s="1894"/>
      <c r="U233" s="1894"/>
      <c r="V233" s="1894"/>
      <c r="W233" s="1894"/>
      <c r="X233" s="1894"/>
      <c r="Y233" s="1894"/>
      <c r="Z233" s="1894"/>
      <c r="AA233" s="1894"/>
      <c r="AB233" s="1894"/>
      <c r="AC233" s="1894"/>
      <c r="AD233" s="1894"/>
      <c r="AE233" s="1894"/>
      <c r="AF233" s="1894"/>
      <c r="AG233" s="1894"/>
      <c r="AH233" s="1894"/>
      <c r="AI233" s="1894"/>
      <c r="AJ233" s="1894"/>
      <c r="AK233" s="1894"/>
      <c r="AL233" s="1894"/>
      <c r="AM233" s="1894"/>
      <c r="AN233" s="1894"/>
      <c r="AO233" s="1894"/>
      <c r="AP233" s="1894"/>
      <c r="AQ233" s="1894"/>
      <c r="AR233" s="1894"/>
      <c r="AS233" s="1894"/>
      <c r="AT233" s="1894"/>
      <c r="AU233" s="1894"/>
      <c r="AV233" s="1894"/>
      <c r="AW233" s="1894"/>
      <c r="AX233" s="1894"/>
      <c r="AY233" s="1894"/>
      <c r="AZ233" s="1894"/>
      <c r="BA233" s="1190"/>
      <c r="BB233" s="1190"/>
      <c r="BC233" s="1190"/>
      <c r="BD233" s="1194"/>
      <c r="BE233" s="1194"/>
    </row>
    <row r="234" spans="1:57" ht="15.75" customHeight="1">
      <c r="A234" s="1190"/>
      <c r="B234" s="1189"/>
      <c r="C234" s="1190"/>
      <c r="D234" s="1190"/>
      <c r="E234" s="1190"/>
      <c r="F234" s="1190"/>
      <c r="G234" s="1190"/>
      <c r="H234" s="1894"/>
      <c r="I234" s="1894"/>
      <c r="J234" s="1894"/>
      <c r="K234" s="1894"/>
      <c r="L234" s="1894"/>
      <c r="M234" s="1894"/>
      <c r="N234" s="1894"/>
      <c r="O234" s="1894"/>
      <c r="P234" s="1894"/>
      <c r="Q234" s="1894"/>
      <c r="R234" s="1894"/>
      <c r="S234" s="1894"/>
      <c r="T234" s="1894"/>
      <c r="U234" s="1894"/>
      <c r="V234" s="1894"/>
      <c r="W234" s="1894"/>
      <c r="X234" s="1894"/>
      <c r="Y234" s="1894"/>
      <c r="Z234" s="1894"/>
      <c r="AA234" s="1894"/>
      <c r="AB234" s="1894"/>
      <c r="AC234" s="1894"/>
      <c r="AD234" s="1894"/>
      <c r="AE234" s="1894"/>
      <c r="AF234" s="1894"/>
      <c r="AG234" s="1894"/>
      <c r="AH234" s="1894"/>
      <c r="AI234" s="1894"/>
      <c r="AJ234" s="1894"/>
      <c r="AK234" s="1894"/>
      <c r="AL234" s="1894"/>
      <c r="AM234" s="1894"/>
      <c r="AN234" s="1894"/>
      <c r="AO234" s="1894"/>
      <c r="AP234" s="1894"/>
      <c r="AQ234" s="1894"/>
      <c r="AR234" s="1894"/>
      <c r="AS234" s="1894"/>
      <c r="AT234" s="1894"/>
      <c r="AU234" s="1894"/>
      <c r="AV234" s="1894"/>
      <c r="AW234" s="1894"/>
      <c r="AX234" s="1894"/>
      <c r="AY234" s="1894"/>
      <c r="AZ234" s="1894"/>
      <c r="BA234" s="1190"/>
      <c r="BB234" s="1190"/>
      <c r="BC234" s="1190"/>
      <c r="BD234" s="1194"/>
      <c r="BE234" s="1194"/>
    </row>
    <row r="235" spans="1:57" ht="15.75" customHeight="1">
      <c r="A235" s="1190"/>
      <c r="B235" s="1189"/>
      <c r="C235" s="1190"/>
      <c r="D235" s="1190"/>
      <c r="E235" s="1190"/>
      <c r="F235" s="1190"/>
      <c r="G235" s="1190"/>
      <c r="H235" s="1894"/>
      <c r="I235" s="1894"/>
      <c r="J235" s="1894"/>
      <c r="K235" s="1894"/>
      <c r="L235" s="1894"/>
      <c r="M235" s="1894"/>
      <c r="N235" s="1894"/>
      <c r="O235" s="1894"/>
      <c r="P235" s="1894"/>
      <c r="Q235" s="1894"/>
      <c r="R235" s="1894"/>
      <c r="S235" s="1894"/>
      <c r="T235" s="1894"/>
      <c r="U235" s="1894"/>
      <c r="V235" s="1894"/>
      <c r="W235" s="1894"/>
      <c r="X235" s="1894"/>
      <c r="Y235" s="1894"/>
      <c r="Z235" s="1894"/>
      <c r="AA235" s="1894"/>
      <c r="AB235" s="1894"/>
      <c r="AC235" s="1894"/>
      <c r="AD235" s="1894"/>
      <c r="AE235" s="1894"/>
      <c r="AF235" s="1894"/>
      <c r="AG235" s="1894"/>
      <c r="AH235" s="1894"/>
      <c r="AI235" s="1894"/>
      <c r="AJ235" s="1894"/>
      <c r="AK235" s="1894"/>
      <c r="AL235" s="1894"/>
      <c r="AM235" s="1894"/>
      <c r="AN235" s="1894"/>
      <c r="AO235" s="1894"/>
      <c r="AP235" s="1894"/>
      <c r="AQ235" s="1894"/>
      <c r="AR235" s="1894"/>
      <c r="AS235" s="1894"/>
      <c r="AT235" s="1894"/>
      <c r="AU235" s="1894"/>
      <c r="AV235" s="1894"/>
      <c r="AW235" s="1894"/>
      <c r="AX235" s="1894"/>
      <c r="AY235" s="1894"/>
      <c r="AZ235" s="189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5" t="s">
        <v>2285</v>
      </c>
      <c r="I237" s="1895"/>
      <c r="J237" s="1895"/>
      <c r="K237" s="1895"/>
      <c r="L237" s="1895"/>
      <c r="M237" s="1895"/>
      <c r="N237" s="1895"/>
      <c r="O237" s="1895"/>
      <c r="P237" s="1895"/>
      <c r="Q237" s="1895"/>
      <c r="R237" s="1895"/>
      <c r="S237" s="1895"/>
      <c r="T237" s="1895"/>
      <c r="U237" s="1895"/>
      <c r="V237" s="1895"/>
      <c r="W237" s="1895"/>
      <c r="X237" s="1895"/>
      <c r="Y237" s="1895"/>
      <c r="Z237" s="1895"/>
      <c r="AA237" s="1895"/>
      <c r="AB237" s="1895"/>
      <c r="AC237" s="1895"/>
      <c r="AD237" s="1895"/>
      <c r="AE237" s="1895"/>
      <c r="AF237" s="1895"/>
      <c r="AG237" s="1895"/>
      <c r="AH237" s="1895"/>
      <c r="AI237" s="1895"/>
      <c r="AJ237" s="1895"/>
      <c r="AK237" s="1895"/>
      <c r="AL237" s="1895"/>
      <c r="AM237" s="1895"/>
      <c r="AN237" s="1895"/>
      <c r="AO237" s="1895"/>
      <c r="AP237" s="1895"/>
      <c r="AQ237" s="1895"/>
      <c r="AR237" s="1895"/>
      <c r="AS237" s="1895"/>
      <c r="AT237" s="1895"/>
      <c r="AU237" s="1895"/>
      <c r="AV237" s="189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5" t="s">
        <v>2284</v>
      </c>
      <c r="I239" s="1885"/>
      <c r="J239" s="1885"/>
      <c r="K239" s="1885"/>
      <c r="L239" s="1239"/>
      <c r="M239" s="1239"/>
      <c r="N239" s="1239"/>
      <c r="O239" s="1239"/>
      <c r="P239" s="1239"/>
      <c r="Q239" s="1239"/>
      <c r="R239" s="1239"/>
      <c r="S239" s="1896"/>
      <c r="T239" s="1897"/>
      <c r="U239" s="1897"/>
      <c r="V239" s="1897"/>
      <c r="W239" s="1897"/>
      <c r="X239" s="1897"/>
      <c r="Y239" s="1897"/>
      <c r="Z239" s="1897"/>
      <c r="AA239" s="1897"/>
      <c r="AB239" s="1897"/>
      <c r="AC239" s="1897"/>
      <c r="AD239" s="1897"/>
      <c r="AE239" s="1897"/>
      <c r="AF239" s="1897"/>
      <c r="AG239" s="1897"/>
      <c r="AH239" s="1897"/>
      <c r="AI239" s="1897"/>
      <c r="AJ239" s="189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5" t="s">
        <v>2283</v>
      </c>
      <c r="I241" s="1885"/>
      <c r="J241" s="1885"/>
      <c r="K241" s="1241"/>
      <c r="L241" s="1239"/>
      <c r="M241" s="1239"/>
      <c r="N241" s="1239"/>
      <c r="O241" s="1239"/>
      <c r="P241" s="1239"/>
      <c r="Q241" s="1239"/>
      <c r="R241" s="1239"/>
      <c r="S241" s="1886"/>
      <c r="T241" s="1887"/>
      <c r="U241" s="1887"/>
      <c r="V241" s="1887"/>
      <c r="W241" s="1887"/>
      <c r="X241" s="1887"/>
      <c r="Y241" s="1887"/>
      <c r="Z241" s="1887"/>
      <c r="AA241" s="1887"/>
      <c r="AB241" s="1887"/>
      <c r="AC241" s="1887"/>
      <c r="AD241" s="1887"/>
      <c r="AE241" s="1887"/>
      <c r="AF241" s="1887"/>
      <c r="AG241" s="1887"/>
      <c r="AH241" s="1887"/>
      <c r="AI241" s="1887"/>
      <c r="AJ241" s="188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5" t="s">
        <v>441</v>
      </c>
      <c r="I243" s="1885"/>
      <c r="J243" s="1241"/>
      <c r="K243" s="1241"/>
      <c r="L243" s="1239"/>
      <c r="M243" s="1239"/>
      <c r="N243" s="1239"/>
      <c r="O243" s="1239"/>
      <c r="P243" s="1239"/>
      <c r="Q243" s="1239"/>
      <c r="R243" s="1239"/>
      <c r="S243" s="1886"/>
      <c r="T243" s="1887"/>
      <c r="U243" s="1887"/>
      <c r="V243" s="1887"/>
      <c r="W243" s="1887"/>
      <c r="X243" s="1887"/>
      <c r="Y243" s="1887"/>
      <c r="Z243" s="1887"/>
      <c r="AA243" s="1887"/>
      <c r="AB243" s="1887"/>
      <c r="AC243" s="1887"/>
      <c r="AD243" s="1887"/>
      <c r="AE243" s="1887"/>
      <c r="AF243" s="1887"/>
      <c r="AG243" s="1887"/>
      <c r="AH243" s="1887"/>
      <c r="AI243" s="1887"/>
      <c r="AJ243" s="188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9" t="s">
        <v>2282</v>
      </c>
      <c r="I245" s="1889"/>
      <c r="J245" s="1889"/>
      <c r="K245" s="1889"/>
      <c r="L245" s="1889"/>
      <c r="M245" s="1889"/>
      <c r="N245" s="1889"/>
      <c r="O245" s="1889"/>
      <c r="P245" s="1239"/>
      <c r="Q245" s="1239"/>
      <c r="R245" s="1239"/>
      <c r="S245" s="1886"/>
      <c r="T245" s="1887"/>
      <c r="U245" s="1887"/>
      <c r="V245" s="1887"/>
      <c r="W245" s="1887"/>
      <c r="X245" s="1887"/>
      <c r="Y245" s="1887"/>
      <c r="Z245" s="1887"/>
      <c r="AA245" s="1887"/>
      <c r="AB245" s="1887"/>
      <c r="AC245" s="1887"/>
      <c r="AD245" s="1887"/>
      <c r="AE245" s="1887"/>
      <c r="AF245" s="1887"/>
      <c r="AG245" s="1887"/>
      <c r="AH245" s="1887"/>
      <c r="AI245" s="1887"/>
      <c r="AJ245" s="188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0" t="s">
        <v>2281</v>
      </c>
      <c r="I247" s="1890"/>
      <c r="J247" s="1239"/>
      <c r="K247" s="1239"/>
      <c r="L247" s="1239"/>
      <c r="M247" s="1239"/>
      <c r="N247" s="1239"/>
      <c r="O247" s="1239"/>
      <c r="P247" s="1239"/>
      <c r="Q247" s="1239"/>
      <c r="R247" s="1239"/>
      <c r="S247" s="1891"/>
      <c r="T247" s="1892"/>
      <c r="U247" s="1892"/>
      <c r="V247" s="1892"/>
      <c r="W247" s="1892"/>
      <c r="X247" s="1892"/>
      <c r="Y247" s="1892"/>
      <c r="Z247" s="1892"/>
      <c r="AA247" s="1892"/>
      <c r="AB247" s="1892"/>
      <c r="AC247" s="1892"/>
      <c r="AD247" s="1892"/>
      <c r="AE247" s="1892"/>
      <c r="AF247" s="1892"/>
      <c r="AG247" s="1892"/>
      <c r="AH247" s="1892"/>
      <c r="AI247" s="1892"/>
      <c r="AJ247" s="189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B26" sqref="B26:S26"/>
    </sheetView>
  </sheetViews>
  <sheetFormatPr defaultColWidth="0" defaultRowHeight="13.05" customHeight="1"/>
  <cols>
    <col min="1" max="1" width="1.5546875" style="402" customWidth="1"/>
    <col min="2" max="2" width="0.777343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777343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777343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777343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777343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777343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777343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777343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777343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777343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777343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777343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777343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777343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777343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777343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777343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777343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777343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777343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777343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777343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777343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777343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777343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777343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777343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777343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777343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777343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777343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777343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777343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777343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777343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777343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777343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777343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777343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777343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777343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777343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777343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777343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777343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777343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777343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777343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777343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777343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777343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777343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777343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777343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777343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777343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777343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777343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777343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777343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777343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777343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777343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777343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05" customHeight="1">
      <c r="A1" s="2383" t="s">
        <v>1280</v>
      </c>
      <c r="B1" s="2383"/>
      <c r="C1" s="2383"/>
      <c r="D1" s="2383"/>
      <c r="E1" s="2383"/>
      <c r="F1" s="2383"/>
      <c r="G1" s="2383"/>
      <c r="H1" s="2383"/>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row>
    <row r="2" spans="1:40" ht="13.05" customHeight="1" thickBot="1">
      <c r="A2" s="2384"/>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row>
    <row r="3" spans="1:40" ht="13.0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05" customHeight="1">
      <c r="A4" s="404"/>
    </row>
    <row r="5" spans="1:40" ht="13.05" customHeight="1">
      <c r="A5" s="404" t="s">
        <v>319</v>
      </c>
      <c r="C5" s="404" t="s">
        <v>122</v>
      </c>
      <c r="F5" s="404"/>
    </row>
    <row r="6" spans="1:40" ht="13.05" customHeight="1">
      <c r="A6" s="404"/>
      <c r="C6" s="402" t="s">
        <v>1238</v>
      </c>
    </row>
    <row r="7" spans="1:40" ht="13.0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0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0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0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05" customHeight="1">
      <c r="B11" s="2349" t="s">
        <v>375</v>
      </c>
      <c r="C11" s="2350"/>
      <c r="D11" s="2350"/>
      <c r="E11" s="2350"/>
      <c r="F11" s="2350"/>
      <c r="G11" s="2350"/>
      <c r="H11" s="2350"/>
      <c r="I11" s="2350"/>
      <c r="J11" s="2350"/>
      <c r="K11" s="2350"/>
      <c r="L11" s="2350"/>
      <c r="M11" s="2350"/>
      <c r="N11" s="2350"/>
      <c r="O11" s="2350"/>
      <c r="P11" s="2350"/>
      <c r="Q11" s="2350"/>
      <c r="R11" s="2350"/>
      <c r="S11" s="2351"/>
      <c r="T11" s="2385">
        <f>IF('Sources and Basis Breakdown'!F107=0,'Sources and Basis Breakdown'!E107,'Sources and Basis Breakdown'!F107)</f>
        <v>33453611</v>
      </c>
      <c r="U11" s="2386"/>
      <c r="V11" s="2386"/>
      <c r="W11" s="2386"/>
      <c r="X11" s="2386"/>
      <c r="Y11" s="2385">
        <f>IF(Y7="",0,IF('Sources and Basis Breakdown'!G107+'Sources and Basis Breakdown'!F107='Sources and Basis Breakdown'!E107,'Sources and Basis Breakdown'!G107,0))</f>
        <v>0</v>
      </c>
      <c r="Z11" s="2386"/>
      <c r="AA11" s="2386"/>
      <c r="AB11" s="2386"/>
      <c r="AC11" s="2386"/>
      <c r="AD11" s="2386">
        <f>IF('Sources and Basis Breakdown'!I107=0,'Sources and Basis Breakdown'!H107,'Sources and Basis Breakdown'!I107)</f>
        <v>0</v>
      </c>
      <c r="AE11" s="2386"/>
      <c r="AF11" s="2386"/>
      <c r="AG11" s="2386"/>
      <c r="AH11" s="2386"/>
      <c r="AI11" s="2386">
        <f>IF(Y7="",0,IF('Sources and Basis Breakdown'!I107+'Sources and Basis Breakdown'!J107='Sources and Basis Breakdown'!H107,'Sources and Basis Breakdown'!J107,0))</f>
        <v>0</v>
      </c>
      <c r="AJ11" s="2386"/>
      <c r="AK11" s="2386"/>
      <c r="AL11" s="2386"/>
      <c r="AM11" s="2386"/>
    </row>
    <row r="12" spans="1:40" ht="13.05" customHeight="1">
      <c r="B12" s="2387" t="s">
        <v>497</v>
      </c>
      <c r="C12" s="1308"/>
      <c r="D12" s="1308"/>
      <c r="E12" s="1308"/>
      <c r="F12" s="1308"/>
      <c r="G12" s="1308"/>
      <c r="H12" s="1308"/>
      <c r="I12" s="1308"/>
      <c r="J12" s="1308"/>
      <c r="K12" s="1308"/>
      <c r="L12" s="1308"/>
      <c r="M12" s="1308"/>
      <c r="N12" s="1308"/>
      <c r="O12" s="1308"/>
      <c r="P12" s="1308"/>
      <c r="Q12" s="1308"/>
      <c r="R12" s="1308"/>
      <c r="S12" s="2388"/>
      <c r="T12" s="2378"/>
      <c r="U12" s="2379"/>
      <c r="V12" s="2379"/>
      <c r="W12" s="2379"/>
      <c r="X12" s="2380"/>
      <c r="Y12" s="2378"/>
      <c r="Z12" s="2379"/>
      <c r="AA12" s="2379"/>
      <c r="AB12" s="2379"/>
      <c r="AC12" s="2380"/>
      <c r="AD12" s="2378"/>
      <c r="AE12" s="2379"/>
      <c r="AF12" s="2379"/>
      <c r="AG12" s="2379"/>
      <c r="AH12" s="2380"/>
      <c r="AI12" s="2378"/>
      <c r="AJ12" s="2379"/>
      <c r="AK12" s="2379"/>
      <c r="AL12" s="2379"/>
      <c r="AM12" s="2380"/>
    </row>
    <row r="13" spans="1:40" ht="13.05" customHeight="1">
      <c r="B13" s="435"/>
      <c r="C13" s="2389" t="s">
        <v>498</v>
      </c>
      <c r="D13" s="2389"/>
      <c r="E13" s="2389"/>
      <c r="F13" s="2389"/>
      <c r="G13" s="2389"/>
      <c r="H13" s="2389"/>
      <c r="I13" s="2389"/>
      <c r="J13" s="2389"/>
      <c r="K13" s="2389"/>
      <c r="L13" s="2389"/>
      <c r="M13" s="2389"/>
      <c r="N13" s="2389"/>
      <c r="O13" s="2389"/>
      <c r="P13" s="2389"/>
      <c r="Q13" s="2389"/>
      <c r="R13" s="2389"/>
      <c r="S13" s="2390"/>
      <c r="T13" s="2381"/>
      <c r="U13" s="2382"/>
      <c r="V13" s="2382"/>
      <c r="W13" s="2382"/>
      <c r="X13" s="2382"/>
      <c r="Y13" s="2381"/>
      <c r="Z13" s="2382"/>
      <c r="AA13" s="2382"/>
      <c r="AB13" s="2382"/>
      <c r="AC13" s="2382"/>
      <c r="AD13" s="2382"/>
      <c r="AE13" s="2382"/>
      <c r="AF13" s="2382"/>
      <c r="AG13" s="2382"/>
      <c r="AH13" s="2382"/>
      <c r="AI13" s="2382"/>
      <c r="AJ13" s="2382"/>
      <c r="AK13" s="2382"/>
      <c r="AL13" s="2382"/>
      <c r="AM13" s="2382"/>
    </row>
    <row r="14" spans="1:40" ht="13.05" customHeight="1">
      <c r="B14" s="435"/>
      <c r="C14" s="2389" t="s">
        <v>499</v>
      </c>
      <c r="D14" s="2389"/>
      <c r="E14" s="2389"/>
      <c r="F14" s="2389"/>
      <c r="G14" s="2389"/>
      <c r="H14" s="2389"/>
      <c r="I14" s="2389"/>
      <c r="J14" s="2389"/>
      <c r="K14" s="2389"/>
      <c r="L14" s="2389"/>
      <c r="M14" s="2389"/>
      <c r="N14" s="2389"/>
      <c r="O14" s="2389"/>
      <c r="P14" s="2389"/>
      <c r="Q14" s="2389"/>
      <c r="R14" s="2389"/>
      <c r="S14" s="2390"/>
      <c r="T14" s="2371"/>
      <c r="U14" s="2372"/>
      <c r="V14" s="2372"/>
      <c r="W14" s="2372"/>
      <c r="X14" s="2372"/>
      <c r="Y14" s="2371"/>
      <c r="Z14" s="2372"/>
      <c r="AA14" s="2372"/>
      <c r="AB14" s="2372"/>
      <c r="AC14" s="2372"/>
      <c r="AD14" s="2372"/>
      <c r="AE14" s="2372"/>
      <c r="AF14" s="2372"/>
      <c r="AG14" s="2372"/>
      <c r="AH14" s="2372"/>
      <c r="AI14" s="2372"/>
      <c r="AJ14" s="2372"/>
      <c r="AK14" s="2372"/>
      <c r="AL14" s="2372"/>
      <c r="AM14" s="2372"/>
    </row>
    <row r="15" spans="1:40" ht="13.05" customHeight="1">
      <c r="B15" s="435"/>
      <c r="C15" s="2389" t="s">
        <v>500</v>
      </c>
      <c r="D15" s="2389"/>
      <c r="E15" s="2389"/>
      <c r="F15" s="2389"/>
      <c r="G15" s="2389"/>
      <c r="H15" s="2389"/>
      <c r="I15" s="2389"/>
      <c r="J15" s="2389"/>
      <c r="K15" s="2389"/>
      <c r="L15" s="2389"/>
      <c r="M15" s="2389"/>
      <c r="N15" s="2389"/>
      <c r="O15" s="2389"/>
      <c r="P15" s="2389"/>
      <c r="Q15" s="2389"/>
      <c r="R15" s="2389"/>
      <c r="S15" s="2390"/>
      <c r="T15" s="2371"/>
      <c r="U15" s="2372"/>
      <c r="V15" s="2372"/>
      <c r="W15" s="2372"/>
      <c r="X15" s="2372"/>
      <c r="Y15" s="2371"/>
      <c r="Z15" s="2372"/>
      <c r="AA15" s="2372"/>
      <c r="AB15" s="2372"/>
      <c r="AC15" s="2372"/>
      <c r="AD15" s="2372"/>
      <c r="AE15" s="2372"/>
      <c r="AF15" s="2372"/>
      <c r="AG15" s="2372"/>
      <c r="AH15" s="2372"/>
      <c r="AI15" s="2372"/>
      <c r="AJ15" s="2372"/>
      <c r="AK15" s="2372"/>
      <c r="AL15" s="2372"/>
      <c r="AM15" s="2372"/>
    </row>
    <row r="16" spans="1:40" ht="13.05" customHeight="1">
      <c r="B16" s="435"/>
      <c r="C16" s="2389" t="s">
        <v>805</v>
      </c>
      <c r="D16" s="2389"/>
      <c r="E16" s="2389"/>
      <c r="F16" s="2389"/>
      <c r="G16" s="2389"/>
      <c r="H16" s="2389"/>
      <c r="I16" s="2389"/>
      <c r="J16" s="2389"/>
      <c r="K16" s="2389"/>
      <c r="L16" s="2389"/>
      <c r="M16" s="2389"/>
      <c r="N16" s="2389"/>
      <c r="O16" s="2389"/>
      <c r="P16" s="2389"/>
      <c r="Q16" s="2389"/>
      <c r="R16" s="2389"/>
      <c r="S16" s="2390"/>
      <c r="T16" s="2371"/>
      <c r="U16" s="2372"/>
      <c r="V16" s="2372"/>
      <c r="W16" s="2372"/>
      <c r="X16" s="2372"/>
      <c r="Y16" s="2371"/>
      <c r="Z16" s="2372"/>
      <c r="AA16" s="2372"/>
      <c r="AB16" s="2372"/>
      <c r="AC16" s="2372"/>
      <c r="AD16" s="2372"/>
      <c r="AE16" s="2372"/>
      <c r="AF16" s="2372"/>
      <c r="AG16" s="2372"/>
      <c r="AH16" s="2372"/>
      <c r="AI16" s="2372"/>
      <c r="AJ16" s="2372"/>
      <c r="AK16" s="2372"/>
      <c r="AL16" s="2372"/>
      <c r="AM16" s="2372"/>
    </row>
    <row r="17" spans="1:40" ht="13.05" customHeight="1">
      <c r="B17" s="435"/>
      <c r="C17" s="2389" t="s">
        <v>501</v>
      </c>
      <c r="D17" s="2389"/>
      <c r="E17" s="2389"/>
      <c r="F17" s="2389"/>
      <c r="G17" s="2389"/>
      <c r="H17" s="2389"/>
      <c r="I17" s="2389"/>
      <c r="J17" s="2389"/>
      <c r="K17" s="2389"/>
      <c r="L17" s="2389"/>
      <c r="M17" s="2389"/>
      <c r="N17" s="2389"/>
      <c r="O17" s="2389"/>
      <c r="P17" s="2389"/>
      <c r="Q17" s="2389"/>
      <c r="R17" s="2389"/>
      <c r="S17" s="2390"/>
      <c r="T17" s="2371"/>
      <c r="U17" s="2372"/>
      <c r="V17" s="2372"/>
      <c r="W17" s="2372"/>
      <c r="X17" s="2372"/>
      <c r="Y17" s="2371"/>
      <c r="Z17" s="2372"/>
      <c r="AA17" s="2372"/>
      <c r="AB17" s="2372"/>
      <c r="AC17" s="2372"/>
      <c r="AD17" s="2372"/>
      <c r="AE17" s="2372"/>
      <c r="AF17" s="2372"/>
      <c r="AG17" s="2372"/>
      <c r="AH17" s="2372"/>
      <c r="AI17" s="2372"/>
      <c r="AJ17" s="2372"/>
      <c r="AK17" s="2372"/>
      <c r="AL17" s="2372"/>
      <c r="AM17" s="2372"/>
    </row>
    <row r="18" spans="1:40" ht="13.05" customHeight="1">
      <c r="A18"/>
      <c r="B18" s="1150"/>
      <c r="C18" s="1550" t="s">
        <v>960</v>
      </c>
      <c r="D18" s="1550"/>
      <c r="E18" s="1550"/>
      <c r="F18" s="1550"/>
      <c r="G18" s="1550"/>
      <c r="H18" s="1550"/>
      <c r="I18" s="1550"/>
      <c r="J18" s="1550"/>
      <c r="K18" s="1550"/>
      <c r="L18" s="1550"/>
      <c r="M18" s="1550"/>
      <c r="N18" s="1550"/>
      <c r="O18" s="1550"/>
      <c r="P18" s="1550"/>
      <c r="Q18" s="1550"/>
      <c r="R18" s="1550"/>
      <c r="S18" s="1551"/>
      <c r="T18" s="2371"/>
      <c r="U18" s="2372"/>
      <c r="V18" s="2372"/>
      <c r="W18" s="2372"/>
      <c r="X18" s="2372"/>
      <c r="Y18" s="2371"/>
      <c r="Z18" s="2372"/>
      <c r="AA18" s="2372"/>
      <c r="AB18" s="2372"/>
      <c r="AC18" s="2372"/>
      <c r="AD18" s="2372"/>
      <c r="AE18" s="2372"/>
      <c r="AF18" s="2372"/>
      <c r="AG18" s="2372"/>
      <c r="AH18" s="2372"/>
      <c r="AI18" s="2372"/>
      <c r="AJ18" s="2372"/>
      <c r="AK18" s="2372"/>
      <c r="AL18" s="2372"/>
      <c r="AM18" s="2372"/>
    </row>
    <row r="19" spans="1:40" ht="13.05" customHeight="1">
      <c r="B19" s="1150"/>
      <c r="C19" s="1550" t="s">
        <v>960</v>
      </c>
      <c r="D19" s="1550"/>
      <c r="E19" s="1550"/>
      <c r="F19" s="1550"/>
      <c r="G19" s="1550"/>
      <c r="H19" s="1550"/>
      <c r="I19" s="1550"/>
      <c r="J19" s="1550"/>
      <c r="K19" s="1550"/>
      <c r="L19" s="1550"/>
      <c r="M19" s="1550"/>
      <c r="N19" s="1550"/>
      <c r="O19" s="1550"/>
      <c r="P19" s="1550"/>
      <c r="Q19" s="1550"/>
      <c r="R19" s="1550"/>
      <c r="S19" s="1551"/>
      <c r="T19" s="2371"/>
      <c r="U19" s="2372"/>
      <c r="V19" s="2372"/>
      <c r="W19" s="2372"/>
      <c r="X19" s="2372"/>
      <c r="Y19" s="2371"/>
      <c r="Z19" s="2372"/>
      <c r="AA19" s="2372"/>
      <c r="AB19" s="2372"/>
      <c r="AC19" s="2372"/>
      <c r="AD19" s="2372"/>
      <c r="AE19" s="2372"/>
      <c r="AF19" s="2372"/>
      <c r="AG19" s="2372"/>
      <c r="AH19" s="2372"/>
      <c r="AI19" s="2372"/>
      <c r="AJ19" s="2372"/>
      <c r="AK19" s="2372"/>
      <c r="AL19" s="2372"/>
      <c r="AM19" s="2372"/>
    </row>
    <row r="20" spans="1:40" ht="13.05" customHeight="1">
      <c r="B20" s="2349" t="s">
        <v>502</v>
      </c>
      <c r="C20" s="2350"/>
      <c r="D20" s="2350"/>
      <c r="E20" s="2350"/>
      <c r="F20" s="2350"/>
      <c r="G20" s="2350"/>
      <c r="H20" s="2350"/>
      <c r="I20" s="2350"/>
      <c r="J20" s="2350"/>
      <c r="K20" s="2350"/>
      <c r="L20" s="2350"/>
      <c r="M20" s="2350"/>
      <c r="N20" s="2350"/>
      <c r="O20" s="2350"/>
      <c r="P20" s="2350"/>
      <c r="Q20" s="2350"/>
      <c r="R20" s="2350"/>
      <c r="S20" s="2351"/>
      <c r="T20" s="2362">
        <f>SUM(T13:X19)</f>
        <v>0</v>
      </c>
      <c r="U20" s="2343"/>
      <c r="V20" s="2343"/>
      <c r="W20" s="2343"/>
      <c r="X20" s="2343"/>
      <c r="Y20" s="2362">
        <f>SUM(Y13:AC19)</f>
        <v>0</v>
      </c>
      <c r="Z20" s="2343"/>
      <c r="AA20" s="2343"/>
      <c r="AB20" s="2343"/>
      <c r="AC20" s="2343"/>
      <c r="AD20" s="2353">
        <f>SUM(AD13:AH19)</f>
        <v>0</v>
      </c>
      <c r="AE20" s="2361"/>
      <c r="AF20" s="2361"/>
      <c r="AG20" s="2361"/>
      <c r="AH20" s="2362"/>
      <c r="AI20" s="2353">
        <f>SUM(AI13:AM19)</f>
        <v>0</v>
      </c>
      <c r="AJ20" s="2361"/>
      <c r="AK20" s="2361"/>
      <c r="AL20" s="2361"/>
      <c r="AM20" s="2362"/>
    </row>
    <row r="21" spans="1:40" ht="13.05" customHeight="1">
      <c r="B21" s="2349" t="s">
        <v>1263</v>
      </c>
      <c r="C21" s="2350"/>
      <c r="D21" s="2350"/>
      <c r="E21" s="2350"/>
      <c r="F21" s="2350"/>
      <c r="G21" s="2350"/>
      <c r="H21" s="2350"/>
      <c r="I21" s="2350"/>
      <c r="J21" s="2350"/>
      <c r="K21" s="2350"/>
      <c r="L21" s="2350"/>
      <c r="M21" s="2350"/>
      <c r="N21" s="2350"/>
      <c r="O21" s="2350"/>
      <c r="P21" s="2350"/>
      <c r="Q21" s="2350"/>
      <c r="R21" s="2350"/>
      <c r="S21" s="2351"/>
      <c r="T21" s="2371"/>
      <c r="U21" s="2372"/>
      <c r="V21" s="2372"/>
      <c r="W21" s="2372"/>
      <c r="X21" s="2372"/>
      <c r="Y21" s="2371"/>
      <c r="Z21" s="2372"/>
      <c r="AA21" s="2372"/>
      <c r="AB21" s="2372"/>
      <c r="AC21" s="2372"/>
      <c r="AD21" s="2378"/>
      <c r="AE21" s="2379"/>
      <c r="AF21" s="2379"/>
      <c r="AG21" s="2379"/>
      <c r="AH21" s="2380"/>
      <c r="AI21" s="2378"/>
      <c r="AJ21" s="2379"/>
      <c r="AK21" s="2379"/>
      <c r="AL21" s="2379"/>
      <c r="AM21" s="2380"/>
    </row>
    <row r="22" spans="1:40" ht="13.05" customHeight="1">
      <c r="B22" s="2349" t="s">
        <v>503</v>
      </c>
      <c r="C22" s="2350"/>
      <c r="D22" s="2350"/>
      <c r="E22" s="2350"/>
      <c r="F22" s="2350"/>
      <c r="G22" s="2350"/>
      <c r="H22" s="2350"/>
      <c r="I22" s="2350"/>
      <c r="J22" s="2350"/>
      <c r="K22" s="2350"/>
      <c r="L22" s="2350"/>
      <c r="M22" s="2350"/>
      <c r="N22" s="2350"/>
      <c r="O22" s="2350"/>
      <c r="P22" s="2350"/>
      <c r="Q22" s="2350"/>
      <c r="R22" s="2350"/>
      <c r="S22" s="2351"/>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3.05" customHeight="1">
      <c r="B23" s="2349" t="s">
        <v>504</v>
      </c>
      <c r="C23" s="2350"/>
      <c r="D23" s="2350"/>
      <c r="E23" s="2350"/>
      <c r="F23" s="2350"/>
      <c r="G23" s="2350"/>
      <c r="H23" s="2350"/>
      <c r="I23" s="2350"/>
      <c r="J23" s="2350"/>
      <c r="K23" s="2350"/>
      <c r="L23" s="2350"/>
      <c r="M23" s="2350"/>
      <c r="N23" s="2350"/>
      <c r="O23" s="2350"/>
      <c r="P23" s="2350"/>
      <c r="Q23" s="2350"/>
      <c r="R23" s="2350"/>
      <c r="S23" s="2351"/>
      <c r="T23" s="2362">
        <f>T11+T22</f>
        <v>33453611</v>
      </c>
      <c r="U23" s="2343"/>
      <c r="V23" s="2343"/>
      <c r="W23" s="2343"/>
      <c r="X23" s="2343"/>
      <c r="Y23" s="2362">
        <f>Y11+Y22</f>
        <v>0</v>
      </c>
      <c r="Z23" s="2343"/>
      <c r="AA23" s="2343"/>
      <c r="AB23" s="2343"/>
      <c r="AC23" s="2343"/>
      <c r="AD23" s="2362">
        <f>AD11+AD22</f>
        <v>0</v>
      </c>
      <c r="AE23" s="2343"/>
      <c r="AF23" s="2343"/>
      <c r="AG23" s="2343"/>
      <c r="AH23" s="2343"/>
      <c r="AI23" s="2362">
        <f>AI11+AI22</f>
        <v>0</v>
      </c>
      <c r="AJ23" s="2343"/>
      <c r="AK23" s="2343"/>
      <c r="AL23" s="2343"/>
      <c r="AM23" s="2343"/>
    </row>
    <row r="24" spans="1:40" ht="13.05" customHeight="1">
      <c r="B24" s="2349" t="s">
        <v>961</v>
      </c>
      <c r="C24" s="2350"/>
      <c r="D24" s="2350"/>
      <c r="E24" s="2350"/>
      <c r="F24" s="2350"/>
      <c r="G24" s="2350"/>
      <c r="H24" s="2350"/>
      <c r="I24" s="2350"/>
      <c r="J24" s="2350"/>
      <c r="K24" s="2350"/>
      <c r="L24" s="2350"/>
      <c r="M24" s="2350"/>
      <c r="N24" s="2350"/>
      <c r="O24" s="2350"/>
      <c r="P24" s="2350"/>
      <c r="Q24" s="2350"/>
      <c r="R24" s="2350"/>
      <c r="S24" s="2351"/>
      <c r="T24" s="2353">
        <f>Application!AJ1053</f>
        <v>46805111.920000002</v>
      </c>
      <c r="U24" s="2361"/>
      <c r="V24" s="2361"/>
      <c r="W24" s="2361"/>
      <c r="X24" s="2361"/>
      <c r="Y24" s="2361"/>
      <c r="Z24" s="2361"/>
      <c r="AA24" s="2361"/>
      <c r="AB24" s="2361"/>
      <c r="AC24" s="2361"/>
      <c r="AD24" s="2361"/>
      <c r="AE24" s="2361"/>
      <c r="AF24" s="2361"/>
      <c r="AG24" s="2361"/>
      <c r="AH24" s="2361"/>
      <c r="AI24" s="2361"/>
      <c r="AJ24" s="2361"/>
      <c r="AK24" s="2361"/>
      <c r="AL24" s="2361"/>
      <c r="AM24" s="2362"/>
    </row>
    <row r="25" spans="1:40" ht="13.05" customHeight="1">
      <c r="B25" s="2393" t="s">
        <v>1264</v>
      </c>
      <c r="C25" s="2394"/>
      <c r="D25" s="2394"/>
      <c r="E25" s="2394"/>
      <c r="F25" s="2394"/>
      <c r="G25" s="2394"/>
      <c r="H25" s="2394"/>
      <c r="I25" s="2394"/>
      <c r="J25" s="2394"/>
      <c r="K25" s="2394"/>
      <c r="L25" s="2394"/>
      <c r="M25" s="2394"/>
      <c r="N25" s="2394"/>
      <c r="O25" s="2394"/>
      <c r="P25" s="2394"/>
      <c r="Q25" s="2394"/>
      <c r="R25" s="2394"/>
      <c r="S25" s="2395"/>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3.05" customHeight="1">
      <c r="B26" s="2349" t="s">
        <v>505</v>
      </c>
      <c r="C26" s="2350"/>
      <c r="D26" s="2350"/>
      <c r="E26" s="2350"/>
      <c r="F26" s="2350"/>
      <c r="G26" s="2350"/>
      <c r="H26" s="2350"/>
      <c r="I26" s="2350"/>
      <c r="J26" s="2350"/>
      <c r="K26" s="2350"/>
      <c r="L26" s="2350"/>
      <c r="M26" s="2350"/>
      <c r="N26" s="2350"/>
      <c r="O26" s="2350"/>
      <c r="P26" s="2350"/>
      <c r="Q26" s="2350"/>
      <c r="R26" s="2350"/>
      <c r="S26" s="2351"/>
      <c r="T26" s="2362">
        <f>T23*T25</f>
        <v>43489694.300000004</v>
      </c>
      <c r="U26" s="2343"/>
      <c r="V26" s="2343"/>
      <c r="W26" s="2343"/>
      <c r="X26" s="2343"/>
      <c r="Y26" s="2362">
        <f>Y23*Y25</f>
        <v>0</v>
      </c>
      <c r="Z26" s="2343"/>
      <c r="AA26" s="2343"/>
      <c r="AB26" s="2343"/>
      <c r="AC26" s="2343"/>
      <c r="AD26" s="2362">
        <f>AD23*AD25</f>
        <v>0</v>
      </c>
      <c r="AE26" s="2343"/>
      <c r="AF26" s="2343"/>
      <c r="AG26" s="2343"/>
      <c r="AH26" s="2343"/>
      <c r="AI26" s="2362">
        <f>AI23*AI25</f>
        <v>0</v>
      </c>
      <c r="AJ26" s="2343"/>
      <c r="AK26" s="2343"/>
      <c r="AL26" s="2343"/>
      <c r="AM26" s="2343"/>
    </row>
    <row r="27" spans="1:40" ht="13.05" customHeight="1">
      <c r="A27" s="410"/>
      <c r="B27" s="2396" t="s">
        <v>426</v>
      </c>
      <c r="C27" s="2397"/>
      <c r="D27" s="2397"/>
      <c r="E27" s="2397"/>
      <c r="F27" s="2397"/>
      <c r="G27" s="2397"/>
      <c r="H27" s="2397"/>
      <c r="I27" s="2397"/>
      <c r="J27" s="2397"/>
      <c r="K27" s="2397"/>
      <c r="L27" s="2397"/>
      <c r="M27" s="2397"/>
      <c r="N27" s="2397"/>
      <c r="O27" s="2397"/>
      <c r="P27" s="2397"/>
      <c r="Q27" s="2397"/>
      <c r="R27" s="2397"/>
      <c r="S27" s="2398"/>
      <c r="T27" s="2373">
        <f>Application!$AG$445</f>
        <v>1</v>
      </c>
      <c r="U27" s="2374"/>
      <c r="V27" s="2374"/>
      <c r="W27" s="2374"/>
      <c r="X27" s="2374"/>
      <c r="Y27" s="2373">
        <f>Application!$AG$445</f>
        <v>1</v>
      </c>
      <c r="Z27" s="2374"/>
      <c r="AA27" s="2374"/>
      <c r="AB27" s="2374"/>
      <c r="AC27" s="2374"/>
      <c r="AD27" s="2373">
        <f>Application!$AG$445</f>
        <v>1</v>
      </c>
      <c r="AE27" s="2374"/>
      <c r="AF27" s="2374"/>
      <c r="AG27" s="2374"/>
      <c r="AH27" s="2374"/>
      <c r="AI27" s="2373">
        <f>Application!$AG$445</f>
        <v>1</v>
      </c>
      <c r="AJ27" s="2374"/>
      <c r="AK27" s="2374"/>
      <c r="AL27" s="2374"/>
      <c r="AM27" s="2374"/>
    </row>
    <row r="28" spans="1:40" ht="13.05" customHeight="1">
      <c r="A28" s="404"/>
      <c r="B28" s="2349" t="s">
        <v>506</v>
      </c>
      <c r="C28" s="2350"/>
      <c r="D28" s="2350"/>
      <c r="E28" s="2350"/>
      <c r="F28" s="2350"/>
      <c r="G28" s="2350"/>
      <c r="H28" s="2350"/>
      <c r="I28" s="2350"/>
      <c r="J28" s="2350"/>
      <c r="K28" s="2350"/>
      <c r="L28" s="2350"/>
      <c r="M28" s="2350"/>
      <c r="N28" s="2350"/>
      <c r="O28" s="2350"/>
      <c r="P28" s="2350"/>
      <c r="Q28" s="2350"/>
      <c r="R28" s="2350"/>
      <c r="S28" s="2351"/>
      <c r="T28" s="2362">
        <f>IF(ISERROR((T26*T27)),0,(T26*T27))</f>
        <v>43489694.300000004</v>
      </c>
      <c r="U28" s="2343"/>
      <c r="V28" s="2343"/>
      <c r="W28" s="2343"/>
      <c r="X28" s="2343"/>
      <c r="Y28" s="2362">
        <f>IF(ISERROR((Y26*Y27)),0,(Y26*Y27))</f>
        <v>0</v>
      </c>
      <c r="Z28" s="2343"/>
      <c r="AA28" s="2343"/>
      <c r="AB28" s="2343"/>
      <c r="AC28" s="2343"/>
      <c r="AD28" s="2362">
        <f>IF(ISERROR((AD26*AD27)),0,(AD26*AD27))</f>
        <v>0</v>
      </c>
      <c r="AE28" s="2343"/>
      <c r="AF28" s="2343"/>
      <c r="AG28" s="2343"/>
      <c r="AH28" s="2343"/>
      <c r="AI28" s="2362">
        <f>IF(ISERROR((AI26*AI27)),0,(AI26*AI27))</f>
        <v>0</v>
      </c>
      <c r="AJ28" s="2343"/>
      <c r="AK28" s="2343"/>
      <c r="AL28" s="2343"/>
      <c r="AM28" s="2343"/>
    </row>
    <row r="29" spans="1:40" ht="13.05" customHeight="1">
      <c r="B29" s="2349" t="s">
        <v>523</v>
      </c>
      <c r="C29" s="2350"/>
      <c r="D29" s="2350"/>
      <c r="E29" s="2350"/>
      <c r="F29" s="2350"/>
      <c r="G29" s="2350"/>
      <c r="H29" s="2350"/>
      <c r="I29" s="2350"/>
      <c r="J29" s="2350"/>
      <c r="K29" s="2350"/>
      <c r="L29" s="2350"/>
      <c r="M29" s="2350"/>
      <c r="N29" s="2350"/>
      <c r="O29" s="2350"/>
      <c r="P29" s="2350"/>
      <c r="Q29" s="2350"/>
      <c r="R29" s="2350"/>
      <c r="S29" s="2351"/>
      <c r="T29" s="2353">
        <f>T28+Y28+AD28+AI28</f>
        <v>43489694.300000004</v>
      </c>
      <c r="U29" s="2361"/>
      <c r="V29" s="2361"/>
      <c r="W29" s="2361"/>
      <c r="X29" s="2361"/>
      <c r="Y29" s="2361"/>
      <c r="Z29" s="2361"/>
      <c r="AA29" s="2361"/>
      <c r="AB29" s="2361"/>
      <c r="AC29" s="2361"/>
      <c r="AD29" s="2361"/>
      <c r="AE29" s="2361"/>
      <c r="AF29" s="2361"/>
      <c r="AG29" s="2361"/>
      <c r="AH29" s="2361"/>
      <c r="AI29" s="2361"/>
      <c r="AJ29" s="2361"/>
      <c r="AK29" s="2361"/>
      <c r="AL29" s="2361"/>
      <c r="AM29" s="2362"/>
    </row>
    <row r="30" spans="1:40" ht="13.05" customHeight="1">
      <c r="B30" s="2366" t="s">
        <v>1266</v>
      </c>
      <c r="C30" s="2366"/>
      <c r="D30" s="2366"/>
      <c r="E30" s="2366"/>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M30" s="2366"/>
    </row>
    <row r="31" spans="1:40" ht="13.05" customHeight="1">
      <c r="B31" s="2366" t="s">
        <v>1265</v>
      </c>
      <c r="C31" s="2366"/>
      <c r="D31" s="2366"/>
      <c r="E31" s="2366"/>
      <c r="F31" s="2366"/>
      <c r="G31" s="2366"/>
      <c r="H31" s="2366"/>
      <c r="I31" s="2366"/>
      <c r="J31" s="2366"/>
      <c r="K31" s="2366"/>
      <c r="L31" s="2366"/>
      <c r="M31" s="2366"/>
      <c r="N31" s="2366"/>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c r="AJ31" s="2366"/>
      <c r="AK31" s="2366"/>
      <c r="AL31" s="2366"/>
      <c r="AM31" s="2366"/>
      <c r="AN31" s="518"/>
    </row>
    <row r="32" spans="1:40" ht="13.0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05" customHeight="1">
      <c r="A34" s="404" t="s">
        <v>576</v>
      </c>
      <c r="C34" s="404" t="s">
        <v>568</v>
      </c>
    </row>
    <row r="35" spans="1:76" ht="13.0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64" t="s">
        <v>369</v>
      </c>
      <c r="AE35" s="2364"/>
      <c r="AF35" s="2364"/>
      <c r="AG35" s="2364"/>
      <c r="AH35" s="2364"/>
    </row>
    <row r="36" spans="1:76" ht="13.05" customHeight="1">
      <c r="B36" s="407"/>
      <c r="X36" s="412"/>
      <c r="Y36" s="2363"/>
      <c r="Z36" s="2363"/>
      <c r="AA36" s="2363"/>
      <c r="AB36" s="2363"/>
      <c r="AC36" s="2363"/>
      <c r="AD36" s="2364"/>
      <c r="AE36" s="2364"/>
      <c r="AF36" s="2364"/>
      <c r="AG36" s="2364"/>
      <c r="AH36" s="2364"/>
    </row>
    <row r="37" spans="1:76" ht="13.0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64"/>
      <c r="AE37" s="2364"/>
      <c r="AF37" s="2364"/>
      <c r="AG37" s="2364"/>
      <c r="AH37" s="2364"/>
    </row>
    <row r="38" spans="1:76" ht="13.05" customHeight="1">
      <c r="A38" s="404"/>
      <c r="B38" s="2349" t="s">
        <v>506</v>
      </c>
      <c r="C38" s="2350"/>
      <c r="D38" s="2350"/>
      <c r="E38" s="2350"/>
      <c r="F38" s="2350"/>
      <c r="G38" s="2350"/>
      <c r="H38" s="2350"/>
      <c r="I38" s="2350"/>
      <c r="J38" s="2350"/>
      <c r="K38" s="2350"/>
      <c r="L38" s="2350"/>
      <c r="M38" s="2350"/>
      <c r="N38" s="2350"/>
      <c r="O38" s="2350"/>
      <c r="P38" s="2350"/>
      <c r="Q38" s="2350"/>
      <c r="R38" s="2350"/>
      <c r="S38" s="2350"/>
      <c r="T38" s="2350"/>
      <c r="U38" s="2350"/>
      <c r="V38" s="2350"/>
      <c r="W38" s="2350"/>
      <c r="X38" s="2351"/>
      <c r="Y38" s="2343">
        <f>IF(T24&gt;=(T23+Y23+AD23+AI23),T28+Y28,0)</f>
        <v>43489694.300000004</v>
      </c>
      <c r="Z38" s="2343"/>
      <c r="AA38" s="2343"/>
      <c r="AB38" s="2343"/>
      <c r="AC38" s="2343"/>
      <c r="AD38" s="2343">
        <f>IF(T24&gt;=(T23+Y23+AD23+AI23),AD28+AI28,0)</f>
        <v>0</v>
      </c>
      <c r="AE38" s="2343"/>
      <c r="AF38" s="2343"/>
      <c r="AG38" s="2343"/>
      <c r="AH38" s="2343"/>
    </row>
    <row r="39" spans="1:76" ht="13.05" customHeight="1">
      <c r="B39" s="2349" t="s">
        <v>1691</v>
      </c>
      <c r="C39" s="2350"/>
      <c r="D39" s="2350"/>
      <c r="E39" s="2350"/>
      <c r="F39" s="2350"/>
      <c r="G39" s="2350"/>
      <c r="H39" s="2350"/>
      <c r="I39" s="2350"/>
      <c r="J39" s="2350"/>
      <c r="K39" s="2350"/>
      <c r="L39" s="2350"/>
      <c r="M39" s="2350"/>
      <c r="N39" s="2350"/>
      <c r="O39" s="2350"/>
      <c r="P39" s="2350"/>
      <c r="Q39" s="2350"/>
      <c r="R39" s="2350"/>
      <c r="S39" s="2350"/>
      <c r="T39" s="2350"/>
      <c r="U39" s="2350"/>
      <c r="V39" s="2350"/>
      <c r="W39" s="2350"/>
      <c r="X39" s="2351"/>
      <c r="Y39" s="2365">
        <v>0.04</v>
      </c>
      <c r="Z39" s="2365"/>
      <c r="AA39" s="2365"/>
      <c r="AB39" s="2365"/>
      <c r="AC39" s="2365"/>
      <c r="AD39" s="2365">
        <v>0.04</v>
      </c>
      <c r="AE39" s="2365"/>
      <c r="AF39" s="2365"/>
      <c r="AG39" s="2365"/>
      <c r="AH39" s="2365"/>
    </row>
    <row r="40" spans="1:76" ht="13.05" customHeight="1">
      <c r="A40" s="404"/>
      <c r="B40" s="2349" t="s">
        <v>642</v>
      </c>
      <c r="C40" s="2350"/>
      <c r="D40" s="2350"/>
      <c r="E40" s="2350"/>
      <c r="F40" s="2350"/>
      <c r="G40" s="2350"/>
      <c r="H40" s="2350"/>
      <c r="I40" s="2350"/>
      <c r="J40" s="2350"/>
      <c r="K40" s="2350"/>
      <c r="L40" s="2350"/>
      <c r="M40" s="2350"/>
      <c r="N40" s="2350"/>
      <c r="O40" s="2350"/>
      <c r="P40" s="2350"/>
      <c r="Q40" s="2350"/>
      <c r="R40" s="2350"/>
      <c r="S40" s="2350"/>
      <c r="T40" s="2350"/>
      <c r="U40" s="2350"/>
      <c r="V40" s="2350"/>
      <c r="W40" s="2350"/>
      <c r="X40" s="2351"/>
      <c r="Y40" s="2343">
        <f>ROUND(Y38*Y39,0)</f>
        <v>1739588</v>
      </c>
      <c r="Z40" s="2343"/>
      <c r="AA40" s="2343"/>
      <c r="AB40" s="2343"/>
      <c r="AC40" s="2343"/>
      <c r="AD40" s="2362">
        <f>ROUND(AD38*AD39,0)</f>
        <v>0</v>
      </c>
      <c r="AE40" s="2343"/>
      <c r="AF40" s="2343"/>
      <c r="AG40" s="2343"/>
      <c r="AH40" s="2343"/>
    </row>
    <row r="41" spans="1:76" ht="13.05" customHeight="1">
      <c r="B41" s="2349" t="s">
        <v>643</v>
      </c>
      <c r="C41" s="2350"/>
      <c r="D41" s="2350"/>
      <c r="E41" s="2350"/>
      <c r="F41" s="2350"/>
      <c r="G41" s="2350"/>
      <c r="H41" s="2350"/>
      <c r="I41" s="2350"/>
      <c r="J41" s="2350"/>
      <c r="K41" s="2350"/>
      <c r="L41" s="2350"/>
      <c r="M41" s="2350"/>
      <c r="N41" s="2350"/>
      <c r="O41" s="2350"/>
      <c r="P41" s="2350"/>
      <c r="Q41" s="2350"/>
      <c r="R41" s="2350"/>
      <c r="S41" s="2350"/>
      <c r="T41" s="2350"/>
      <c r="U41" s="2350"/>
      <c r="V41" s="2350"/>
      <c r="W41" s="2350"/>
      <c r="X41" s="2351"/>
      <c r="Y41" s="2353">
        <f>Y40+AD40</f>
        <v>1739588</v>
      </c>
      <c r="Z41" s="2361"/>
      <c r="AA41" s="2361"/>
      <c r="AB41" s="2361"/>
      <c r="AC41" s="2361"/>
      <c r="AD41" s="2361"/>
      <c r="AE41" s="2361"/>
      <c r="AF41" s="2361"/>
      <c r="AG41" s="2361"/>
      <c r="AH41" s="2362"/>
    </row>
    <row r="42" spans="1:76" ht="13.0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0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05" customHeight="1" thickBot="1">
      <c r="A44" s="2360" t="s">
        <v>1276</v>
      </c>
      <c r="B44" s="2360"/>
      <c r="C44" s="2360"/>
      <c r="D44" s="2360"/>
      <c r="E44" s="2360"/>
      <c r="F44" s="2360"/>
      <c r="G44" s="2360"/>
      <c r="H44" s="2360"/>
      <c r="I44" s="2360"/>
      <c r="J44" s="2360"/>
      <c r="K44" s="2360"/>
      <c r="L44" s="2360"/>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c r="AS44" s="2360"/>
      <c r="AT44" s="2360"/>
      <c r="AU44" s="2360"/>
      <c r="AV44" s="2360"/>
      <c r="AW44" s="2360"/>
      <c r="AX44" s="2360"/>
      <c r="AY44" s="2360"/>
      <c r="AZ44" s="2360"/>
      <c r="BA44" s="2360"/>
      <c r="BB44" s="2360"/>
      <c r="BC44" s="2360"/>
      <c r="BD44" s="2360"/>
      <c r="BE44" s="2360"/>
      <c r="BF44" s="2360"/>
      <c r="BG44" s="2360"/>
      <c r="BH44" s="2360"/>
      <c r="BI44" s="2360"/>
      <c r="BJ44" s="2360"/>
      <c r="BK44" s="2360"/>
      <c r="BL44" s="2360"/>
      <c r="BM44" s="2360"/>
      <c r="BN44" s="2360"/>
      <c r="BO44" s="2360"/>
      <c r="BP44" s="2360"/>
      <c r="BQ44" s="2360"/>
      <c r="BR44" s="2360"/>
      <c r="BS44" s="2360"/>
      <c r="BT44" s="2360"/>
      <c r="BU44" s="2360"/>
      <c r="BV44" s="2360"/>
      <c r="BW44" s="2360"/>
      <c r="BX44" s="2360"/>
    </row>
    <row r="45" spans="1:76" s="204" customFormat="1" ht="13.05" customHeight="1" thickTop="1"/>
    <row r="46" spans="1:76" ht="13.05" customHeight="1">
      <c r="A46" s="404" t="s">
        <v>586</v>
      </c>
      <c r="C46" s="404" t="s">
        <v>282</v>
      </c>
    </row>
    <row r="47" spans="1:76" ht="13.05" customHeight="1">
      <c r="D47" s="404" t="s">
        <v>283</v>
      </c>
      <c r="AB47" s="2357">
        <f>'Sources and Uses Budget'!B105-MAX(IF('Sources and Uses Budget'!B15="",0,'Sources and Uses Budget'!B15),IF(Application!AG394="",0,Application!AG394))</f>
        <v>36575967</v>
      </c>
      <c r="AC47" s="2358"/>
      <c r="AD47" s="2358"/>
      <c r="AE47" s="2358"/>
      <c r="AF47" s="2359"/>
    </row>
    <row r="48" spans="1:76" ht="13.05" customHeight="1">
      <c r="D48" s="404" t="s">
        <v>21</v>
      </c>
      <c r="AB48" s="2357">
        <f>Application!AO639-MAX(IF('Sources and Uses Budget'!B15="",0,'Sources and Uses Budget'!B15),IF(Application!AG394="",0,Application!AG394))</f>
        <v>10152578</v>
      </c>
      <c r="AC48" s="2358"/>
      <c r="AD48" s="2358"/>
      <c r="AE48" s="2358"/>
      <c r="AF48" s="2359"/>
    </row>
    <row r="49" spans="1:76" ht="13.05" customHeight="1">
      <c r="D49" s="404" t="s">
        <v>91</v>
      </c>
      <c r="AB49" s="2357">
        <f>AB47-AB48</f>
        <v>26423389</v>
      </c>
      <c r="AC49" s="2358"/>
      <c r="AD49" s="2358"/>
      <c r="AE49" s="2358"/>
      <c r="AF49" s="2359"/>
    </row>
    <row r="50" spans="1:76" ht="13.05" customHeight="1">
      <c r="D50" s="404" t="s">
        <v>681</v>
      </c>
      <c r="AA50" s="415"/>
      <c r="AB50" s="2345">
        <f>(15306842/15308374)*0.88</f>
        <v>0.87991193316808169</v>
      </c>
      <c r="AC50" s="2346"/>
      <c r="AD50" s="2346"/>
      <c r="AE50" s="2346"/>
      <c r="AF50" s="2347"/>
    </row>
    <row r="51" spans="1:76" s="417" customFormat="1" ht="13.05" customHeight="1">
      <c r="A51" s="402"/>
      <c r="B51" s="402"/>
      <c r="C51" s="402"/>
      <c r="D51" s="402"/>
      <c r="E51" s="2356" t="s">
        <v>2611</v>
      </c>
      <c r="F51" s="2356"/>
      <c r="G51" s="2356"/>
      <c r="H51" s="2356"/>
      <c r="I51" s="2356"/>
      <c r="J51" s="2356"/>
      <c r="K51" s="2356"/>
      <c r="L51" s="2356"/>
      <c r="M51" s="2356"/>
      <c r="N51" s="2356"/>
      <c r="O51" s="2356"/>
      <c r="P51" s="2356"/>
      <c r="Q51" s="2356"/>
      <c r="R51" s="2356"/>
      <c r="S51" s="2356"/>
      <c r="T51" s="2356"/>
      <c r="U51" s="2356"/>
      <c r="V51" s="2356"/>
      <c r="W51" s="2356"/>
      <c r="X51" s="2356"/>
      <c r="Y51" s="2356"/>
      <c r="Z51" s="2356"/>
      <c r="AA51" s="416"/>
      <c r="AB51" s="416"/>
      <c r="AC51" s="416"/>
      <c r="AD51" s="416"/>
      <c r="AE51" s="416"/>
      <c r="AF51" s="416"/>
      <c r="AG51" s="402"/>
      <c r="AH51" s="402"/>
      <c r="AI51" s="402"/>
      <c r="AJ51" s="402"/>
      <c r="AK51" s="402"/>
      <c r="AL51" s="402"/>
      <c r="AM51" s="402"/>
      <c r="AN51" s="402"/>
    </row>
    <row r="52" spans="1:76" s="417" customFormat="1" ht="13.05" customHeight="1">
      <c r="A52" s="402"/>
      <c r="B52" s="402"/>
      <c r="C52" s="402"/>
      <c r="D52" s="402"/>
      <c r="E52" s="2356"/>
      <c r="F52" s="2356"/>
      <c r="G52" s="2356"/>
      <c r="H52" s="2356"/>
      <c r="I52" s="2356"/>
      <c r="J52" s="2356"/>
      <c r="K52" s="2356"/>
      <c r="L52" s="2356"/>
      <c r="M52" s="2356"/>
      <c r="N52" s="2356"/>
      <c r="O52" s="2356"/>
      <c r="P52" s="2356"/>
      <c r="Q52" s="2356"/>
      <c r="R52" s="2356"/>
      <c r="S52" s="2356"/>
      <c r="T52" s="2356"/>
      <c r="U52" s="2356"/>
      <c r="V52" s="2356"/>
      <c r="W52" s="2356"/>
      <c r="X52" s="2356"/>
      <c r="Y52" s="2356"/>
      <c r="Z52" s="2356"/>
      <c r="AA52" s="418"/>
      <c r="AB52" s="418"/>
      <c r="AC52" s="418"/>
      <c r="AD52" s="418"/>
      <c r="AE52" s="418"/>
      <c r="AF52" s="418"/>
      <c r="AG52" s="419"/>
      <c r="AH52" s="402"/>
      <c r="AI52" s="402"/>
      <c r="AJ52" s="402"/>
      <c r="AK52" s="402"/>
      <c r="AL52" s="402"/>
      <c r="AM52" s="402"/>
      <c r="AN52" s="402"/>
    </row>
    <row r="53" spans="1:76" ht="13.0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05" customHeight="1">
      <c r="D54" s="404" t="s">
        <v>332</v>
      </c>
      <c r="AB54" s="2357">
        <f>ROUND(IF(ISERROR((AB49/AB50)),0,(AB49/AB50)),0)</f>
        <v>30029584</v>
      </c>
      <c r="AC54" s="2358"/>
      <c r="AD54" s="2358"/>
      <c r="AE54" s="2358"/>
      <c r="AF54" s="2359"/>
    </row>
    <row r="55" spans="1:76" ht="13.05" customHeight="1">
      <c r="D55" s="404" t="s">
        <v>333</v>
      </c>
      <c r="AB55" s="2357">
        <f>(AB54/10)</f>
        <v>3002958.4</v>
      </c>
      <c r="AC55" s="2358"/>
      <c r="AD55" s="2358"/>
      <c r="AE55" s="2358"/>
      <c r="AF55" s="2359"/>
    </row>
    <row r="56" spans="1:76" ht="13.05" customHeight="1">
      <c r="D56" s="404" t="s">
        <v>756</v>
      </c>
      <c r="AB56" s="2357">
        <f>ROUND((IF((Y41&lt;AB55),Y41,AB55)),0)</f>
        <v>1739588</v>
      </c>
      <c r="AC56" s="2358"/>
      <c r="AD56" s="2358"/>
      <c r="AE56" s="2358"/>
      <c r="AF56" s="2359"/>
    </row>
    <row r="57" spans="1:76" ht="13.05" customHeight="1">
      <c r="D57" s="404" t="s">
        <v>755</v>
      </c>
      <c r="AB57" s="2357">
        <f>ROUND((10*AB56*AB50),0)</f>
        <v>15306842</v>
      </c>
      <c r="AC57" s="2358"/>
      <c r="AD57" s="2358"/>
      <c r="AE57" s="2358"/>
      <c r="AF57" s="2359"/>
    </row>
    <row r="58" spans="1:76" ht="13.05" customHeight="1">
      <c r="D58" s="404"/>
      <c r="AB58" s="423"/>
      <c r="AC58" s="423"/>
      <c r="AD58" s="423"/>
      <c r="AE58" s="423"/>
      <c r="AF58" s="423"/>
    </row>
    <row r="59" spans="1:76" ht="13.05" customHeight="1">
      <c r="D59" s="404" t="s">
        <v>754</v>
      </c>
      <c r="AB59" s="2341">
        <f>AB49-AB57</f>
        <v>11116547</v>
      </c>
      <c r="AC59" s="2341"/>
      <c r="AD59" s="2341"/>
      <c r="AE59" s="2341"/>
      <c r="AF59" s="2341"/>
    </row>
    <row r="60" spans="1:76" ht="13.05" customHeight="1">
      <c r="D60" s="404"/>
      <c r="AB60" s="423"/>
      <c r="AC60" s="423"/>
      <c r="AD60" s="423"/>
      <c r="AE60" s="423"/>
      <c r="AF60" s="423"/>
    </row>
    <row r="61" spans="1:76" s="204" customFormat="1" ht="13.05" customHeight="1" thickBot="1">
      <c r="A61" s="2360" t="str">
        <f>IF(Application!AP205="yes","Farmworker State Credit", "State Credit" )</f>
        <v>State Credit</v>
      </c>
      <c r="B61" s="2360"/>
      <c r="C61" s="2360"/>
      <c r="D61" s="2360"/>
      <c r="E61" s="2360"/>
      <c r="F61" s="2360"/>
      <c r="G61" s="2360"/>
      <c r="H61" s="2360"/>
      <c r="I61" s="2360"/>
      <c r="J61" s="2360"/>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0"/>
      <c r="AX61" s="2360"/>
      <c r="AY61" s="2360"/>
      <c r="AZ61" s="2360"/>
      <c r="BA61" s="2360"/>
      <c r="BB61" s="2360"/>
      <c r="BC61" s="2360"/>
      <c r="BD61" s="2360"/>
      <c r="BE61" s="2360"/>
      <c r="BF61" s="2360"/>
      <c r="BG61" s="2360"/>
      <c r="BH61" s="2360"/>
      <c r="BI61" s="2360"/>
      <c r="BJ61" s="2360"/>
      <c r="BK61" s="2360"/>
      <c r="BL61" s="2360"/>
      <c r="BM61" s="2360"/>
      <c r="BN61" s="2360"/>
      <c r="BO61" s="2360"/>
      <c r="BP61" s="2360"/>
      <c r="BQ61" s="2360"/>
      <c r="BR61" s="2360"/>
      <c r="BS61" s="2360"/>
      <c r="BT61" s="2360"/>
      <c r="BU61" s="2360"/>
      <c r="BV61" s="2360"/>
      <c r="BW61" s="2360"/>
      <c r="BX61" s="2360"/>
    </row>
    <row r="62" spans="1:76" s="204" customFormat="1" ht="13.05" customHeight="1" thickTop="1"/>
    <row r="63" spans="1:76" ht="13.05" customHeight="1">
      <c r="A63" s="404" t="s">
        <v>589</v>
      </c>
      <c r="C63" s="205" t="s">
        <v>1248</v>
      </c>
      <c r="Y63" s="2352" t="s">
        <v>984</v>
      </c>
      <c r="Z63" s="2352"/>
      <c r="AA63" s="2352"/>
      <c r="AB63" s="2352"/>
      <c r="AC63" s="2352"/>
      <c r="AD63" s="2352" t="s">
        <v>369</v>
      </c>
      <c r="AE63" s="2352"/>
      <c r="AF63" s="2352"/>
      <c r="AG63" s="2352"/>
      <c r="AH63" s="2352"/>
    </row>
    <row r="64" spans="1:76" ht="13.0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53">
        <f>IF(Application!$Z$205="(select)",0,((T23*T27)+Y28))</f>
        <v>33453611</v>
      </c>
      <c r="Z64" s="2354"/>
      <c r="AA64" s="2354"/>
      <c r="AB64" s="2354"/>
      <c r="AC64" s="2355"/>
      <c r="AD64" s="2353">
        <f>IF(AND(OR(Application!D211="At-Risk",Application!D211="At-Risk and Special Needs"),Application!M358="yes"),AD28+AI28,0)</f>
        <v>0</v>
      </c>
      <c r="AE64" s="2354"/>
      <c r="AF64" s="2354"/>
      <c r="AG64" s="2354"/>
      <c r="AH64" s="2355"/>
    </row>
    <row r="65" spans="1:36" ht="13.0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0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2">
        <f>IF(OR(Application!Z205="State Farmworker Credit",Application!Z205="$500M (Farmworker Housing)"),0.75,IF(Application!Z205="15% set-aside",0.13,IF(Application!Z205="15% set-aside with qualifying low value rehab",0.95,IF(Application!Z205="$500M",0.3,0))))</f>
        <v>0.75</v>
      </c>
      <c r="Z67" s="2342"/>
      <c r="AA67" s="2342"/>
      <c r="AB67" s="2342"/>
      <c r="AC67" s="2342"/>
      <c r="AD67" s="2342">
        <f>IF(Application!Z205="15% set-aside with qualifying low value rehab", 0.95,IF(OR(Application!D211="At-Risk",'Points System'!B13="Yes"),0.13,0))</f>
        <v>0</v>
      </c>
      <c r="AE67" s="2342"/>
      <c r="AF67" s="2342"/>
      <c r="AG67" s="2342"/>
      <c r="AH67" s="2342"/>
    </row>
    <row r="68" spans="1:36" ht="13.05" customHeight="1">
      <c r="C68" s="404"/>
      <c r="D68" s="205" t="s">
        <v>2224</v>
      </c>
      <c r="Y68" s="2343">
        <f>ROUND(Y64*Y67,0)</f>
        <v>25090208</v>
      </c>
      <c r="Z68" s="2344"/>
      <c r="AA68" s="2344"/>
      <c r="AB68" s="2344"/>
      <c r="AC68" s="2344"/>
      <c r="AD68" s="2343">
        <f>ROUND(AD64*AD67,0)</f>
        <v>0</v>
      </c>
      <c r="AE68" s="2344"/>
      <c r="AF68" s="2344"/>
      <c r="AG68" s="2344"/>
      <c r="AH68" s="2344"/>
    </row>
    <row r="69" spans="1:36" ht="13.05" customHeight="1">
      <c r="C69" s="404"/>
      <c r="D69" s="205" t="s">
        <v>2225</v>
      </c>
      <c r="Y69" s="2343">
        <f>IF(OR(Application!Z205="State Farmworker Credit",Application!Z205="$500M (Farmworker Housing)"),Y68+AD68,MIN(Y68+AD68,200000*(Application!G753+Application!O777)))</f>
        <v>25090208</v>
      </c>
      <c r="Z69" s="2343"/>
      <c r="AA69" s="2343"/>
      <c r="AB69" s="2343"/>
      <c r="AC69" s="2343"/>
      <c r="AD69" s="2343"/>
      <c r="AE69" s="2343"/>
      <c r="AF69" s="2343"/>
      <c r="AG69" s="2343"/>
      <c r="AH69" s="2343"/>
    </row>
    <row r="70" spans="1:36" ht="13.05" customHeight="1">
      <c r="C70" s="404"/>
      <c r="E70" s="404"/>
      <c r="AB70" s="422"/>
      <c r="AC70" s="422"/>
      <c r="AD70" s="422"/>
      <c r="AE70" s="422"/>
      <c r="AF70" s="422"/>
    </row>
    <row r="71" spans="1:36" ht="13.05" customHeight="1">
      <c r="A71" s="404" t="s">
        <v>590</v>
      </c>
      <c r="C71" s="205" t="s">
        <v>284</v>
      </c>
    </row>
    <row r="72" spans="1:36" ht="13.05" customHeight="1">
      <c r="A72" s="404"/>
      <c r="C72" s="404"/>
      <c r="D72" s="205" t="s">
        <v>1250</v>
      </c>
      <c r="AB72" s="2345">
        <v>0.9</v>
      </c>
      <c r="AC72" s="2346"/>
      <c r="AD72" s="2346"/>
      <c r="AE72" s="2346"/>
      <c r="AF72" s="2347"/>
    </row>
    <row r="73" spans="1:36" ht="13.05" customHeight="1">
      <c r="A73" s="404"/>
      <c r="C73" s="404"/>
      <c r="D73" s="404"/>
      <c r="E73" s="2348" t="s">
        <v>1251</v>
      </c>
      <c r="F73" s="2348"/>
      <c r="G73" s="2348"/>
      <c r="H73" s="2348"/>
      <c r="I73" s="2348"/>
      <c r="J73" s="2348"/>
      <c r="K73" s="2348"/>
      <c r="L73" s="2348"/>
      <c r="M73" s="2348"/>
      <c r="N73" s="2348"/>
      <c r="O73" s="2348"/>
      <c r="P73" s="2348"/>
      <c r="Q73" s="2348"/>
      <c r="R73" s="2348"/>
      <c r="S73" s="2348"/>
      <c r="T73" s="2348"/>
      <c r="U73" s="2348"/>
      <c r="V73" s="2348"/>
      <c r="W73" s="2348"/>
      <c r="X73" s="2348"/>
      <c r="Y73" s="2348"/>
      <c r="Z73" s="2348"/>
      <c r="AA73" s="2348"/>
      <c r="AB73" s="438"/>
      <c r="AC73" s="438"/>
    </row>
    <row r="74" spans="1:36" ht="13.05" customHeight="1">
      <c r="A74" s="404"/>
      <c r="C74" s="404"/>
      <c r="D74" s="404"/>
      <c r="E74" s="2348"/>
      <c r="F74" s="2348"/>
      <c r="G74" s="2348"/>
      <c r="H74" s="2348"/>
      <c r="I74" s="2348"/>
      <c r="J74" s="2348"/>
      <c r="K74" s="2348"/>
      <c r="L74" s="2348"/>
      <c r="M74" s="2348"/>
      <c r="N74" s="2348"/>
      <c r="O74" s="2348"/>
      <c r="P74" s="2348"/>
      <c r="Q74" s="2348"/>
      <c r="R74" s="2348"/>
      <c r="S74" s="2348"/>
      <c r="T74" s="2348"/>
      <c r="U74" s="2348"/>
      <c r="V74" s="2348"/>
      <c r="W74" s="2348"/>
      <c r="X74" s="2348"/>
      <c r="Y74" s="2348"/>
      <c r="Z74" s="2348"/>
      <c r="AA74" s="2348"/>
      <c r="AB74" s="438"/>
      <c r="AC74" s="438"/>
    </row>
    <row r="75" spans="1:36" ht="13.05" customHeight="1">
      <c r="A75" s="404"/>
      <c r="C75" s="404"/>
      <c r="D75" s="404"/>
      <c r="E75" s="2348"/>
      <c r="F75" s="2348"/>
      <c r="G75" s="2348"/>
      <c r="H75" s="2348"/>
      <c r="I75" s="2348"/>
      <c r="J75" s="2348"/>
      <c r="K75" s="2348"/>
      <c r="L75" s="2348"/>
      <c r="M75" s="2348"/>
      <c r="N75" s="2348"/>
      <c r="O75" s="2348"/>
      <c r="P75" s="2348"/>
      <c r="Q75" s="2348"/>
      <c r="R75" s="2348"/>
      <c r="S75" s="2348"/>
      <c r="T75" s="2348"/>
      <c r="U75" s="2348"/>
      <c r="V75" s="2348"/>
      <c r="W75" s="2348"/>
      <c r="X75" s="2348"/>
      <c r="Y75" s="2348"/>
      <c r="Z75" s="2348"/>
      <c r="AA75" s="2348"/>
      <c r="AB75" s="438"/>
      <c r="AC75" s="438"/>
    </row>
    <row r="76" spans="1:36" ht="13.0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05" customHeight="1">
      <c r="C77" s="404"/>
      <c r="D77" s="205" t="s">
        <v>1252</v>
      </c>
      <c r="AB77" s="2336">
        <f>ROUND(IF(ISERROR((AB59/AB72)),0,(AB59/AB72)),0)</f>
        <v>12351719</v>
      </c>
      <c r="AC77" s="2336"/>
      <c r="AD77" s="2336"/>
      <c r="AE77" s="2336"/>
      <c r="AF77" s="2336"/>
    </row>
    <row r="78" spans="1:36" ht="13.05" customHeight="1">
      <c r="C78" s="404"/>
      <c r="D78" s="205" t="s">
        <v>1253</v>
      </c>
      <c r="AB78" s="2337">
        <f>ROUNDUP(MIN(Y69,AB77),0)</f>
        <v>12351719</v>
      </c>
      <c r="AC78" s="2338"/>
      <c r="AD78" s="2338"/>
      <c r="AE78" s="2338"/>
      <c r="AF78" s="2339"/>
    </row>
    <row r="79" spans="1:36" ht="13.05" customHeight="1">
      <c r="C79" s="404"/>
      <c r="D79" s="205" t="s">
        <v>1254</v>
      </c>
      <c r="AB79" s="2340">
        <f>AB78*AB72</f>
        <v>11116547.1</v>
      </c>
      <c r="AC79" s="2340"/>
      <c r="AD79" s="2340"/>
      <c r="AE79" s="2340"/>
      <c r="AF79" s="2340"/>
    </row>
    <row r="80" spans="1:36" ht="13.05" customHeight="1">
      <c r="C80" s="404"/>
      <c r="D80" s="404"/>
      <c r="AB80" s="425"/>
      <c r="AC80" s="425"/>
      <c r="AD80" s="425"/>
      <c r="AE80" s="425"/>
      <c r="AF80" s="425"/>
    </row>
    <row r="81" spans="1:78" ht="13.05" customHeight="1">
      <c r="D81" s="404" t="s">
        <v>754</v>
      </c>
      <c r="AB81" s="2341">
        <f>AB49-(AB57+AB79)</f>
        <v>-0.10000000149011612</v>
      </c>
      <c r="AC81" s="2341"/>
      <c r="AD81" s="2341"/>
      <c r="AE81" s="2341"/>
      <c r="AF81" s="2341"/>
    </row>
    <row r="82" spans="1:78" ht="13.05" customHeight="1">
      <c r="F82" s="522"/>
      <c r="J82" s="522" t="str">
        <f>IF(AB81&gt;0,"FUNDING GAP MUST NOT EXCEED ZERO","")</f>
        <v/>
      </c>
    </row>
    <row r="83" spans="1:78" ht="13.05" customHeight="1">
      <c r="D83" s="523"/>
    </row>
    <row r="84" spans="1:78" ht="13.05" customHeight="1" thickBot="1">
      <c r="A84" s="2360"/>
      <c r="B84" s="2360"/>
      <c r="C84" s="2360"/>
      <c r="D84" s="2360"/>
      <c r="E84" s="2360"/>
      <c r="F84" s="2360"/>
      <c r="G84" s="2360"/>
      <c r="H84" s="2360"/>
      <c r="I84" s="2360"/>
      <c r="J84" s="2360"/>
      <c r="K84" s="2360"/>
      <c r="L84" s="2360"/>
      <c r="M84" s="2360"/>
      <c r="N84" s="2360"/>
      <c r="O84" s="2360"/>
      <c r="P84" s="2360"/>
      <c r="Q84" s="2360"/>
      <c r="R84" s="2360"/>
      <c r="S84" s="2360"/>
      <c r="T84" s="2360"/>
      <c r="U84" s="2360"/>
      <c r="V84" s="2360"/>
      <c r="W84" s="2360"/>
      <c r="X84" s="2360"/>
      <c r="Y84" s="2360"/>
      <c r="Z84" s="2360"/>
      <c r="AA84" s="2360"/>
      <c r="AB84" s="2360"/>
      <c r="AC84" s="2360"/>
      <c r="AD84" s="2360"/>
      <c r="AE84" s="2360"/>
      <c r="AF84" s="2360"/>
      <c r="AG84" s="2360"/>
      <c r="AH84" s="2360"/>
      <c r="AI84" s="2360"/>
      <c r="AJ84" s="2360"/>
      <c r="AK84" s="2360"/>
      <c r="AL84" s="2360"/>
      <c r="AM84" s="2360"/>
      <c r="AN84" s="2360"/>
      <c r="AO84" s="2360"/>
      <c r="AP84" s="2360"/>
      <c r="AQ84" s="2360"/>
      <c r="AR84" s="2360"/>
      <c r="AS84" s="2360"/>
      <c r="AT84" s="2360"/>
      <c r="AU84" s="2360"/>
      <c r="AV84" s="2360"/>
      <c r="AW84" s="2360"/>
      <c r="AX84" s="2360"/>
      <c r="AY84" s="2360"/>
      <c r="AZ84" s="2360"/>
      <c r="BA84" s="2360"/>
      <c r="BB84" s="2360"/>
      <c r="BC84" s="2360"/>
      <c r="BD84" s="2360"/>
      <c r="BE84" s="2360"/>
      <c r="BF84" s="2360"/>
      <c r="BG84" s="2360"/>
      <c r="BH84" s="2360"/>
      <c r="BI84" s="2360"/>
      <c r="BJ84" s="2360"/>
      <c r="BK84" s="2360"/>
      <c r="BL84" s="2360"/>
      <c r="BM84" s="2360"/>
      <c r="BN84" s="2360"/>
      <c r="BO84" s="2360"/>
      <c r="BP84" s="2360"/>
      <c r="BQ84" s="2360"/>
      <c r="BR84" s="2360"/>
      <c r="BS84" s="2360"/>
      <c r="BT84" s="2360"/>
      <c r="BU84" s="2360"/>
      <c r="BV84" s="2360"/>
      <c r="BW84" s="2360"/>
      <c r="BX84" s="2360"/>
    </row>
    <row r="85" spans="1:78" ht="13.05" customHeight="1" thickTop="1"/>
    <row r="86" spans="1:78" ht="13.05" customHeight="1">
      <c r="A86" s="404"/>
      <c r="C86" s="205"/>
    </row>
    <row r="87" spans="1:78" ht="13.05" customHeight="1">
      <c r="D87" s="205"/>
      <c r="AB87" s="2392"/>
      <c r="AC87" s="2392"/>
      <c r="AD87" s="2392"/>
      <c r="AE87" s="2392"/>
      <c r="AF87" s="2392"/>
    </row>
    <row r="88" spans="1:78" ht="13.05" customHeight="1" thickBot="1">
      <c r="D88" s="205"/>
      <c r="AB88" s="2391"/>
      <c r="AC88" s="2391"/>
      <c r="AD88" s="2391"/>
      <c r="AE88" s="2391"/>
      <c r="AF88" s="239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0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820" zoomScaleNormal="100" workbookViewId="0">
      <selection activeCell="AB260" sqref="AB260:AG260"/>
    </sheetView>
  </sheetViews>
  <sheetFormatPr defaultColWidth="0" defaultRowHeight="13.2" zeroHeight="1"/>
  <cols>
    <col min="1" max="1" width="2.77734375" style="14" customWidth="1"/>
    <col min="2" max="3" width="2.44140625" style="14" customWidth="1"/>
    <col min="4" max="4" width="3.218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777343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21875" style="14" hidden="1"/>
  </cols>
  <sheetData>
    <row r="1" spans="1:42" ht="15.75" customHeight="1">
      <c r="A1" s="2434" t="s">
        <v>1300</v>
      </c>
      <c r="B1" s="2434"/>
      <c r="C1" s="2434"/>
      <c r="D1" s="2434"/>
      <c r="E1" s="2434"/>
      <c r="F1" s="2434"/>
      <c r="G1" s="2434"/>
      <c r="H1" s="2434"/>
      <c r="I1" s="2434"/>
      <c r="J1" s="2434"/>
      <c r="K1" s="2434"/>
      <c r="L1" s="2434"/>
      <c r="M1" s="2434"/>
      <c r="N1" s="2434"/>
      <c r="O1" s="2434"/>
      <c r="P1" s="2434"/>
      <c r="Q1" s="2434"/>
      <c r="R1" s="2434"/>
      <c r="S1" s="2434"/>
      <c r="T1" s="2434"/>
      <c r="U1" s="2434"/>
      <c r="V1" s="2434"/>
      <c r="W1" s="2434"/>
      <c r="X1" s="2434"/>
      <c r="Y1" s="2434"/>
      <c r="Z1" s="2434"/>
      <c r="AA1" s="2434"/>
      <c r="AB1" s="2434"/>
      <c r="AC1" s="2434"/>
      <c r="AD1" s="2434"/>
      <c r="AE1" s="2434"/>
      <c r="AF1" s="2434"/>
      <c r="AG1" s="2434"/>
      <c r="AH1" s="2434"/>
      <c r="AI1" s="2434"/>
      <c r="AJ1" s="2434"/>
      <c r="AK1" s="2434"/>
      <c r="AL1" s="2434"/>
      <c r="AM1" s="2434"/>
    </row>
    <row r="2" spans="1:42" s="536" customFormat="1" ht="12.75" customHeight="1" thickBot="1">
      <c r="A2" s="2435"/>
      <c r="B2" s="2435"/>
      <c r="C2" s="2435"/>
      <c r="D2" s="2435"/>
      <c r="E2" s="2435"/>
      <c r="F2" s="2435"/>
      <c r="G2" s="2435"/>
      <c r="H2" s="2435"/>
      <c r="I2" s="2435"/>
      <c r="J2" s="2435"/>
      <c r="K2" s="2435"/>
      <c r="L2" s="2435"/>
      <c r="M2" s="2435"/>
      <c r="N2" s="2435"/>
      <c r="O2" s="2435"/>
      <c r="P2" s="2435"/>
      <c r="Q2" s="2435"/>
      <c r="R2" s="2435"/>
      <c r="S2" s="2435"/>
      <c r="T2" s="2435"/>
      <c r="U2" s="2435"/>
      <c r="V2" s="2435"/>
      <c r="W2" s="2435"/>
      <c r="X2" s="2435"/>
      <c r="Y2" s="2435"/>
      <c r="Z2" s="2435"/>
      <c r="AA2" s="2435"/>
      <c r="AB2" s="2435"/>
      <c r="AC2" s="2435"/>
      <c r="AD2" s="2435"/>
      <c r="AE2" s="2435"/>
      <c r="AF2" s="2435"/>
      <c r="AG2" s="2435"/>
      <c r="AH2" s="2435"/>
      <c r="AI2" s="2435"/>
      <c r="AJ2" s="2435"/>
      <c r="AK2" s="2435"/>
      <c r="AL2" s="2435"/>
      <c r="AM2" s="243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1305</v>
      </c>
      <c r="AF7" s="2415"/>
      <c r="AG7" s="2415"/>
      <c r="AH7" s="2415"/>
      <c r="AI7" s="2415"/>
      <c r="AJ7" s="2415"/>
      <c r="AK7" s="2415"/>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5" t="s">
        <v>591</v>
      </c>
      <c r="C13" s="240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6"/>
      <c r="AH13" s="2436"/>
      <c r="AI13" s="2436"/>
      <c r="AJ13" s="243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5" t="s">
        <v>591</v>
      </c>
      <c r="C16" s="2405"/>
      <c r="D16" s="547"/>
      <c r="E16" s="2416" t="s">
        <v>1307</v>
      </c>
      <c r="F16" s="2417"/>
      <c r="G16" s="2417"/>
      <c r="H16" s="2417"/>
      <c r="I16" s="2417"/>
      <c r="J16" s="2417"/>
      <c r="K16" s="2417"/>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418"/>
      <c r="AK16" s="540"/>
      <c r="AL16" s="540"/>
      <c r="AM16" s="540"/>
      <c r="AN16" s="535"/>
      <c r="AO16" s="550">
        <f>IF($B25="yes",20,0)</f>
        <v>0</v>
      </c>
      <c r="AP16" s="14"/>
    </row>
    <row r="17" spans="1:42" s="536" customFormat="1" ht="12.75" customHeight="1">
      <c r="A17" s="540"/>
      <c r="B17" s="540"/>
      <c r="C17" s="540"/>
      <c r="D17" s="551"/>
      <c r="E17" s="2419"/>
      <c r="F17" s="2420"/>
      <c r="G17" s="2420"/>
      <c r="H17" s="2420"/>
      <c r="I17" s="2420"/>
      <c r="J17" s="2420"/>
      <c r="K17" s="2420"/>
      <c r="L17" s="2420"/>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1"/>
      <c r="AK17" s="540"/>
      <c r="AL17" s="540"/>
      <c r="AM17" s="540"/>
      <c r="AN17" s="535"/>
      <c r="AO17" s="550">
        <f>IF($B28="yes",20,0)</f>
        <v>0</v>
      </c>
    </row>
    <row r="18" spans="1:42" s="536" customFormat="1" ht="12.75" customHeight="1">
      <c r="A18" s="540"/>
      <c r="B18" s="540"/>
      <c r="C18" s="540"/>
      <c r="D18" s="551"/>
      <c r="E18" s="2419"/>
      <c r="F18" s="2420"/>
      <c r="G18" s="2420"/>
      <c r="H18" s="2420"/>
      <c r="I18" s="2420"/>
      <c r="J18" s="2420"/>
      <c r="K18" s="2420"/>
      <c r="L18" s="2420"/>
      <c r="M18" s="2420"/>
      <c r="N18" s="2420"/>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1"/>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7"/>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5" t="s">
        <v>591</v>
      </c>
      <c r="C22" s="2405"/>
      <c r="D22" s="547"/>
      <c r="E22" s="2441" t="s">
        <v>1310</v>
      </c>
      <c r="F22" s="2442"/>
      <c r="G22" s="2442"/>
      <c r="H22" s="2442"/>
      <c r="I22" s="2442"/>
      <c r="J22" s="2442"/>
      <c r="K22" s="2442"/>
      <c r="L22" s="2442"/>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3"/>
      <c r="AK22" s="540"/>
      <c r="AL22" s="540"/>
      <c r="AM22" s="540"/>
      <c r="AN22" s="535"/>
      <c r="AO22" s="550">
        <f>IF($B40="yes",14,0)</f>
        <v>0</v>
      </c>
    </row>
    <row r="23" spans="1:42" s="536" customFormat="1" ht="12.75" customHeight="1">
      <c r="A23" s="540"/>
      <c r="B23" s="540"/>
      <c r="C23" s="540"/>
      <c r="D23" s="550"/>
      <c r="E23" s="2444"/>
      <c r="F23" s="2445"/>
      <c r="G23" s="2445"/>
      <c r="H23" s="2445"/>
      <c r="I23" s="2445"/>
      <c r="J23" s="2445"/>
      <c r="K23" s="2445"/>
      <c r="L23" s="2445"/>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5" t="s">
        <v>591</v>
      </c>
      <c r="C25" s="2405"/>
      <c r="D25" s="547"/>
      <c r="E25" s="2406" t="s">
        <v>2033</v>
      </c>
      <c r="F25" s="2407"/>
      <c r="G25" s="2407"/>
      <c r="H25" s="2407"/>
      <c r="I25" s="2407"/>
      <c r="J25" s="2407"/>
      <c r="K25" s="2407"/>
      <c r="L25" s="2407"/>
      <c r="M25" s="2407"/>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8"/>
      <c r="AK25" s="540"/>
      <c r="AL25" s="540"/>
      <c r="AM25" s="540"/>
      <c r="AN25" s="535"/>
      <c r="AO25" s="550">
        <f>IF($B45="yes",6,0)</f>
        <v>0</v>
      </c>
    </row>
    <row r="26" spans="1:42" s="536" customFormat="1" ht="12.75" customHeight="1">
      <c r="A26" s="540"/>
      <c r="B26" s="540"/>
      <c r="C26" s="540"/>
      <c r="D26" s="550"/>
      <c r="E26" s="2409"/>
      <c r="F26" s="2410"/>
      <c r="G26" s="2410"/>
      <c r="H26" s="2410"/>
      <c r="I26" s="2410"/>
      <c r="J26" s="2410"/>
      <c r="K26" s="2410"/>
      <c r="L26" s="2410"/>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5" t="s">
        <v>591</v>
      </c>
      <c r="C28" s="2405"/>
      <c r="D28" s="547"/>
      <c r="E28" s="2429" t="s">
        <v>2248</v>
      </c>
      <c r="F28" s="2430"/>
      <c r="G28" s="2430"/>
      <c r="H28" s="2430"/>
      <c r="I28" s="2430"/>
      <c r="J28" s="2430"/>
      <c r="K28" s="2430"/>
      <c r="L28" s="2430"/>
      <c r="M28" s="2430"/>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5" t="s">
        <v>591</v>
      </c>
      <c r="C33" s="2405"/>
      <c r="D33" s="547"/>
      <c r="E33" s="2441" t="s">
        <v>2250</v>
      </c>
      <c r="F33" s="2442"/>
      <c r="G33" s="2442"/>
      <c r="H33" s="2442"/>
      <c r="I33" s="2442"/>
      <c r="J33" s="2442"/>
      <c r="K33" s="2442"/>
      <c r="L33" s="2442"/>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3"/>
      <c r="AK33" s="540"/>
      <c r="AL33" s="540"/>
      <c r="AM33" s="540"/>
      <c r="AN33" s="535"/>
      <c r="AO33" s="550"/>
    </row>
    <row r="34" spans="1:41" s="536" customFormat="1" ht="12.75" customHeight="1">
      <c r="A34" s="540"/>
      <c r="B34" s="540"/>
      <c r="C34" s="540"/>
      <c r="E34" s="2444"/>
      <c r="F34" s="2445"/>
      <c r="G34" s="2445"/>
      <c r="H34" s="2445"/>
      <c r="I34" s="2445"/>
      <c r="J34" s="2445"/>
      <c r="K34" s="2445"/>
      <c r="L34" s="2445"/>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5" t="s">
        <v>591</v>
      </c>
      <c r="C36" s="2405"/>
      <c r="D36" s="547"/>
      <c r="E36" s="2406" t="s">
        <v>2251</v>
      </c>
      <c r="F36" s="2407"/>
      <c r="G36" s="2407"/>
      <c r="H36" s="2407"/>
      <c r="I36" s="2407"/>
      <c r="J36" s="2407"/>
      <c r="K36" s="2407"/>
      <c r="L36" s="2407"/>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8"/>
      <c r="AK36" s="540"/>
      <c r="AL36" s="540"/>
      <c r="AM36" s="540"/>
      <c r="AN36" s="535"/>
    </row>
    <row r="37" spans="1:41" s="536" customFormat="1" ht="12.75" customHeight="1">
      <c r="A37" s="540"/>
      <c r="B37" s="540"/>
      <c r="C37" s="540"/>
      <c r="E37" s="2412"/>
      <c r="F37" s="2413"/>
      <c r="G37" s="2413"/>
      <c r="H37" s="2413"/>
      <c r="I37" s="2413"/>
      <c r="J37" s="2413"/>
      <c r="K37" s="2413"/>
      <c r="L37" s="241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4"/>
      <c r="AK37" s="540"/>
      <c r="AL37" s="540"/>
      <c r="AM37" s="540"/>
      <c r="AN37" s="535"/>
    </row>
    <row r="38" spans="1:41" s="536" customFormat="1" ht="12.75" customHeight="1">
      <c r="A38" s="540"/>
      <c r="B38" s="540"/>
      <c r="C38" s="540"/>
      <c r="E38" s="2409"/>
      <c r="F38" s="2410"/>
      <c r="G38" s="2410"/>
      <c r="H38" s="2410"/>
      <c r="I38" s="2410"/>
      <c r="J38" s="2410"/>
      <c r="K38" s="2410"/>
      <c r="L38" s="2410"/>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5" t="s">
        <v>591</v>
      </c>
      <c r="C40" s="2405"/>
      <c r="D40" s="547"/>
      <c r="E40" s="2406" t="s">
        <v>2249</v>
      </c>
      <c r="F40" s="2407"/>
      <c r="G40" s="2407"/>
      <c r="H40" s="2407"/>
      <c r="I40" s="2407"/>
      <c r="J40" s="2407"/>
      <c r="K40" s="2407"/>
      <c r="L40" s="2407"/>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8"/>
      <c r="AK40" s="540"/>
      <c r="AL40" s="540"/>
      <c r="AM40" s="540"/>
      <c r="AN40" s="535"/>
    </row>
    <row r="41" spans="1:41" s="536" customFormat="1" ht="12.75" customHeight="1">
      <c r="A41" s="540"/>
      <c r="B41" s="540"/>
      <c r="C41" s="540"/>
      <c r="E41" s="2409"/>
      <c r="F41" s="2410"/>
      <c r="G41" s="2410"/>
      <c r="H41" s="2410"/>
      <c r="I41" s="2410"/>
      <c r="J41" s="2410"/>
      <c r="K41" s="2410"/>
      <c r="L41" s="2410"/>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5" t="s">
        <v>591</v>
      </c>
      <c r="C45" s="2405"/>
      <c r="D45" s="1142"/>
      <c r="E45" s="2406" t="s">
        <v>2008</v>
      </c>
      <c r="F45" s="2407"/>
      <c r="G45" s="2407"/>
      <c r="H45" s="2407"/>
      <c r="I45" s="2407"/>
      <c r="J45" s="2407"/>
      <c r="K45" s="2407"/>
      <c r="L45" s="2407"/>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8"/>
      <c r="AK45" s="1142"/>
      <c r="AL45" s="540"/>
      <c r="AM45" s="540"/>
      <c r="AN45" s="535"/>
    </row>
    <row r="46" spans="1:41" s="536" customFormat="1" ht="12.75" customHeight="1">
      <c r="A46" s="540"/>
      <c r="B46" s="540"/>
      <c r="C46" s="540"/>
      <c r="E46" s="2412"/>
      <c r="F46" s="2413"/>
      <c r="G46" s="2413"/>
      <c r="H46" s="2413"/>
      <c r="I46" s="2413"/>
      <c r="J46" s="2413"/>
      <c r="K46" s="2413"/>
      <c r="L46" s="2413"/>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4"/>
      <c r="AK46" s="540"/>
      <c r="AL46" s="540"/>
      <c r="AM46" s="540"/>
      <c r="AN46" s="535"/>
    </row>
    <row r="47" spans="1:41" s="536" customFormat="1" ht="12.75" customHeight="1">
      <c r="A47" s="540"/>
      <c r="D47" s="547"/>
      <c r="E47" s="2409"/>
      <c r="F47" s="2410"/>
      <c r="G47" s="2410"/>
      <c r="H47" s="2410"/>
      <c r="I47" s="2410"/>
      <c r="J47" s="2410"/>
      <c r="K47" s="2410"/>
      <c r="L47" s="2410"/>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5" t="s">
        <v>591</v>
      </c>
      <c r="C52" s="2405"/>
      <c r="D52" s="540"/>
      <c r="E52" s="2406" t="s">
        <v>2013</v>
      </c>
      <c r="F52" s="2407"/>
      <c r="G52" s="2407"/>
      <c r="H52" s="2407"/>
      <c r="I52" s="2407"/>
      <c r="J52" s="2407"/>
      <c r="K52" s="2407"/>
      <c r="L52" s="2407"/>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8"/>
      <c r="AK52" s="540"/>
      <c r="AL52" s="540"/>
      <c r="AM52" s="540"/>
      <c r="AN52" s="535"/>
      <c r="AO52" s="559"/>
    </row>
    <row r="53" spans="1:50" s="536" customFormat="1" ht="12.75" customHeight="1">
      <c r="A53" s="540"/>
      <c r="D53" s="547"/>
      <c r="E53" s="2412"/>
      <c r="F53" s="2413"/>
      <c r="G53" s="2413"/>
      <c r="H53" s="2413"/>
      <c r="I53" s="2413"/>
      <c r="J53" s="2413"/>
      <c r="K53" s="2413"/>
      <c r="L53" s="2413"/>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4"/>
      <c r="AK53" s="540"/>
      <c r="AL53" s="540"/>
      <c r="AM53" s="540"/>
      <c r="AN53" s="535"/>
      <c r="AO53" s="559"/>
    </row>
    <row r="54" spans="1:50" s="536" customFormat="1" ht="12.75" customHeight="1">
      <c r="A54" s="540"/>
      <c r="D54" s="540"/>
      <c r="E54" s="2409"/>
      <c r="F54" s="2410"/>
      <c r="G54" s="2410"/>
      <c r="H54" s="2410"/>
      <c r="I54" s="2410"/>
      <c r="J54" s="2410"/>
      <c r="K54" s="2410"/>
      <c r="L54" s="2410"/>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5" t="s">
        <v>591</v>
      </c>
      <c r="C56" s="2405"/>
      <c r="D56" s="540"/>
      <c r="E56" s="2426" t="s">
        <v>2014</v>
      </c>
      <c r="F56" s="2427"/>
      <c r="G56" s="2427"/>
      <c r="H56" s="2427"/>
      <c r="I56" s="2427"/>
      <c r="J56" s="2427"/>
      <c r="K56" s="2427"/>
      <c r="L56" s="2427"/>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5" t="s">
        <v>591</v>
      </c>
      <c r="C58" s="2405"/>
      <c r="D58" s="540"/>
      <c r="E58" s="2406" t="s">
        <v>2015</v>
      </c>
      <c r="F58" s="2407"/>
      <c r="G58" s="2407"/>
      <c r="H58" s="2407"/>
      <c r="I58" s="2407"/>
      <c r="J58" s="2407"/>
      <c r="K58" s="2407"/>
      <c r="L58" s="2407"/>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8"/>
      <c r="AK58" s="540"/>
      <c r="AL58" s="540"/>
      <c r="AM58" s="540"/>
      <c r="AN58" s="535"/>
    </row>
    <row r="59" spans="1:50" s="536" customFormat="1" ht="12.75" customHeight="1">
      <c r="A59" s="540"/>
      <c r="B59" s="547"/>
      <c r="C59" s="547"/>
      <c r="D59" s="547"/>
      <c r="E59" s="2409"/>
      <c r="F59" s="2410"/>
      <c r="G59" s="2410"/>
      <c r="H59" s="2410"/>
      <c r="I59" s="2410"/>
      <c r="J59" s="2410"/>
      <c r="K59" s="2410"/>
      <c r="L59" s="2410"/>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8">
        <f>AO39</f>
        <v>0</v>
      </c>
      <c r="AL62" s="2439"/>
      <c r="AM62" s="244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5" t="s">
        <v>1314</v>
      </c>
      <c r="AF65" s="2415"/>
      <c r="AG65" s="2415"/>
      <c r="AH65" s="2415"/>
      <c r="AI65" s="2415"/>
      <c r="AJ65" s="2415"/>
      <c r="AK65" s="2415"/>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5" t="s">
        <v>545</v>
      </c>
      <c r="C68" s="2405"/>
      <c r="D68" s="547" t="s">
        <v>1315</v>
      </c>
      <c r="E68" s="2416" t="s">
        <v>2016</v>
      </c>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50">
        <f>IF($B68="yes",10,0)</f>
        <v>10</v>
      </c>
    </row>
    <row r="69" spans="1:42" s="536" customFormat="1" ht="12.75" customHeight="1">
      <c r="A69" s="538"/>
      <c r="B69" s="540"/>
      <c r="C69" s="540"/>
      <c r="D69" s="551"/>
      <c r="E69" s="2419"/>
      <c r="F69" s="2420"/>
      <c r="G69" s="2420"/>
      <c r="H69" s="2420"/>
      <c r="I69" s="2420"/>
      <c r="J69" s="2420"/>
      <c r="K69" s="2420"/>
      <c r="L69" s="2420"/>
      <c r="M69" s="2420"/>
      <c r="N69" s="2420"/>
      <c r="O69" s="2420"/>
      <c r="P69" s="2420"/>
      <c r="Q69" s="2420"/>
      <c r="R69" s="2420"/>
      <c r="S69" s="2420"/>
      <c r="T69" s="2420"/>
      <c r="U69" s="2420"/>
      <c r="V69" s="2420"/>
      <c r="W69" s="2420"/>
      <c r="X69" s="2420"/>
      <c r="Y69" s="2420"/>
      <c r="Z69" s="2420"/>
      <c r="AA69" s="2420"/>
      <c r="AB69" s="2420"/>
      <c r="AC69" s="2420"/>
      <c r="AD69" s="2420"/>
      <c r="AE69" s="2420"/>
      <c r="AF69" s="2420"/>
      <c r="AG69" s="2420"/>
      <c r="AH69" s="2420"/>
      <c r="AI69" s="2420"/>
      <c r="AJ69" s="2421"/>
      <c r="AK69" s="543"/>
      <c r="AL69" s="540"/>
      <c r="AM69" s="540"/>
      <c r="AN69" s="535"/>
      <c r="AO69" s="550">
        <f>IF($B74="yes",10,0)</f>
        <v>0</v>
      </c>
    </row>
    <row r="70" spans="1:42" s="536" customFormat="1" ht="12.75" customHeight="1">
      <c r="A70" s="538"/>
      <c r="B70" s="540"/>
      <c r="C70" s="540"/>
      <c r="D70" s="551"/>
      <c r="E70" s="2419"/>
      <c r="F70" s="2420"/>
      <c r="G70" s="2420"/>
      <c r="H70" s="2420"/>
      <c r="I70" s="2420"/>
      <c r="J70" s="2420"/>
      <c r="K70" s="2420"/>
      <c r="L70" s="2420"/>
      <c r="M70" s="2420"/>
      <c r="N70" s="2420"/>
      <c r="O70" s="2420"/>
      <c r="P70" s="2420"/>
      <c r="Q70" s="2420"/>
      <c r="R70" s="2420"/>
      <c r="S70" s="2420"/>
      <c r="T70" s="2420"/>
      <c r="U70" s="2420"/>
      <c r="V70" s="2420"/>
      <c r="W70" s="2420"/>
      <c r="X70" s="2420"/>
      <c r="Y70" s="2420"/>
      <c r="Z70" s="2420"/>
      <c r="AA70" s="2420"/>
      <c r="AB70" s="2420"/>
      <c r="AC70" s="2420"/>
      <c r="AD70" s="2420"/>
      <c r="AE70" s="2420"/>
      <c r="AF70" s="2420"/>
      <c r="AG70" s="2420"/>
      <c r="AH70" s="2420"/>
      <c r="AI70" s="2420"/>
      <c r="AJ70" s="2421"/>
      <c r="AK70" s="543"/>
      <c r="AL70" s="540"/>
      <c r="AM70" s="540"/>
      <c r="AN70" s="535"/>
      <c r="AO70" s="550">
        <f>IF($B81="yes",10,0)</f>
        <v>0</v>
      </c>
    </row>
    <row r="71" spans="1:42" s="536" customFormat="1" ht="12.75" customHeight="1">
      <c r="A71" s="538"/>
      <c r="B71" s="540"/>
      <c r="C71" s="540"/>
      <c r="D71" s="551"/>
      <c r="E71" s="2419"/>
      <c r="F71" s="2420"/>
      <c r="G71" s="2420"/>
      <c r="H71" s="2420"/>
      <c r="I71" s="2420"/>
      <c r="J71" s="2420"/>
      <c r="K71" s="2420"/>
      <c r="L71" s="2420"/>
      <c r="M71" s="2420"/>
      <c r="N71" s="2420"/>
      <c r="O71" s="2420"/>
      <c r="P71" s="2420"/>
      <c r="Q71" s="2420"/>
      <c r="R71" s="2420"/>
      <c r="S71" s="2420"/>
      <c r="T71" s="2420"/>
      <c r="U71" s="2420"/>
      <c r="V71" s="2420"/>
      <c r="W71" s="2420"/>
      <c r="X71" s="2420"/>
      <c r="Y71" s="2420"/>
      <c r="Z71" s="2420"/>
      <c r="AA71" s="2420"/>
      <c r="AB71" s="2420"/>
      <c r="AC71" s="2420"/>
      <c r="AD71" s="2420"/>
      <c r="AE71" s="2420"/>
      <c r="AF71" s="2420"/>
      <c r="AG71" s="2420"/>
      <c r="AH71" s="2420"/>
      <c r="AI71" s="2420"/>
      <c r="AJ71" s="2421"/>
      <c r="AK71" s="543"/>
      <c r="AL71" s="540"/>
      <c r="AM71" s="540"/>
      <c r="AN71" s="535"/>
      <c r="AO71" s="536">
        <f>IF(SUM(AO68:AO70)&gt;10,10,(SUM(AO68:AO70)))</f>
        <v>10</v>
      </c>
      <c r="AP71" s="574" t="s">
        <v>1316</v>
      </c>
    </row>
    <row r="72" spans="1:42" s="536" customFormat="1" ht="12.75" customHeight="1">
      <c r="A72" s="538"/>
      <c r="B72" s="540"/>
      <c r="C72" s="540"/>
      <c r="D72" s="551"/>
      <c r="E72" s="2422"/>
      <c r="F72" s="2423"/>
      <c r="G72" s="2423"/>
      <c r="H72" s="2423"/>
      <c r="I72" s="2423"/>
      <c r="J72" s="2423"/>
      <c r="K72" s="2423"/>
      <c r="L72" s="2423"/>
      <c r="M72" s="2423"/>
      <c r="N72" s="2423"/>
      <c r="O72" s="2423"/>
      <c r="P72" s="2423"/>
      <c r="Q72" s="2423"/>
      <c r="R72" s="2423"/>
      <c r="S72" s="2423"/>
      <c r="T72" s="2423"/>
      <c r="U72" s="2423"/>
      <c r="V72" s="2423"/>
      <c r="W72" s="2423"/>
      <c r="X72" s="2423"/>
      <c r="Y72" s="2423"/>
      <c r="Z72" s="2423"/>
      <c r="AA72" s="2423"/>
      <c r="AB72" s="2423"/>
      <c r="AC72" s="2423"/>
      <c r="AD72" s="2423"/>
      <c r="AE72" s="2423"/>
      <c r="AF72" s="2423"/>
      <c r="AG72" s="2423"/>
      <c r="AH72" s="2423"/>
      <c r="AI72" s="2423"/>
      <c r="AJ72" s="242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5" t="s">
        <v>591</v>
      </c>
      <c r="C74" s="240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5" t="s">
        <v>591</v>
      </c>
      <c r="F75" s="240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3" t="s">
        <v>591</v>
      </c>
      <c r="F76" s="240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3" t="s">
        <v>591</v>
      </c>
      <c r="F77" s="240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5" t="s">
        <v>591</v>
      </c>
      <c r="F79" s="240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5" t="s">
        <v>591</v>
      </c>
      <c r="C81" s="2405"/>
      <c r="D81" s="547" t="s">
        <v>1320</v>
      </c>
      <c r="E81" s="2406" t="s">
        <v>1740</v>
      </c>
      <c r="F81" s="2407"/>
      <c r="G81" s="2407"/>
      <c r="H81" s="2407"/>
      <c r="I81" s="2407"/>
      <c r="J81" s="2407"/>
      <c r="K81" s="2407"/>
      <c r="L81" s="2407"/>
      <c r="M81" s="2407"/>
      <c r="N81" s="2407"/>
      <c r="O81" s="2407"/>
      <c r="P81" s="2407"/>
      <c r="Q81" s="2407"/>
      <c r="R81" s="2407"/>
      <c r="S81" s="2407"/>
      <c r="T81" s="2407"/>
      <c r="U81" s="2407"/>
      <c r="V81" s="2407"/>
      <c r="W81" s="2407"/>
      <c r="X81" s="2407"/>
      <c r="Y81" s="2407"/>
      <c r="Z81" s="2407"/>
      <c r="AA81" s="2407"/>
      <c r="AB81" s="2407"/>
      <c r="AC81" s="2407"/>
      <c r="AD81" s="2407"/>
      <c r="AE81" s="2407"/>
      <c r="AF81" s="2407"/>
      <c r="AG81" s="2407"/>
      <c r="AH81" s="2407"/>
      <c r="AI81" s="2407"/>
      <c r="AJ81" s="2408"/>
      <c r="AK81" s="543"/>
      <c r="AL81" s="540"/>
      <c r="AM81" s="540"/>
      <c r="AN81" s="535"/>
    </row>
    <row r="82" spans="1:43" s="536" customFormat="1" ht="12.75" customHeight="1">
      <c r="A82" s="538"/>
      <c r="B82" s="540"/>
      <c r="C82" s="540"/>
      <c r="D82" s="550"/>
      <c r="E82" s="2409"/>
      <c r="F82" s="2410"/>
      <c r="G82" s="2410"/>
      <c r="H82" s="2410"/>
      <c r="I82" s="2410"/>
      <c r="J82" s="2410"/>
      <c r="K82" s="2410"/>
      <c r="L82" s="2410"/>
      <c r="M82" s="2410"/>
      <c r="N82" s="2410"/>
      <c r="O82" s="2410"/>
      <c r="P82" s="2410"/>
      <c r="Q82" s="2410"/>
      <c r="R82" s="2410"/>
      <c r="S82" s="2410"/>
      <c r="T82" s="2410"/>
      <c r="U82" s="2410"/>
      <c r="V82" s="2410"/>
      <c r="W82" s="2410"/>
      <c r="X82" s="2410"/>
      <c r="Y82" s="2410"/>
      <c r="Z82" s="2410"/>
      <c r="AA82" s="2410"/>
      <c r="AB82" s="2410"/>
      <c r="AC82" s="2410"/>
      <c r="AD82" s="2410"/>
      <c r="AE82" s="2410"/>
      <c r="AF82" s="2410"/>
      <c r="AG82" s="2410"/>
      <c r="AH82" s="2410"/>
      <c r="AI82" s="2410"/>
      <c r="AJ82" s="241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8">
        <f>IF(AK62&gt;0,0,AO71)</f>
        <v>10</v>
      </c>
      <c r="AL84" s="2439"/>
      <c r="AM84" s="244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5" t="s">
        <v>1305</v>
      </c>
      <c r="AF87" s="2415"/>
      <c r="AG87" s="2415"/>
      <c r="AH87" s="2415"/>
      <c r="AI87" s="2415"/>
      <c r="AJ87" s="2415"/>
      <c r="AK87" s="2415"/>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5" t="s">
        <v>591</v>
      </c>
      <c r="C90" s="2405"/>
      <c r="D90" s="547" t="s">
        <v>1315</v>
      </c>
      <c r="E90" s="2416" t="s">
        <v>1325</v>
      </c>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2419"/>
      <c r="F91" s="2420"/>
      <c r="G91" s="2420"/>
      <c r="H91" s="2420"/>
      <c r="I91" s="2420"/>
      <c r="J91" s="2420"/>
      <c r="K91" s="2420"/>
      <c r="L91" s="2420"/>
      <c r="M91" s="2420"/>
      <c r="N91" s="2420"/>
      <c r="O91" s="2420"/>
      <c r="P91" s="2420"/>
      <c r="Q91" s="2420"/>
      <c r="R91" s="2420"/>
      <c r="S91" s="2420"/>
      <c r="T91" s="2420"/>
      <c r="U91" s="2420"/>
      <c r="V91" s="2420"/>
      <c r="W91" s="2420"/>
      <c r="X91" s="2420"/>
      <c r="Y91" s="2420"/>
      <c r="Z91" s="2420"/>
      <c r="AA91" s="2420"/>
      <c r="AB91" s="2420"/>
      <c r="AC91" s="2420"/>
      <c r="AD91" s="2420"/>
      <c r="AE91" s="2420"/>
      <c r="AF91" s="2420"/>
      <c r="AG91" s="2420"/>
      <c r="AH91" s="2420"/>
      <c r="AI91" s="2420"/>
      <c r="AJ91" s="242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9">
        <f>Application!AC753</f>
        <v>0.49777777777777771</v>
      </c>
      <c r="F93" s="2400"/>
      <c r="G93" s="2400"/>
      <c r="H93" s="240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1">
        <f>0.6-ROUNDUP(E93,2)</f>
        <v>9.9999999999999978E-2</v>
      </c>
      <c r="F94" s="2402"/>
      <c r="G94" s="2402"/>
      <c r="H94" s="2402"/>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2">
        <f>IF(E94*200&gt;20,20,E94*200)</f>
        <v>19.999999999999996</v>
      </c>
      <c r="F95" s="2433"/>
      <c r="G95" s="2433"/>
      <c r="H95" s="2433"/>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5" t="s">
        <v>545</v>
      </c>
      <c r="C98" s="2405"/>
      <c r="D98" s="547" t="s">
        <v>1317</v>
      </c>
      <c r="E98" s="2416" t="s">
        <v>1725</v>
      </c>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9"/>
      <c r="F99" s="2420"/>
      <c r="G99" s="2420"/>
      <c r="H99" s="2420"/>
      <c r="I99" s="2420"/>
      <c r="J99" s="2420"/>
      <c r="K99" s="2420"/>
      <c r="L99" s="2420"/>
      <c r="M99" s="2420"/>
      <c r="N99" s="2420"/>
      <c r="O99" s="2420"/>
      <c r="P99" s="2420"/>
      <c r="Q99" s="2420"/>
      <c r="R99" s="2420"/>
      <c r="S99" s="2420"/>
      <c r="T99" s="2420"/>
      <c r="U99" s="2420"/>
      <c r="V99" s="2420"/>
      <c r="W99" s="2420"/>
      <c r="X99" s="2420"/>
      <c r="Y99" s="2420"/>
      <c r="Z99" s="2420"/>
      <c r="AA99" s="2420"/>
      <c r="AB99" s="2420"/>
      <c r="AC99" s="2420"/>
      <c r="AD99" s="2420"/>
      <c r="AE99" s="2420"/>
      <c r="AF99" s="2420"/>
      <c r="AG99" s="2420"/>
      <c r="AH99" s="2420"/>
      <c r="AI99" s="2420"/>
      <c r="AJ99" s="2421"/>
      <c r="AK99" s="543"/>
      <c r="AL99" s="540"/>
      <c r="AM99" s="540"/>
      <c r="AN99" s="535"/>
    </row>
    <row r="100" spans="1:47" s="536" customFormat="1" ht="12.75" customHeight="1">
      <c r="A100" s="538"/>
      <c r="B100" s="539"/>
      <c r="C100" s="539"/>
      <c r="D100" s="539"/>
      <c r="E100" s="2419"/>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c r="AA100" s="2420"/>
      <c r="AB100" s="2420"/>
      <c r="AC100" s="2420"/>
      <c r="AD100" s="2420"/>
      <c r="AE100" s="2420"/>
      <c r="AF100" s="2420"/>
      <c r="AG100" s="2420"/>
      <c r="AH100" s="2420"/>
      <c r="AI100" s="2420"/>
      <c r="AJ100" s="2421"/>
      <c r="AK100" s="543"/>
      <c r="AL100" s="540"/>
      <c r="AM100" s="540"/>
      <c r="AN100" s="535"/>
    </row>
    <row r="101" spans="1:47" s="536" customFormat="1" ht="12.75" customHeight="1">
      <c r="A101" s="538"/>
      <c r="B101" s="539"/>
      <c r="C101" s="539"/>
      <c r="D101" s="539"/>
      <c r="E101" s="2419"/>
      <c r="F101" s="2420"/>
      <c r="G101" s="2420"/>
      <c r="H101" s="2420"/>
      <c r="I101" s="2420"/>
      <c r="J101" s="2420"/>
      <c r="K101" s="2420"/>
      <c r="L101" s="2420"/>
      <c r="M101" s="2420"/>
      <c r="N101" s="2420"/>
      <c r="O101" s="2420"/>
      <c r="P101" s="2420"/>
      <c r="Q101" s="2420"/>
      <c r="R101" s="2420"/>
      <c r="S101" s="2420"/>
      <c r="T101" s="2420"/>
      <c r="U101" s="2420"/>
      <c r="V101" s="2420"/>
      <c r="W101" s="2420"/>
      <c r="X101" s="2420"/>
      <c r="Y101" s="2420"/>
      <c r="Z101" s="2420"/>
      <c r="AA101" s="2420"/>
      <c r="AB101" s="2420"/>
      <c r="AC101" s="2420"/>
      <c r="AD101" s="2420"/>
      <c r="AE101" s="2420"/>
      <c r="AF101" s="2420"/>
      <c r="AG101" s="2420"/>
      <c r="AH101" s="2420"/>
      <c r="AI101" s="2420"/>
      <c r="AJ101" s="242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9">
        <f>Application!AC753</f>
        <v>0.49777777777777771</v>
      </c>
      <c r="F103" s="2400"/>
      <c r="G103" s="2400"/>
      <c r="H103" s="240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9">
        <f ca="1">SUMIF(Application!AC718:AG752,0.2,Application!G718:J752)/Application!G753+SUMIF(Application!AC718:AG752,0.25,Application!G718:J752)/Application!G753+SUMIF(Application!AC718:AG752,0.3,Application!G718:J752)/Application!G753</f>
        <v>0.13333333333333333</v>
      </c>
      <c r="F104" s="2400"/>
      <c r="G104" s="2400"/>
      <c r="H104" s="240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9">
        <f ca="1">SUMIF(Application!AC718:AG752,0.35,Application!G718:J752)/Application!G753+SUMIF(Application!AC718:AG752,0.4,Application!G718:J752)/Application!G753+SUMIF(Application!AC718:AG752,0.45,Application!G718:J752)/Application!G753+SUMIF(Application!AC718:AG752,0.5,Application!G718:J752)/Application!G753</f>
        <v>0.62222222222222223</v>
      </c>
      <c r="F105" s="2400"/>
      <c r="G105" s="2400"/>
      <c r="H105" s="240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7">
        <f ca="1">IF(AND(E103&lt;=0.6,OR(AND(E104&gt;=0.1,E105&gt;=0.1),AND(E104&gt;0.1,(E104+E105)&gt;=0.2))),20,0)</f>
        <v>20</v>
      </c>
      <c r="F106" s="2458"/>
      <c r="G106" s="2458"/>
      <c r="H106" s="245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8">
        <f ca="1">MAX(AP95,AP106)</f>
        <v>20</v>
      </c>
      <c r="AL109" s="2439"/>
      <c r="AM109" s="244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5" t="s">
        <v>1314</v>
      </c>
      <c r="AF112" s="2415"/>
      <c r="AG112" s="2415"/>
      <c r="AH112" s="2415"/>
      <c r="AI112" s="2415"/>
      <c r="AJ112" s="2415"/>
      <c r="AK112" s="2415"/>
      <c r="AL112" s="540"/>
      <c r="AM112" s="540"/>
      <c r="AN112" s="535"/>
      <c r="AO112" s="536" t="str">
        <f>Application!B718</f>
        <v>1 Bedroom</v>
      </c>
      <c r="AQ112" s="536">
        <f>Application!O718</f>
        <v>1045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849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456</v>
      </c>
    </row>
    <row r="115" spans="1:52" s="536" customFormat="1" ht="12.75" customHeight="1">
      <c r="A115" s="540"/>
      <c r="B115" s="2405" t="s">
        <v>545</v>
      </c>
      <c r="C115" s="2405"/>
      <c r="D115" s="547" t="s">
        <v>1315</v>
      </c>
      <c r="E115" s="2416" t="s">
        <v>1857</v>
      </c>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t="str">
        <f>Application!B721</f>
        <v>2 Bedrooms</v>
      </c>
      <c r="AQ115" s="536">
        <f>Application!O721</f>
        <v>1234</v>
      </c>
      <c r="AU115" s="536" t="s">
        <v>1840</v>
      </c>
      <c r="AV115" s="595" t="s">
        <v>1841</v>
      </c>
      <c r="AW115" s="536" t="s">
        <v>1842</v>
      </c>
    </row>
    <row r="116" spans="1:52" s="536" customFormat="1" ht="12.75" customHeight="1">
      <c r="A116" s="540"/>
      <c r="B116" s="539"/>
      <c r="C116" s="539"/>
      <c r="D116" s="539"/>
      <c r="E116" s="2419"/>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c r="AA116" s="2420"/>
      <c r="AB116" s="2420"/>
      <c r="AC116" s="2420"/>
      <c r="AD116" s="2420"/>
      <c r="AE116" s="2420"/>
      <c r="AF116" s="2420"/>
      <c r="AG116" s="2420"/>
      <c r="AH116" s="2420"/>
      <c r="AI116" s="2420"/>
      <c r="AJ116" s="2421"/>
      <c r="AK116" s="540"/>
      <c r="AL116" s="540"/>
      <c r="AM116" s="540"/>
      <c r="AN116" s="535"/>
      <c r="AO116" s="536" t="str">
        <f>Application!B722</f>
        <v>2 Bedrooms</v>
      </c>
      <c r="AQ116" s="536">
        <f>Application!O722</f>
        <v>998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9"/>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420"/>
      <c r="AE117" s="2420"/>
      <c r="AF117" s="2420"/>
      <c r="AG117" s="2420"/>
      <c r="AH117" s="2420"/>
      <c r="AI117" s="2420"/>
      <c r="AJ117" s="2421"/>
      <c r="AK117" s="540"/>
      <c r="AL117" s="540"/>
      <c r="AM117" s="540"/>
      <c r="AN117" s="535"/>
      <c r="AO117" s="536" t="str">
        <f>Application!B723</f>
        <v>2 Bedrooms</v>
      </c>
      <c r="AQ117" s="536">
        <f>Application!O723</f>
        <v>527</v>
      </c>
      <c r="AU117" s="856" t="str">
        <f>J124</f>
        <v>1-bedroom</v>
      </c>
      <c r="AV117" s="536">
        <f t="array" ref="AV117">SUM(IF(Application!B718:F752="1 Bedroom",Application!G718:J752))</f>
        <v>12</v>
      </c>
      <c r="AW117" s="1011">
        <f>AV117/AV122</f>
        <v>0.26666666666666666</v>
      </c>
    </row>
    <row r="118" spans="1:52" s="536" customFormat="1" ht="12.75" customHeight="1">
      <c r="A118" s="540"/>
      <c r="B118" s="539"/>
      <c r="C118" s="539"/>
      <c r="D118" s="539"/>
      <c r="E118" s="2419"/>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c r="AA118" s="2420"/>
      <c r="AB118" s="2420"/>
      <c r="AC118" s="2420"/>
      <c r="AD118" s="2420"/>
      <c r="AE118" s="2420"/>
      <c r="AF118" s="2420"/>
      <c r="AG118" s="2420"/>
      <c r="AH118" s="2420"/>
      <c r="AI118" s="2420"/>
      <c r="AJ118" s="2421"/>
      <c r="AK118" s="540"/>
      <c r="AL118" s="540"/>
      <c r="AM118" s="540"/>
      <c r="AN118" s="535"/>
      <c r="AO118" s="536" t="str">
        <f>Application!B724</f>
        <v>3 Bedrooms</v>
      </c>
      <c r="AQ118" s="536">
        <f>Application!O724</f>
        <v>1406</v>
      </c>
      <c r="AU118" s="856" t="str">
        <f>O124</f>
        <v>2-bedroom</v>
      </c>
      <c r="AV118" s="536">
        <f t="array" ref="AV118">SUM(IF(Application!B718:F752="2 Bedrooms",Application!G718:J752))</f>
        <v>18</v>
      </c>
      <c r="AW118" s="1011">
        <f>AV118/AV122</f>
        <v>0.4</v>
      </c>
    </row>
    <row r="119" spans="1:52" s="536" customFormat="1" ht="12.75" customHeight="1">
      <c r="A119" s="540"/>
      <c r="B119" s="539"/>
      <c r="C119" s="539"/>
      <c r="D119" s="539"/>
      <c r="E119" s="2419"/>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c r="AA119" s="2420"/>
      <c r="AB119" s="2420"/>
      <c r="AC119" s="2420"/>
      <c r="AD119" s="2420"/>
      <c r="AE119" s="2420"/>
      <c r="AF119" s="2420"/>
      <c r="AG119" s="2420"/>
      <c r="AH119" s="2420"/>
      <c r="AI119" s="2420"/>
      <c r="AJ119" s="2421"/>
      <c r="AK119" s="540"/>
      <c r="AL119" s="540"/>
      <c r="AM119" s="540"/>
      <c r="AN119" s="535"/>
      <c r="AO119" s="536" t="str">
        <f>Application!B725</f>
        <v>3 Bedrooms</v>
      </c>
      <c r="AQ119" s="536">
        <f>Application!O725</f>
        <v>1134</v>
      </c>
      <c r="AU119" s="856" t="str">
        <f>T124</f>
        <v>3-bedroom</v>
      </c>
      <c r="AV119" s="536">
        <f t="array" ref="AV119">SUM(IF(Application!B718:F752="3 Bedrooms",Application!G718:J752))</f>
        <v>15</v>
      </c>
      <c r="AW119" s="1011">
        <f>AV119/AV122</f>
        <v>0.33333333333333331</v>
      </c>
    </row>
    <row r="120" spans="1:52" s="536" customFormat="1" ht="12.75" customHeight="1">
      <c r="A120" s="540"/>
      <c r="B120" s="539"/>
      <c r="C120" s="539"/>
      <c r="D120" s="539"/>
      <c r="E120" s="2419"/>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c r="AA120" s="2420"/>
      <c r="AB120" s="2420"/>
      <c r="AC120" s="2420"/>
      <c r="AD120" s="2420"/>
      <c r="AE120" s="2420"/>
      <c r="AF120" s="2420"/>
      <c r="AG120" s="2420"/>
      <c r="AH120" s="2420"/>
      <c r="AI120" s="2420"/>
      <c r="AJ120" s="2421"/>
      <c r="AK120" s="540"/>
      <c r="AL120" s="540"/>
      <c r="AM120" s="540"/>
      <c r="AN120" s="535"/>
      <c r="AO120" s="536" t="str">
        <f>Application!B726</f>
        <v>3 Bedrooms</v>
      </c>
      <c r="AQ120" s="536">
        <f>Application!O726</f>
        <v>590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9"/>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c r="AA121" s="2420"/>
      <c r="AB121" s="2420"/>
      <c r="AC121" s="2420"/>
      <c r="AD121" s="2420"/>
      <c r="AE121" s="2420"/>
      <c r="AF121" s="2420"/>
      <c r="AG121" s="2420"/>
      <c r="AH121" s="2420"/>
      <c r="AI121" s="2420"/>
      <c r="AJ121" s="242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9"/>
      <c r="F122" s="2420"/>
      <c r="G122" s="2420"/>
      <c r="H122" s="2420"/>
      <c r="I122" s="2420"/>
      <c r="J122" s="2420"/>
      <c r="K122" s="2420"/>
      <c r="L122" s="2420"/>
      <c r="M122" s="2420"/>
      <c r="N122" s="2420"/>
      <c r="O122" s="2420"/>
      <c r="P122" s="2420"/>
      <c r="Q122" s="2420"/>
      <c r="R122" s="2420"/>
      <c r="S122" s="2420"/>
      <c r="T122" s="2420"/>
      <c r="U122" s="2420"/>
      <c r="V122" s="2420"/>
      <c r="W122" s="2420"/>
      <c r="X122" s="2420"/>
      <c r="Y122" s="2420"/>
      <c r="Z122" s="2420"/>
      <c r="AA122" s="2420"/>
      <c r="AB122" s="2420"/>
      <c r="AC122" s="2420"/>
      <c r="AD122" s="2420"/>
      <c r="AE122" s="2420"/>
      <c r="AF122" s="2420"/>
      <c r="AG122" s="2420"/>
      <c r="AH122" s="2420"/>
      <c r="AI122" s="2420"/>
      <c r="AJ122" s="2421"/>
      <c r="AK122" s="540"/>
      <c r="AL122" s="540"/>
      <c r="AM122" s="540"/>
      <c r="AN122" s="535"/>
      <c r="AO122" s="536">
        <f>Application!B728</f>
        <v>0</v>
      </c>
      <c r="AQ122" s="536">
        <f>Application!O728</f>
        <v>0</v>
      </c>
      <c r="AV122" s="536">
        <f>SUM(AV116:AV121)</f>
        <v>45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9" t="s">
        <v>1588</v>
      </c>
      <c r="F124" s="2400"/>
      <c r="G124" s="2400"/>
      <c r="H124" s="2400"/>
      <c r="I124" s="577"/>
      <c r="J124" s="2400" t="s">
        <v>1631</v>
      </c>
      <c r="K124" s="2400"/>
      <c r="L124" s="2400"/>
      <c r="M124" s="2400"/>
      <c r="N124" s="577"/>
      <c r="O124" s="2400" t="s">
        <v>1632</v>
      </c>
      <c r="P124" s="2400"/>
      <c r="Q124" s="2400"/>
      <c r="R124" s="2400"/>
      <c r="S124" s="577"/>
      <c r="T124" s="2400" t="s">
        <v>1334</v>
      </c>
      <c r="U124" s="2400"/>
      <c r="V124" s="2400"/>
      <c r="W124" s="2400"/>
      <c r="X124" s="577"/>
      <c r="Y124" s="2400" t="s">
        <v>1633</v>
      </c>
      <c r="Z124" s="2400"/>
      <c r="AA124" s="2400"/>
      <c r="AB124" s="2400"/>
      <c r="AC124" s="577"/>
      <c r="AD124" s="2400" t="s">
        <v>1634</v>
      </c>
      <c r="AE124" s="2400"/>
      <c r="AF124" s="2400"/>
      <c r="AG124" s="240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9"/>
      <c r="F127" s="2460"/>
      <c r="G127" s="2460"/>
      <c r="H127" s="2460"/>
      <c r="I127" s="864"/>
      <c r="J127" s="2460">
        <v>2233</v>
      </c>
      <c r="K127" s="2460"/>
      <c r="L127" s="2460"/>
      <c r="M127" s="2460"/>
      <c r="N127" s="864"/>
      <c r="O127" s="2460">
        <v>2656</v>
      </c>
      <c r="P127" s="2460"/>
      <c r="Q127" s="2460"/>
      <c r="R127" s="2460"/>
      <c r="S127" s="864"/>
      <c r="T127" s="2460">
        <v>2963</v>
      </c>
      <c r="U127" s="2460"/>
      <c r="V127" s="2460"/>
      <c r="W127" s="2460"/>
      <c r="X127" s="864"/>
      <c r="Y127" s="2460"/>
      <c r="Z127" s="2460"/>
      <c r="AA127" s="2460"/>
      <c r="AB127" s="2460"/>
      <c r="AC127" s="864"/>
      <c r="AD127" s="2460"/>
      <c r="AE127" s="2460"/>
      <c r="AF127" s="2460"/>
      <c r="AG127" s="246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2">
        <f>Application!DX670</f>
        <v>0</v>
      </c>
      <c r="F130" s="2453"/>
      <c r="G130" s="2453"/>
      <c r="H130" s="2453"/>
      <c r="I130" s="864"/>
      <c r="J130" s="2453">
        <f>Application!EC670</f>
        <v>832.5</v>
      </c>
      <c r="K130" s="2453"/>
      <c r="L130" s="2453"/>
      <c r="M130" s="2453"/>
      <c r="N130" s="864"/>
      <c r="O130" s="2453">
        <f>Application!EH670</f>
        <v>1011.2222222222223</v>
      </c>
      <c r="P130" s="2453"/>
      <c r="Q130" s="2453"/>
      <c r="R130" s="2453"/>
      <c r="S130" s="868"/>
      <c r="T130" s="2453">
        <f>Application!EM670</f>
        <v>1115.8666666666668</v>
      </c>
      <c r="U130" s="2453"/>
      <c r="V130" s="2453"/>
      <c r="W130" s="2453"/>
      <c r="X130" s="868"/>
      <c r="Y130" s="2453">
        <f>Application!ER670</f>
        <v>0</v>
      </c>
      <c r="Z130" s="2453"/>
      <c r="AA130" s="2453"/>
      <c r="AB130" s="2453"/>
      <c r="AC130" s="868"/>
      <c r="AD130" s="2453">
        <f>Application!EW670</f>
        <v>0</v>
      </c>
      <c r="AE130" s="2453"/>
      <c r="AF130" s="2453"/>
      <c r="AG130" s="245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1" t="e">
        <f>(E127-E130)/E127</f>
        <v>#DIV/0!</v>
      </c>
      <c r="F133" s="2402"/>
      <c r="G133" s="2402"/>
      <c r="H133" s="2652"/>
      <c r="I133" s="577"/>
      <c r="J133" s="2651">
        <f>(J127-J130)/J127</f>
        <v>0.62718316166592025</v>
      </c>
      <c r="K133" s="2402"/>
      <c r="L133" s="2402"/>
      <c r="M133" s="2652"/>
      <c r="N133" s="577"/>
      <c r="O133" s="2651">
        <f>(O127-O130)/O127</f>
        <v>0.61926874163319945</v>
      </c>
      <c r="P133" s="2402"/>
      <c r="Q133" s="2402"/>
      <c r="R133" s="2652"/>
      <c r="S133" s="577"/>
      <c r="T133" s="2651">
        <f>(T127-T130)/T127</f>
        <v>0.62339970750365614</v>
      </c>
      <c r="U133" s="2402"/>
      <c r="V133" s="2402"/>
      <c r="W133" s="2652"/>
      <c r="X133" s="577"/>
      <c r="Y133" s="2651" t="e">
        <f>(Y127-Y130)/Y127</f>
        <v>#DIV/0!</v>
      </c>
      <c r="Z133" s="2402"/>
      <c r="AA133" s="2402"/>
      <c r="AB133" s="2652"/>
      <c r="AC133" s="577"/>
      <c r="AD133" s="2651" t="e">
        <f>(AD127-AD130)/AD127</f>
        <v>#DIV/0!</v>
      </c>
      <c r="AE133" s="2402"/>
      <c r="AF133" s="2402"/>
      <c r="AG133" s="265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4" t="e">
        <f>IF(((E133-0.1)*AW116)&gt;0,((E133-0.1)*AW116),0)</f>
        <v>#DIV/0!</v>
      </c>
      <c r="F136" s="2455"/>
      <c r="G136" s="2455"/>
      <c r="H136" s="2456"/>
      <c r="I136" s="577"/>
      <c r="J136" s="2454">
        <f>IF(((J133-0.1)*AW117)&gt;0,((J133-0.1)*AW117),0)</f>
        <v>0.14058217644424539</v>
      </c>
      <c r="K136" s="2455"/>
      <c r="L136" s="2455"/>
      <c r="M136" s="2456"/>
      <c r="N136" s="577"/>
      <c r="O136" s="2454">
        <f>IF(((O133-0.1)*AW118)&gt;0,((O133-0.1)*AW118),0)</f>
        <v>0.20770749665327981</v>
      </c>
      <c r="P136" s="2455"/>
      <c r="Q136" s="2455"/>
      <c r="R136" s="2456"/>
      <c r="S136" s="577"/>
      <c r="T136" s="2454">
        <f>IF(((T133-0.1)*AW119)&gt;0,((T133-0.1)*AW119),0)</f>
        <v>0.17446656916788539</v>
      </c>
      <c r="U136" s="2455"/>
      <c r="V136" s="2455"/>
      <c r="W136" s="2456"/>
      <c r="X136" s="577"/>
      <c r="Y136" s="2454" t="e">
        <f>IF(((Y133-0.1)*AW120)&gt;0,((Y133-0.1)*AW120),0)</f>
        <v>#DIV/0!</v>
      </c>
      <c r="Z136" s="2455"/>
      <c r="AA136" s="2455"/>
      <c r="AB136" s="2456"/>
      <c r="AC136" s="577"/>
      <c r="AD136" s="2454" t="e">
        <f>IF(((AD133-0.1)*AW121)&gt;0,((AD133-0.1)*AW121),0)</f>
        <v>#DIV/0!</v>
      </c>
      <c r="AE136" s="2455"/>
      <c r="AF136" s="2455"/>
      <c r="AG136" s="245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1">
        <f>ROUNDDOWN(SUMIF(E136:AG136,"&gt;0"),2)</f>
        <v>0.52</v>
      </c>
      <c r="F138" s="2402"/>
      <c r="G138" s="2402"/>
      <c r="H138" s="265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8">
        <f>IF((E138*100)&gt;10,10,E138*100)</f>
        <v>10</v>
      </c>
      <c r="F139" s="2439"/>
      <c r="G139" s="2439"/>
      <c r="H139" s="244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8">
        <f>E139</f>
        <v>10</v>
      </c>
      <c r="AL143" s="2439"/>
      <c r="AM143" s="244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5" t="s">
        <v>1314</v>
      </c>
      <c r="AF146" s="2415"/>
      <c r="AG146" s="2415"/>
      <c r="AH146" s="2415"/>
      <c r="AI146" s="2415"/>
      <c r="AJ146" s="2415"/>
      <c r="AK146" s="2415"/>
      <c r="AL146" s="591"/>
      <c r="AN146" s="592"/>
      <c r="AO146" s="536"/>
    </row>
    <row r="147" spans="1:42" s="539" customFormat="1" ht="13.0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0" t="s">
        <v>1338</v>
      </c>
      <c r="AG148" s="2450"/>
      <c r="AH148" s="2450"/>
      <c r="AI148" s="2450"/>
      <c r="AJ148" s="2450"/>
      <c r="AK148" s="2450"/>
      <c r="AL148" s="245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1" t="s">
        <v>2704</v>
      </c>
      <c r="C150" s="2451"/>
      <c r="D150" s="2451"/>
      <c r="E150" s="2451"/>
      <c r="F150" s="2451"/>
      <c r="G150" s="2451"/>
      <c r="H150" s="2451"/>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245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7" t="s">
        <v>1341</v>
      </c>
      <c r="C153" s="2477"/>
      <c r="D153" s="2477"/>
      <c r="E153" s="2477"/>
      <c r="F153" s="2477"/>
      <c r="G153" s="2477"/>
      <c r="H153" s="2477"/>
      <c r="I153" s="2477"/>
      <c r="J153" s="2477"/>
      <c r="K153" s="2477"/>
      <c r="L153" s="2477"/>
      <c r="M153" s="2477"/>
      <c r="N153" s="2477"/>
      <c r="O153" s="2477"/>
      <c r="P153" s="2477"/>
      <c r="Q153" s="2477"/>
      <c r="R153" s="2477"/>
      <c r="S153" s="2477"/>
      <c r="T153" s="2477"/>
      <c r="U153" s="2477"/>
      <c r="V153" s="2477"/>
      <c r="W153" s="2477"/>
      <c r="X153" s="2477"/>
      <c r="Y153" s="2477"/>
      <c r="Z153" s="2477"/>
      <c r="AA153" s="2477"/>
      <c r="AB153" s="2477"/>
      <c r="AC153" s="2477"/>
      <c r="AD153" s="2477"/>
      <c r="AE153" s="2477"/>
      <c r="AF153" s="2477"/>
      <c r="AG153" s="2477"/>
      <c r="AH153" s="2477"/>
      <c r="AI153" s="2477"/>
      <c r="AM153" s="539"/>
      <c r="AN153" s="535"/>
      <c r="AO153" s="476" t="s">
        <v>1341</v>
      </c>
      <c r="AP153" s="489">
        <v>7</v>
      </c>
    </row>
    <row r="154" spans="1:42" s="536" customFormat="1" ht="13.0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8" t="s">
        <v>591</v>
      </c>
      <c r="AC155" s="247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7" t="s">
        <v>1343</v>
      </c>
      <c r="C158" s="2477"/>
      <c r="D158" s="2477"/>
      <c r="E158" s="2477"/>
      <c r="F158" s="2477"/>
      <c r="G158" s="2477"/>
      <c r="H158" s="2477"/>
      <c r="I158" s="2477"/>
      <c r="J158" s="2477"/>
      <c r="K158" s="2477"/>
      <c r="L158" s="2477"/>
      <c r="M158" s="2477"/>
      <c r="N158" s="2477"/>
      <c r="O158" s="2477"/>
      <c r="P158" s="2477"/>
      <c r="Q158" s="2477"/>
      <c r="R158" s="2477"/>
      <c r="S158" s="2477"/>
      <c r="T158" s="2477"/>
      <c r="U158" s="2477"/>
      <c r="V158" s="2477"/>
      <c r="W158" s="2477"/>
      <c r="X158" s="2477"/>
      <c r="Y158" s="2477"/>
      <c r="Z158" s="2477"/>
      <c r="AA158" s="2477"/>
      <c r="AB158" s="2477"/>
      <c r="AC158" s="2477"/>
      <c r="AD158" s="2477"/>
      <c r="AE158" s="2477"/>
      <c r="AF158" s="2477"/>
      <c r="AG158" s="2477"/>
      <c r="AH158" s="2477"/>
      <c r="AI158" s="2477"/>
      <c r="AJ158" s="247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8" t="s">
        <v>2475</v>
      </c>
      <c r="C161" s="2638"/>
      <c r="D161" s="2638"/>
      <c r="E161" s="2638"/>
      <c r="F161" s="2638"/>
      <c r="G161" s="2638"/>
      <c r="H161" s="2638"/>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38"/>
      <c r="AD161" s="2638"/>
      <c r="AE161" s="2638"/>
      <c r="AF161" s="2638"/>
      <c r="AG161" s="2638"/>
      <c r="AH161" s="2638"/>
      <c r="AI161" s="2638"/>
      <c r="AJ161" s="2638"/>
      <c r="AK161" s="1180"/>
      <c r="AM161" s="539"/>
      <c r="AN161" s="535"/>
      <c r="AO161" s="476"/>
      <c r="AP161" s="489"/>
    </row>
    <row r="162" spans="1:42" s="536" customFormat="1" ht="12.75" customHeight="1">
      <c r="B162" s="2638"/>
      <c r="C162" s="2638"/>
      <c r="D162" s="2638"/>
      <c r="E162" s="2638"/>
      <c r="F162" s="2638"/>
      <c r="G162" s="2638"/>
      <c r="H162" s="2638"/>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38"/>
      <c r="AD162" s="2638"/>
      <c r="AE162" s="2638"/>
      <c r="AF162" s="2638"/>
      <c r="AG162" s="2638"/>
      <c r="AH162" s="2638"/>
      <c r="AI162" s="2638"/>
      <c r="AJ162" s="2638"/>
      <c r="AK162" s="1180"/>
      <c r="AM162" s="539"/>
      <c r="AN162" s="535"/>
      <c r="AO162" s="476"/>
      <c r="AP162" s="489"/>
    </row>
    <row r="163" spans="1:42" s="536" customFormat="1" ht="12.75" customHeight="1">
      <c r="C163" s="2541" t="s">
        <v>2476</v>
      </c>
      <c r="D163" s="2541"/>
      <c r="E163" s="2541"/>
      <c r="F163" s="2541"/>
      <c r="G163" s="2541"/>
      <c r="H163" s="2541"/>
      <c r="I163" s="2541"/>
      <c r="J163" s="2541"/>
      <c r="K163" s="2541"/>
      <c r="L163" s="2541"/>
      <c r="M163" s="2541"/>
      <c r="N163" s="2541"/>
      <c r="O163" s="2541"/>
      <c r="P163" s="2541"/>
      <c r="Q163" s="2541"/>
      <c r="R163" s="2541"/>
      <c r="S163" s="2541"/>
      <c r="T163" s="2541"/>
      <c r="U163" s="2541"/>
      <c r="V163" s="2541"/>
      <c r="W163" s="2541"/>
      <c r="X163" s="2541"/>
      <c r="Y163" s="2541"/>
      <c r="Z163" s="2541"/>
      <c r="AA163" s="2541"/>
      <c r="AB163" s="2541"/>
      <c r="AC163" s="2541"/>
      <c r="AD163" s="2541"/>
      <c r="AE163" s="2541"/>
      <c r="AF163" s="2541"/>
      <c r="AG163" s="2541"/>
      <c r="AH163" s="2541"/>
      <c r="AI163" s="2541"/>
      <c r="AJ163" s="2541"/>
      <c r="AK163" s="1180"/>
      <c r="AM163" s="539"/>
      <c r="AN163" s="535"/>
      <c r="AO163" s="476"/>
      <c r="AP163" s="489"/>
    </row>
    <row r="164" spans="1:42" s="536" customFormat="1" ht="12.75" customHeight="1">
      <c r="B164" s="1180"/>
      <c r="C164" s="2476" t="s">
        <v>2474</v>
      </c>
      <c r="D164" s="2476"/>
      <c r="E164" s="2476"/>
      <c r="F164" s="2476"/>
      <c r="G164" s="2476"/>
      <c r="H164" s="2476"/>
      <c r="I164" s="2476"/>
      <c r="J164" s="2476"/>
      <c r="K164" s="2476"/>
      <c r="L164" s="2476"/>
      <c r="M164" s="2476"/>
      <c r="N164" s="2476"/>
      <c r="O164" s="2476"/>
      <c r="P164" s="2476"/>
      <c r="Q164" s="2476"/>
      <c r="R164" s="2476"/>
      <c r="S164" s="2476"/>
      <c r="T164" s="2476"/>
      <c r="U164" s="2476"/>
      <c r="V164" s="2476"/>
      <c r="W164" s="2476"/>
      <c r="X164" s="2476"/>
      <c r="Y164" s="2476"/>
      <c r="Z164" s="2476"/>
      <c r="AA164" s="1170"/>
      <c r="AB164" s="1170"/>
      <c r="AC164" s="1170"/>
      <c r="AD164" s="1170"/>
      <c r="AE164" s="1170"/>
      <c r="AF164" s="1170"/>
      <c r="AG164" s="1170"/>
      <c r="AH164" s="1170"/>
      <c r="AJ164" s="2478" t="s">
        <v>591</v>
      </c>
      <c r="AK164" s="247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0" t="s">
        <v>1352</v>
      </c>
      <c r="AG168" s="2450"/>
      <c r="AH168" s="2450"/>
      <c r="AI168" s="2450"/>
      <c r="AJ168" s="2450"/>
      <c r="AK168" s="2450"/>
      <c r="AL168" s="245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7" t="s">
        <v>1350</v>
      </c>
      <c r="D170" s="2477"/>
      <c r="E170" s="2477"/>
      <c r="F170" s="2477"/>
      <c r="G170" s="2477"/>
      <c r="H170" s="2477"/>
      <c r="I170" s="2477"/>
      <c r="J170" s="2477"/>
      <c r="K170" s="2477"/>
      <c r="L170" s="2477"/>
      <c r="M170" s="2477"/>
      <c r="N170" s="2477"/>
      <c r="O170" s="2477"/>
      <c r="P170" s="2477"/>
      <c r="Q170" s="2477"/>
      <c r="R170" s="2477"/>
      <c r="S170" s="2477"/>
      <c r="T170" s="2477"/>
      <c r="U170" s="2477"/>
      <c r="V170" s="2477"/>
      <c r="W170" s="2477"/>
      <c r="X170" s="2477"/>
      <c r="Y170" s="2477"/>
      <c r="Z170" s="2477"/>
      <c r="AA170" s="2477"/>
      <c r="AB170" s="2477"/>
      <c r="AC170" s="2477"/>
      <c r="AD170" s="2477"/>
      <c r="AE170" s="2477"/>
      <c r="AF170" s="2477"/>
      <c r="AG170" s="2477"/>
      <c r="AH170" s="2477"/>
      <c r="AI170" s="2477"/>
      <c r="AJ170" s="536"/>
      <c r="AK170" s="536"/>
      <c r="AL170" s="536"/>
      <c r="AM170" s="603"/>
      <c r="AN170" s="597"/>
      <c r="AO170" s="476" t="s">
        <v>307</v>
      </c>
      <c r="AP170" s="476"/>
    </row>
    <row r="171" spans="1:42" s="550" customFormat="1" ht="13.0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8" t="s">
        <v>591</v>
      </c>
      <c r="AG172" s="247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7" t="s">
        <v>1343</v>
      </c>
      <c r="D174" s="2477"/>
      <c r="E174" s="2477"/>
      <c r="F174" s="2477"/>
      <c r="G174" s="2477"/>
      <c r="H174" s="2477"/>
      <c r="I174" s="2477"/>
      <c r="J174" s="2477"/>
      <c r="K174" s="2477"/>
      <c r="L174" s="2477"/>
      <c r="M174" s="2477"/>
      <c r="N174" s="2477"/>
      <c r="O174" s="2477"/>
      <c r="P174" s="2477"/>
      <c r="Q174" s="2477"/>
      <c r="R174" s="2477"/>
      <c r="S174" s="2477"/>
      <c r="T174" s="2477"/>
      <c r="U174" s="2477"/>
      <c r="V174" s="2477"/>
      <c r="W174" s="2477"/>
      <c r="X174" s="2477"/>
      <c r="Y174" s="2477"/>
      <c r="Z174" s="2477"/>
      <c r="AA174" s="2477"/>
      <c r="AB174" s="2477"/>
      <c r="AC174" s="2477"/>
      <c r="AD174" s="247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9" t="str">
        <f>Application!AA335</f>
        <v>Cambridge Real Estate Services, Inc.</v>
      </c>
      <c r="D178" s="2479"/>
      <c r="E178" s="2479"/>
      <c r="F178" s="2479"/>
      <c r="G178" s="2479"/>
      <c r="H178" s="2479"/>
      <c r="I178" s="2479"/>
      <c r="J178" s="2479"/>
      <c r="K178" s="2479"/>
      <c r="L178" s="2479"/>
      <c r="M178" s="2479"/>
      <c r="N178" s="2479"/>
      <c r="O178" s="2479"/>
      <c r="P178" s="2479"/>
      <c r="Q178" s="2479"/>
      <c r="R178" s="2479"/>
      <c r="S178" s="2479"/>
      <c r="T178" s="2479"/>
      <c r="U178" s="2479"/>
      <c r="V178" s="2479"/>
      <c r="W178" s="2479"/>
      <c r="X178" s="2479"/>
      <c r="Y178" s="2479"/>
      <c r="Z178" s="2479"/>
      <c r="AA178" s="2479"/>
      <c r="AB178" s="2479"/>
      <c r="AC178" s="2479"/>
      <c r="AD178" s="247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8">
        <f>$AJ$166+$AJ$180</f>
        <v>10</v>
      </c>
      <c r="AL183" s="2439"/>
      <c r="AM183" s="244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5" t="s">
        <v>1314</v>
      </c>
      <c r="AF186" s="2415"/>
      <c r="AG186" s="2415"/>
      <c r="AH186" s="2415"/>
      <c r="AI186" s="2415"/>
      <c r="AJ186" s="2415"/>
      <c r="AK186" s="2415"/>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5" t="s">
        <v>1041</v>
      </c>
      <c r="C188" s="2475"/>
      <c r="D188" s="2475"/>
      <c r="E188" s="2475"/>
      <c r="F188" s="2475"/>
      <c r="G188" s="2475"/>
      <c r="H188" s="2475"/>
      <c r="I188" s="2475"/>
      <c r="J188" s="2475"/>
      <c r="K188" s="2475"/>
      <c r="L188" s="2475"/>
      <c r="M188" s="2475"/>
      <c r="N188" s="2475"/>
      <c r="O188" s="2475"/>
      <c r="P188" s="2475"/>
      <c r="Q188" s="2475"/>
      <c r="R188" s="2475"/>
      <c r="S188" s="2475"/>
      <c r="T188" s="2475"/>
      <c r="U188" s="2475"/>
      <c r="V188" s="2475"/>
      <c r="W188" s="2475"/>
      <c r="X188" s="2475"/>
      <c r="Y188" s="2475"/>
      <c r="Z188" s="2475"/>
      <c r="AA188" s="2475"/>
      <c r="AB188" s="2475"/>
      <c r="AC188" s="2475"/>
      <c r="AD188" s="536"/>
      <c r="AE188" s="536"/>
      <c r="AF188" s="2450" t="s">
        <v>1363</v>
      </c>
      <c r="AG188" s="2450"/>
      <c r="AH188" s="2450"/>
      <c r="AI188" s="2450"/>
      <c r="AJ188" s="2450"/>
      <c r="AK188" s="2450"/>
      <c r="AL188" s="2450"/>
      <c r="AN188" s="597"/>
      <c r="AP188" s="550" t="s">
        <v>1043</v>
      </c>
      <c r="AQ188" s="550">
        <v>10</v>
      </c>
    </row>
    <row r="189" spans="1:73" s="550" customFormat="1" ht="12.75" customHeight="1">
      <c r="A189" s="536"/>
      <c r="B189" s="2476" t="s">
        <v>1726</v>
      </c>
      <c r="C189" s="2476"/>
      <c r="D189" s="2476"/>
      <c r="E189" s="2476"/>
      <c r="F189" s="2476"/>
      <c r="G189" s="2476"/>
      <c r="H189" s="2476"/>
      <c r="I189" s="2476"/>
      <c r="J189" s="2476"/>
      <c r="K189" s="2476"/>
      <c r="L189" s="2476"/>
      <c r="M189" s="2476"/>
      <c r="N189" s="2476"/>
      <c r="O189" s="2476"/>
      <c r="P189" s="2476"/>
      <c r="Q189" s="2476"/>
      <c r="R189" s="2476"/>
      <c r="S189" s="2476"/>
      <c r="T189" s="2451" t="s">
        <v>591</v>
      </c>
      <c r="U189" s="2451"/>
      <c r="V189" s="2451"/>
      <c r="W189" s="2451"/>
      <c r="X189" s="2451"/>
      <c r="Y189" s="2451"/>
      <c r="Z189" s="2451"/>
      <c r="AA189" s="2451"/>
      <c r="AB189" s="2451"/>
      <c r="AC189" s="2451"/>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5">
        <f>IF(AK84&gt;0,VLOOKUP($B$188,AP185:AQ191,2,FALSE),0)</f>
        <v>10</v>
      </c>
      <c r="AL191" s="2486"/>
      <c r="AM191" s="248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5" t="s">
        <v>1372</v>
      </c>
      <c r="AF194" s="2415"/>
      <c r="AG194" s="2415"/>
      <c r="AH194" s="2415"/>
      <c r="AI194" s="2415"/>
      <c r="AJ194" s="2415"/>
      <c r="AK194" s="241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2" t="s">
        <v>2701</v>
      </c>
      <c r="C199" s="2462"/>
      <c r="D199" s="2462"/>
      <c r="E199" s="2462"/>
      <c r="F199" s="2462"/>
      <c r="G199" s="2462"/>
      <c r="H199" s="2462"/>
      <c r="I199" s="2462"/>
      <c r="J199" s="2462"/>
      <c r="K199" s="2462"/>
      <c r="L199" s="2462"/>
      <c r="M199" s="2462"/>
      <c r="N199" s="2462"/>
      <c r="O199" s="2462"/>
      <c r="P199" s="2462"/>
      <c r="Q199" s="2462"/>
      <c r="R199" s="2462"/>
      <c r="S199" s="2462"/>
      <c r="T199" s="2462"/>
      <c r="U199" s="2462"/>
      <c r="V199" s="2462"/>
      <c r="W199" s="2462"/>
      <c r="X199" s="2462"/>
      <c r="Y199" s="2462"/>
      <c r="Z199" s="2462"/>
      <c r="AA199" s="2462"/>
      <c r="AB199" s="2462"/>
      <c r="AC199" s="846"/>
      <c r="AD199" s="2463">
        <v>4300000</v>
      </c>
      <c r="AE199" s="2463"/>
      <c r="AF199" s="2463"/>
      <c r="AG199" s="2463"/>
      <c r="AH199" s="2463"/>
      <c r="AI199" s="2463"/>
      <c r="AJ199" s="2463"/>
      <c r="AK199" s="610"/>
    </row>
    <row r="200" spans="1:40">
      <c r="A200" s="605"/>
      <c r="B200" s="2462"/>
      <c r="C200" s="2462"/>
      <c r="D200" s="2462"/>
      <c r="E200" s="2462"/>
      <c r="F200" s="2462"/>
      <c r="G200" s="2462"/>
      <c r="H200" s="2462"/>
      <c r="I200" s="2462"/>
      <c r="J200" s="2462"/>
      <c r="K200" s="2462"/>
      <c r="L200" s="2462"/>
      <c r="M200" s="2462"/>
      <c r="N200" s="2462"/>
      <c r="O200" s="2462"/>
      <c r="P200" s="2462"/>
      <c r="Q200" s="2462"/>
      <c r="R200" s="2462"/>
      <c r="S200" s="2462"/>
      <c r="T200" s="2462"/>
      <c r="U200" s="2462"/>
      <c r="V200" s="2462"/>
      <c r="W200" s="2462"/>
      <c r="X200" s="2462"/>
      <c r="Y200" s="2462"/>
      <c r="Z200" s="2462"/>
      <c r="AA200" s="2462"/>
      <c r="AB200" s="2462"/>
      <c r="AC200" s="846"/>
      <c r="AD200" s="2463"/>
      <c r="AE200" s="2463"/>
      <c r="AF200" s="2463"/>
      <c r="AG200" s="2463"/>
      <c r="AH200" s="2463"/>
      <c r="AI200" s="2463"/>
      <c r="AJ200" s="2463"/>
      <c r="AK200" s="610"/>
    </row>
    <row r="201" spans="1:40">
      <c r="A201" s="605"/>
      <c r="B201" s="2462"/>
      <c r="C201" s="2462"/>
      <c r="D201" s="2462"/>
      <c r="E201" s="2462"/>
      <c r="F201" s="2462"/>
      <c r="G201" s="2462"/>
      <c r="H201" s="2462"/>
      <c r="I201" s="2462"/>
      <c r="J201" s="2462"/>
      <c r="K201" s="2462"/>
      <c r="L201" s="2462"/>
      <c r="M201" s="2462"/>
      <c r="N201" s="2462"/>
      <c r="O201" s="2462"/>
      <c r="P201" s="2462"/>
      <c r="Q201" s="2462"/>
      <c r="R201" s="2462"/>
      <c r="S201" s="2462"/>
      <c r="T201" s="2462"/>
      <c r="U201" s="2462"/>
      <c r="V201" s="2462"/>
      <c r="W201" s="2462"/>
      <c r="X201" s="2462"/>
      <c r="Y201" s="2462"/>
      <c r="Z201" s="2462"/>
      <c r="AA201" s="2462"/>
      <c r="AB201" s="2462"/>
      <c r="AC201" s="846"/>
      <c r="AD201" s="2463"/>
      <c r="AE201" s="2463"/>
      <c r="AF201" s="2463"/>
      <c r="AG201" s="2463"/>
      <c r="AH201" s="2463"/>
      <c r="AI201" s="2463"/>
      <c r="AJ201" s="2463"/>
      <c r="AK201" s="610"/>
    </row>
    <row r="202" spans="1:40">
      <c r="A202" s="605"/>
      <c r="B202" s="2462"/>
      <c r="C202" s="2462"/>
      <c r="D202" s="2462"/>
      <c r="E202" s="2462"/>
      <c r="F202" s="2462"/>
      <c r="G202" s="2462"/>
      <c r="H202" s="2462"/>
      <c r="I202" s="2462"/>
      <c r="J202" s="2462"/>
      <c r="K202" s="2462"/>
      <c r="L202" s="2462"/>
      <c r="M202" s="2462"/>
      <c r="N202" s="2462"/>
      <c r="O202" s="2462"/>
      <c r="P202" s="2462"/>
      <c r="Q202" s="2462"/>
      <c r="R202" s="2462"/>
      <c r="S202" s="2462"/>
      <c r="T202" s="2462"/>
      <c r="U202" s="2462"/>
      <c r="V202" s="2462"/>
      <c r="W202" s="2462"/>
      <c r="X202" s="2462"/>
      <c r="Y202" s="2462"/>
      <c r="Z202" s="2462"/>
      <c r="AA202" s="2462"/>
      <c r="AB202" s="2462"/>
      <c r="AC202" s="846"/>
      <c r="AD202" s="2463"/>
      <c r="AE202" s="2463"/>
      <c r="AF202" s="2463"/>
      <c r="AG202" s="2463"/>
      <c r="AH202" s="2463"/>
      <c r="AI202" s="2463"/>
      <c r="AJ202" s="2463"/>
      <c r="AK202" s="610"/>
    </row>
    <row r="203" spans="1:40">
      <c r="A203" s="605"/>
      <c r="B203" s="2462"/>
      <c r="C203" s="2462"/>
      <c r="D203" s="2462"/>
      <c r="E203" s="2462"/>
      <c r="F203" s="2462"/>
      <c r="G203" s="2462"/>
      <c r="H203" s="2462"/>
      <c r="I203" s="2462"/>
      <c r="J203" s="2462"/>
      <c r="K203" s="2462"/>
      <c r="L203" s="2462"/>
      <c r="M203" s="2462"/>
      <c r="N203" s="2462"/>
      <c r="O203" s="2462"/>
      <c r="P203" s="2462"/>
      <c r="Q203" s="2462"/>
      <c r="R203" s="2462"/>
      <c r="S203" s="2462"/>
      <c r="T203" s="2462"/>
      <c r="U203" s="2462"/>
      <c r="V203" s="2462"/>
      <c r="W203" s="2462"/>
      <c r="X203" s="2462"/>
      <c r="Y203" s="2462"/>
      <c r="Z203" s="2462"/>
      <c r="AA203" s="2462"/>
      <c r="AB203" s="2462"/>
      <c r="AC203" s="846"/>
      <c r="AD203" s="2463"/>
      <c r="AE203" s="2463"/>
      <c r="AF203" s="2463"/>
      <c r="AG203" s="2463"/>
      <c r="AH203" s="2463"/>
      <c r="AI203" s="2463"/>
      <c r="AJ203" s="2463"/>
      <c r="AK203" s="610"/>
    </row>
    <row r="204" spans="1:40">
      <c r="A204" s="605"/>
      <c r="B204" s="2462"/>
      <c r="C204" s="2462"/>
      <c r="D204" s="2462"/>
      <c r="E204" s="2462"/>
      <c r="F204" s="2462"/>
      <c r="G204" s="2462"/>
      <c r="H204" s="2462"/>
      <c r="I204" s="2462"/>
      <c r="J204" s="2462"/>
      <c r="K204" s="2462"/>
      <c r="L204" s="2462"/>
      <c r="M204" s="2462"/>
      <c r="N204" s="2462"/>
      <c r="O204" s="2462"/>
      <c r="P204" s="2462"/>
      <c r="Q204" s="2462"/>
      <c r="R204" s="2462"/>
      <c r="S204" s="2462"/>
      <c r="T204" s="2462"/>
      <c r="U204" s="2462"/>
      <c r="V204" s="2462"/>
      <c r="W204" s="2462"/>
      <c r="X204" s="2462"/>
      <c r="Y204" s="2462"/>
      <c r="Z204" s="2462"/>
      <c r="AA204" s="2462"/>
      <c r="AB204" s="2462"/>
      <c r="AC204" s="846"/>
      <c r="AD204" s="2463"/>
      <c r="AE204" s="2463"/>
      <c r="AF204" s="2463"/>
      <c r="AG204" s="2463"/>
      <c r="AH204" s="2463"/>
      <c r="AI204" s="2463"/>
      <c r="AJ204" s="2463"/>
      <c r="AK204" s="610"/>
    </row>
    <row r="205" spans="1:40">
      <c r="A205" s="605"/>
      <c r="B205" s="2462"/>
      <c r="C205" s="2462"/>
      <c r="D205" s="2462"/>
      <c r="E205" s="2462"/>
      <c r="F205" s="2462"/>
      <c r="G205" s="2462"/>
      <c r="H205" s="2462"/>
      <c r="I205" s="2462"/>
      <c r="J205" s="2462"/>
      <c r="K205" s="2462"/>
      <c r="L205" s="2462"/>
      <c r="M205" s="2462"/>
      <c r="N205" s="2462"/>
      <c r="O205" s="2462"/>
      <c r="P205" s="2462"/>
      <c r="Q205" s="2462"/>
      <c r="R205" s="2462"/>
      <c r="S205" s="2462"/>
      <c r="T205" s="2462"/>
      <c r="U205" s="2462"/>
      <c r="V205" s="2462"/>
      <c r="W205" s="2462"/>
      <c r="X205" s="2462"/>
      <c r="Y205" s="2462"/>
      <c r="Z205" s="2462"/>
      <c r="AA205" s="2462"/>
      <c r="AB205" s="2462"/>
      <c r="AC205" s="846"/>
      <c r="AD205" s="2463"/>
      <c r="AE205" s="2463"/>
      <c r="AF205" s="2463"/>
      <c r="AG205" s="2463"/>
      <c r="AH205" s="2463"/>
      <c r="AI205" s="2463"/>
      <c r="AJ205" s="2463"/>
      <c r="AK205" s="610"/>
    </row>
    <row r="206" spans="1:40">
      <c r="A206" s="605"/>
      <c r="B206" s="2462"/>
      <c r="C206" s="2462"/>
      <c r="D206" s="2462"/>
      <c r="E206" s="2462"/>
      <c r="F206" s="2462"/>
      <c r="G206" s="2462"/>
      <c r="H206" s="2462"/>
      <c r="I206" s="2462"/>
      <c r="J206" s="2462"/>
      <c r="K206" s="2462"/>
      <c r="L206" s="2462"/>
      <c r="M206" s="2462"/>
      <c r="N206" s="2462"/>
      <c r="O206" s="2462"/>
      <c r="P206" s="2462"/>
      <c r="Q206" s="2462"/>
      <c r="R206" s="2462"/>
      <c r="S206" s="2462"/>
      <c r="T206" s="2462"/>
      <c r="U206" s="2462"/>
      <c r="V206" s="2462"/>
      <c r="W206" s="2462"/>
      <c r="X206" s="2462"/>
      <c r="Y206" s="2462"/>
      <c r="Z206" s="2462"/>
      <c r="AA206" s="2462"/>
      <c r="AB206" s="2462"/>
      <c r="AC206" s="846"/>
      <c r="AD206" s="2463"/>
      <c r="AE206" s="2463"/>
      <c r="AF206" s="2463"/>
      <c r="AG206" s="2463"/>
      <c r="AH206" s="2463"/>
      <c r="AI206" s="2463"/>
      <c r="AJ206" s="2463"/>
      <c r="AK206" s="610"/>
    </row>
    <row r="207" spans="1:40">
      <c r="A207" s="605"/>
      <c r="B207" s="2462"/>
      <c r="C207" s="2462"/>
      <c r="D207" s="2462"/>
      <c r="E207" s="2462"/>
      <c r="F207" s="2462"/>
      <c r="G207" s="2462"/>
      <c r="H207" s="2462"/>
      <c r="I207" s="2462"/>
      <c r="J207" s="2462"/>
      <c r="K207" s="2462"/>
      <c r="L207" s="2462"/>
      <c r="M207" s="2462"/>
      <c r="N207" s="2462"/>
      <c r="O207" s="2462"/>
      <c r="P207" s="2462"/>
      <c r="Q207" s="2462"/>
      <c r="R207" s="2462"/>
      <c r="S207" s="2462"/>
      <c r="T207" s="2462"/>
      <c r="U207" s="2462"/>
      <c r="V207" s="2462"/>
      <c r="W207" s="2462"/>
      <c r="X207" s="2462"/>
      <c r="Y207" s="2462"/>
      <c r="Z207" s="2462"/>
      <c r="AA207" s="2462"/>
      <c r="AB207" s="2462"/>
      <c r="AC207" s="846"/>
      <c r="AD207" s="2463"/>
      <c r="AE207" s="2463"/>
      <c r="AF207" s="2463"/>
      <c r="AG207" s="2463"/>
      <c r="AH207" s="2463"/>
      <c r="AI207" s="2463"/>
      <c r="AJ207" s="2463"/>
      <c r="AK207" s="610"/>
    </row>
    <row r="208" spans="1:40">
      <c r="A208" s="605"/>
      <c r="B208" s="2462"/>
      <c r="C208" s="2462"/>
      <c r="D208" s="2462"/>
      <c r="E208" s="2462"/>
      <c r="F208" s="2462"/>
      <c r="G208" s="2462"/>
      <c r="H208" s="2462"/>
      <c r="I208" s="2462"/>
      <c r="J208" s="2462"/>
      <c r="K208" s="2462"/>
      <c r="L208" s="2462"/>
      <c r="M208" s="2462"/>
      <c r="N208" s="2462"/>
      <c r="O208" s="2462"/>
      <c r="P208" s="2462"/>
      <c r="Q208" s="2462"/>
      <c r="R208" s="2462"/>
      <c r="S208" s="2462"/>
      <c r="T208" s="2462"/>
      <c r="U208" s="2462"/>
      <c r="V208" s="2462"/>
      <c r="W208" s="2462"/>
      <c r="X208" s="2462"/>
      <c r="Y208" s="2462"/>
      <c r="Z208" s="2462"/>
      <c r="AA208" s="2462"/>
      <c r="AB208" s="2462"/>
      <c r="AC208" s="846"/>
      <c r="AD208" s="2463"/>
      <c r="AE208" s="2463"/>
      <c r="AF208" s="2463"/>
      <c r="AG208" s="2463"/>
      <c r="AH208" s="2463"/>
      <c r="AI208" s="2463"/>
      <c r="AJ208" s="2463"/>
      <c r="AK208" s="610"/>
    </row>
    <row r="209" spans="1:37">
      <c r="A209" s="605"/>
      <c r="B209" s="2473" t="s">
        <v>1627</v>
      </c>
      <c r="C209" s="2473"/>
      <c r="D209" s="2473"/>
      <c r="E209" s="2473"/>
      <c r="F209" s="2473"/>
      <c r="G209" s="2473"/>
      <c r="H209" s="2473"/>
      <c r="I209" s="2473"/>
      <c r="J209" s="2473"/>
      <c r="K209" s="2473"/>
      <c r="L209" s="2473"/>
      <c r="M209" s="2473"/>
      <c r="N209" s="2473"/>
      <c r="O209" s="2473"/>
      <c r="P209" s="2473"/>
      <c r="Q209" s="2473"/>
      <c r="R209" s="2473"/>
      <c r="S209" s="2473"/>
      <c r="T209" s="2473"/>
      <c r="U209" s="2473"/>
      <c r="V209" s="2473"/>
      <c r="W209" s="2473"/>
      <c r="X209" s="2473"/>
      <c r="Y209" s="2473"/>
      <c r="Z209" s="2473"/>
      <c r="AA209" s="2473"/>
      <c r="AB209" s="2473"/>
      <c r="AC209" s="536"/>
      <c r="AD209" s="2492">
        <f>AB260</f>
        <v>4783386.2376000751</v>
      </c>
      <c r="AE209" s="2492"/>
      <c r="AF209" s="2492"/>
      <c r="AG209" s="2492"/>
      <c r="AH209" s="2492"/>
      <c r="AI209" s="2492"/>
      <c r="AJ209" s="2492"/>
      <c r="AK209" s="610"/>
    </row>
    <row r="210" spans="1:37">
      <c r="A210" s="605"/>
      <c r="B210" s="2619" t="s">
        <v>1590</v>
      </c>
      <c r="C210" s="2619"/>
      <c r="D210" s="2619"/>
      <c r="E210" s="2619"/>
      <c r="F210" s="2619"/>
      <c r="G210" s="2619"/>
      <c r="H210" s="2619"/>
      <c r="I210" s="2619"/>
      <c r="J210" s="2619"/>
      <c r="K210" s="2619"/>
      <c r="L210" s="2619"/>
      <c r="M210" s="2619"/>
      <c r="N210" s="2619"/>
      <c r="O210" s="2619"/>
      <c r="P210" s="2619"/>
      <c r="Q210" s="2619"/>
      <c r="R210" s="2619"/>
      <c r="S210" s="2619"/>
      <c r="T210" s="2619"/>
      <c r="U210" s="2619"/>
      <c r="V210" s="2619"/>
      <c r="W210" s="2619"/>
      <c r="X210" s="2619"/>
      <c r="Y210" s="2619"/>
      <c r="Z210" s="2619"/>
      <c r="AA210" s="2619"/>
      <c r="AB210" s="2619"/>
      <c r="AC210" s="846"/>
      <c r="AD210" s="2493">
        <f>'Sources and Uses Budget'!B15</f>
        <v>0</v>
      </c>
      <c r="AE210" s="2493"/>
      <c r="AF210" s="2493"/>
      <c r="AG210" s="2493"/>
      <c r="AH210" s="2493"/>
      <c r="AI210" s="2493"/>
      <c r="AJ210" s="249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7">
        <f>SUM(AD199:AJ209)-AD210</f>
        <v>9083386.2376000751</v>
      </c>
      <c r="AE211" s="2497"/>
      <c r="AF211" s="2497"/>
      <c r="AG211" s="2497"/>
      <c r="AH211" s="2497"/>
      <c r="AI211" s="2497"/>
      <c r="AJ211" s="249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6" t="s">
        <v>1607</v>
      </c>
      <c r="J222" s="2466"/>
      <c r="K222" s="2466"/>
      <c r="L222" s="536"/>
      <c r="M222" s="536"/>
      <c r="N222" s="536"/>
      <c r="O222" s="536"/>
      <c r="P222" s="536"/>
      <c r="Q222" s="536"/>
      <c r="R222" s="536"/>
      <c r="S222" s="536"/>
      <c r="T222" s="2654" t="s">
        <v>1601</v>
      </c>
      <c r="U222" s="2654"/>
      <c r="V222" s="2654"/>
      <c r="W222" s="2654"/>
      <c r="X222" s="2654"/>
      <c r="Y222" s="2654"/>
      <c r="Z222" s="849"/>
      <c r="AA222" s="489"/>
      <c r="AB222" s="2461" t="s">
        <v>1602</v>
      </c>
      <c r="AC222" s="2461"/>
      <c r="AD222" s="2461"/>
      <c r="AE222" s="2461"/>
      <c r="AF222" s="2461"/>
      <c r="AG222" s="2461"/>
      <c r="AH222" s="827"/>
      <c r="AI222" s="827"/>
      <c r="AJ222" s="827"/>
      <c r="AK222" s="610"/>
    </row>
    <row r="223" spans="1:37">
      <c r="A223" s="605"/>
      <c r="B223" s="2464" t="s">
        <v>1587</v>
      </c>
      <c r="C223" s="2464"/>
      <c r="D223" s="2464"/>
      <c r="E223" s="2464"/>
      <c r="F223" s="2464"/>
      <c r="G223" s="2464"/>
      <c r="I223" s="2465" t="s">
        <v>1608</v>
      </c>
      <c r="J223" s="2465"/>
      <c r="K223" s="2465"/>
      <c r="L223" s="1008"/>
      <c r="N223" s="2471" t="s">
        <v>1603</v>
      </c>
      <c r="O223" s="2471"/>
      <c r="P223" s="2471"/>
      <c r="Q223" s="2471"/>
      <c r="R223" s="2471"/>
      <c r="T223" s="2471" t="s">
        <v>1604</v>
      </c>
      <c r="U223" s="2471"/>
      <c r="V223" s="2471"/>
      <c r="W223" s="2471"/>
      <c r="X223" s="2471"/>
      <c r="Y223" s="2471"/>
      <c r="Z223" s="850"/>
      <c r="AA223" s="489"/>
      <c r="AB223" s="2608" t="s">
        <v>1605</v>
      </c>
      <c r="AC223" s="2608"/>
      <c r="AD223" s="2608"/>
      <c r="AE223" s="2608"/>
      <c r="AF223" s="2608"/>
      <c r="AG223" s="2608"/>
      <c r="AH223" s="827"/>
      <c r="AI223" s="827"/>
      <c r="AJ223" s="827"/>
      <c r="AK223" s="610"/>
    </row>
    <row r="224" spans="1:37">
      <c r="A224" s="605"/>
      <c r="B224" s="2468" t="s">
        <v>2752</v>
      </c>
      <c r="C224" s="2468"/>
      <c r="D224" s="2468"/>
      <c r="E224" s="2468"/>
      <c r="F224" s="2468"/>
      <c r="G224" s="2468"/>
      <c r="H224" s="852"/>
      <c r="I224" s="2467">
        <v>12</v>
      </c>
      <c r="J224" s="2467"/>
      <c r="K224" s="2467"/>
      <c r="L224" s="1008"/>
      <c r="N224" s="2472">
        <v>627</v>
      </c>
      <c r="O224" s="2472"/>
      <c r="P224" s="2472"/>
      <c r="Q224" s="2472"/>
      <c r="R224" s="2472"/>
      <c r="T224" s="2620">
        <v>1231</v>
      </c>
      <c r="U224" s="2620"/>
      <c r="V224" s="2620"/>
      <c r="W224" s="2620"/>
      <c r="X224" s="2620"/>
      <c r="Y224" s="2620"/>
      <c r="Z224" s="851"/>
      <c r="AA224" s="851"/>
      <c r="AB224" s="2469">
        <f t="shared" ref="AB224:AB233" si="0">MAX(($T224-$N224)*$I224*12,0)</f>
        <v>86976</v>
      </c>
      <c r="AC224" s="2469"/>
      <c r="AD224" s="2469"/>
      <c r="AE224" s="2469"/>
      <c r="AF224" s="2469"/>
      <c r="AG224" s="2469"/>
      <c r="AH224" s="827"/>
      <c r="AI224" s="827"/>
      <c r="AJ224" s="827"/>
      <c r="AK224" s="610"/>
    </row>
    <row r="225" spans="1:37">
      <c r="A225" s="605"/>
      <c r="B225" s="2468" t="s">
        <v>2753</v>
      </c>
      <c r="C225" s="2468"/>
      <c r="D225" s="2468"/>
      <c r="E225" s="2468"/>
      <c r="F225" s="2468"/>
      <c r="G225" s="2468"/>
      <c r="I225" s="2467">
        <v>18</v>
      </c>
      <c r="J225" s="2467"/>
      <c r="K225" s="2467"/>
      <c r="L225" s="1008"/>
      <c r="N225" s="2472">
        <v>731</v>
      </c>
      <c r="O225" s="2472"/>
      <c r="P225" s="2472"/>
      <c r="Q225" s="2472"/>
      <c r="R225" s="2472"/>
      <c r="T225" s="2620">
        <v>1557</v>
      </c>
      <c r="U225" s="2620"/>
      <c r="V225" s="2620"/>
      <c r="W225" s="2620"/>
      <c r="X225" s="2620"/>
      <c r="Y225" s="2620"/>
      <c r="Z225" s="851"/>
      <c r="AA225" s="851"/>
      <c r="AB225" s="2469">
        <f t="shared" si="0"/>
        <v>178416</v>
      </c>
      <c r="AC225" s="2469"/>
      <c r="AD225" s="2469"/>
      <c r="AE225" s="2469"/>
      <c r="AF225" s="2469"/>
      <c r="AG225" s="2469"/>
      <c r="AH225" s="827"/>
      <c r="AI225" s="827"/>
      <c r="AJ225" s="827"/>
      <c r="AK225" s="610"/>
    </row>
    <row r="226" spans="1:37">
      <c r="A226" s="605"/>
      <c r="B226" s="2468" t="s">
        <v>2754</v>
      </c>
      <c r="C226" s="2468"/>
      <c r="D226" s="2468"/>
      <c r="E226" s="2468"/>
      <c r="F226" s="2468"/>
      <c r="G226" s="2468"/>
      <c r="I226" s="2467">
        <v>15</v>
      </c>
      <c r="J226" s="2467"/>
      <c r="K226" s="2467"/>
      <c r="L226" s="1008"/>
      <c r="N226" s="2472">
        <v>826</v>
      </c>
      <c r="O226" s="2472"/>
      <c r="P226" s="2472"/>
      <c r="Q226" s="2472"/>
      <c r="R226" s="2472"/>
      <c r="T226" s="2620">
        <v>2207</v>
      </c>
      <c r="U226" s="2620"/>
      <c r="V226" s="2620"/>
      <c r="W226" s="2620"/>
      <c r="X226" s="2620"/>
      <c r="Y226" s="2620"/>
      <c r="Z226" s="851"/>
      <c r="AA226" s="851"/>
      <c r="AB226" s="2469">
        <f t="shared" si="0"/>
        <v>248580</v>
      </c>
      <c r="AC226" s="2469"/>
      <c r="AD226" s="2469"/>
      <c r="AE226" s="2469"/>
      <c r="AF226" s="2469"/>
      <c r="AG226" s="2469"/>
      <c r="AH226" s="827"/>
      <c r="AI226" s="827"/>
      <c r="AJ226" s="827"/>
      <c r="AK226" s="610"/>
    </row>
    <row r="227" spans="1:37">
      <c r="A227" s="605"/>
      <c r="B227" s="2468" t="s">
        <v>1184</v>
      </c>
      <c r="C227" s="2468"/>
      <c r="D227" s="2468"/>
      <c r="E227" s="2468"/>
      <c r="F227" s="2468"/>
      <c r="G227" s="2468"/>
      <c r="I227" s="2467"/>
      <c r="J227" s="2467"/>
      <c r="K227" s="2467"/>
      <c r="L227" s="1008"/>
      <c r="N227" s="2472"/>
      <c r="O227" s="2472"/>
      <c r="P227" s="2472"/>
      <c r="Q227" s="2472"/>
      <c r="R227" s="2472"/>
      <c r="T227" s="2620"/>
      <c r="U227" s="2620"/>
      <c r="V227" s="2620"/>
      <c r="W227" s="2620"/>
      <c r="X227" s="2620"/>
      <c r="Y227" s="2620"/>
      <c r="Z227" s="851"/>
      <c r="AA227" s="851"/>
      <c r="AB227" s="2469">
        <f t="shared" si="0"/>
        <v>0</v>
      </c>
      <c r="AC227" s="2469"/>
      <c r="AD227" s="2469"/>
      <c r="AE227" s="2469"/>
      <c r="AF227" s="2469"/>
      <c r="AG227" s="2469"/>
      <c r="AH227" s="827"/>
      <c r="AI227" s="827"/>
      <c r="AJ227" s="827"/>
      <c r="AK227" s="610"/>
    </row>
    <row r="228" spans="1:37">
      <c r="A228" s="605"/>
      <c r="B228" s="2468" t="s">
        <v>1184</v>
      </c>
      <c r="C228" s="2468"/>
      <c r="D228" s="2468"/>
      <c r="E228" s="2468"/>
      <c r="F228" s="2468"/>
      <c r="G228" s="2468"/>
      <c r="I228" s="2467"/>
      <c r="J228" s="2467"/>
      <c r="K228" s="2467"/>
      <c r="L228" s="1015"/>
      <c r="N228" s="2472"/>
      <c r="O228" s="2472"/>
      <c r="P228" s="2472"/>
      <c r="Q228" s="2472"/>
      <c r="R228" s="2472"/>
      <c r="T228" s="2620"/>
      <c r="U228" s="2620"/>
      <c r="V228" s="2620"/>
      <c r="W228" s="2620"/>
      <c r="X228" s="2620"/>
      <c r="Y228" s="2620"/>
      <c r="Z228" s="851"/>
      <c r="AA228" s="851"/>
      <c r="AB228" s="2469">
        <f t="shared" si="0"/>
        <v>0</v>
      </c>
      <c r="AC228" s="2469"/>
      <c r="AD228" s="2469"/>
      <c r="AE228" s="2469"/>
      <c r="AF228" s="2469"/>
      <c r="AG228" s="2469"/>
      <c r="AH228" s="827"/>
      <c r="AI228" s="827"/>
      <c r="AJ228" s="827"/>
      <c r="AK228" s="610"/>
    </row>
    <row r="229" spans="1:37">
      <c r="A229" s="605"/>
      <c r="B229" s="2468" t="s">
        <v>1184</v>
      </c>
      <c r="C229" s="2468"/>
      <c r="D229" s="2468"/>
      <c r="E229" s="2468"/>
      <c r="F229" s="2468"/>
      <c r="G229" s="2468"/>
      <c r="I229" s="2467"/>
      <c r="J229" s="2467"/>
      <c r="K229" s="2467"/>
      <c r="L229" s="1015"/>
      <c r="N229" s="2472"/>
      <c r="O229" s="2472"/>
      <c r="P229" s="2472"/>
      <c r="Q229" s="2472"/>
      <c r="R229" s="2472"/>
      <c r="T229" s="2620"/>
      <c r="U229" s="2620"/>
      <c r="V229" s="2620"/>
      <c r="W229" s="2620"/>
      <c r="X229" s="2620"/>
      <c r="Y229" s="2620"/>
      <c r="Z229" s="851"/>
      <c r="AA229" s="851"/>
      <c r="AB229" s="2469">
        <f t="shared" si="0"/>
        <v>0</v>
      </c>
      <c r="AC229" s="2469"/>
      <c r="AD229" s="2469"/>
      <c r="AE229" s="2469"/>
      <c r="AF229" s="2469"/>
      <c r="AG229" s="2469"/>
      <c r="AH229" s="827"/>
      <c r="AI229" s="827"/>
      <c r="AJ229" s="827"/>
      <c r="AK229" s="610"/>
    </row>
    <row r="230" spans="1:37">
      <c r="A230" s="605"/>
      <c r="B230" s="2468" t="s">
        <v>1184</v>
      </c>
      <c r="C230" s="2468"/>
      <c r="D230" s="2468"/>
      <c r="E230" s="2468"/>
      <c r="F230" s="2468"/>
      <c r="G230" s="2468"/>
      <c r="I230" s="2467"/>
      <c r="J230" s="2467"/>
      <c r="K230" s="2467"/>
      <c r="L230" s="1015"/>
      <c r="N230" s="2472"/>
      <c r="O230" s="2472"/>
      <c r="P230" s="2472"/>
      <c r="Q230" s="2472"/>
      <c r="R230" s="2472"/>
      <c r="T230" s="2620"/>
      <c r="U230" s="2620"/>
      <c r="V230" s="2620"/>
      <c r="W230" s="2620"/>
      <c r="X230" s="2620"/>
      <c r="Y230" s="2620"/>
      <c r="Z230" s="851"/>
      <c r="AA230" s="851"/>
      <c r="AB230" s="2469">
        <f t="shared" si="0"/>
        <v>0</v>
      </c>
      <c r="AC230" s="2469"/>
      <c r="AD230" s="2469"/>
      <c r="AE230" s="2469"/>
      <c r="AF230" s="2469"/>
      <c r="AG230" s="2469"/>
      <c r="AH230" s="827"/>
      <c r="AI230" s="827"/>
      <c r="AJ230" s="827"/>
      <c r="AK230" s="610"/>
    </row>
    <row r="231" spans="1:37">
      <c r="A231" s="605"/>
      <c r="B231" s="2468" t="s">
        <v>1184</v>
      </c>
      <c r="C231" s="2468"/>
      <c r="D231" s="2468"/>
      <c r="E231" s="2468"/>
      <c r="F231" s="2468"/>
      <c r="G231" s="2468"/>
      <c r="I231" s="2467"/>
      <c r="J231" s="2467"/>
      <c r="K231" s="2467"/>
      <c r="L231" s="1015"/>
      <c r="N231" s="2472"/>
      <c r="O231" s="2472"/>
      <c r="P231" s="2472"/>
      <c r="Q231" s="2472"/>
      <c r="R231" s="2472"/>
      <c r="T231" s="2620"/>
      <c r="U231" s="2620"/>
      <c r="V231" s="2620"/>
      <c r="W231" s="2620"/>
      <c r="X231" s="2620"/>
      <c r="Y231" s="2620"/>
      <c r="Z231" s="851"/>
      <c r="AA231" s="851"/>
      <c r="AB231" s="2469">
        <f t="shared" si="0"/>
        <v>0</v>
      </c>
      <c r="AC231" s="2469"/>
      <c r="AD231" s="2469"/>
      <c r="AE231" s="2469"/>
      <c r="AF231" s="2469"/>
      <c r="AG231" s="2469"/>
      <c r="AH231" s="827"/>
      <c r="AI231" s="827"/>
      <c r="AJ231" s="827"/>
      <c r="AK231" s="610"/>
    </row>
    <row r="232" spans="1:37">
      <c r="A232" s="605"/>
      <c r="B232" s="2468" t="s">
        <v>1184</v>
      </c>
      <c r="C232" s="2468"/>
      <c r="D232" s="2468"/>
      <c r="E232" s="2468"/>
      <c r="F232" s="2468"/>
      <c r="G232" s="2468"/>
      <c r="I232" s="2467"/>
      <c r="J232" s="2467"/>
      <c r="K232" s="2467"/>
      <c r="L232" s="1015"/>
      <c r="N232" s="2472"/>
      <c r="O232" s="2472"/>
      <c r="P232" s="2472"/>
      <c r="Q232" s="2472"/>
      <c r="R232" s="2472"/>
      <c r="T232" s="2620"/>
      <c r="U232" s="2620"/>
      <c r="V232" s="2620"/>
      <c r="W232" s="2620"/>
      <c r="X232" s="2620"/>
      <c r="Y232" s="2620"/>
      <c r="Z232" s="851"/>
      <c r="AA232" s="851"/>
      <c r="AB232" s="2469">
        <f t="shared" si="0"/>
        <v>0</v>
      </c>
      <c r="AC232" s="2469"/>
      <c r="AD232" s="2469"/>
      <c r="AE232" s="2469"/>
      <c r="AF232" s="2469"/>
      <c r="AG232" s="2469"/>
      <c r="AH232" s="827"/>
      <c r="AI232" s="827"/>
      <c r="AJ232" s="827"/>
      <c r="AK232" s="610"/>
    </row>
    <row r="233" spans="1:37">
      <c r="A233" s="605"/>
      <c r="B233" s="2468" t="s">
        <v>1184</v>
      </c>
      <c r="C233" s="2468"/>
      <c r="D233" s="2468"/>
      <c r="E233" s="2468"/>
      <c r="F233" s="2468"/>
      <c r="G233" s="2468"/>
      <c r="I233" s="2470"/>
      <c r="J233" s="2470"/>
      <c r="K233" s="2470"/>
      <c r="L233" s="1015"/>
      <c r="N233" s="2472"/>
      <c r="O233" s="2472"/>
      <c r="P233" s="2472"/>
      <c r="Q233" s="2472"/>
      <c r="R233" s="2472"/>
      <c r="T233" s="2620"/>
      <c r="U233" s="2620"/>
      <c r="V233" s="2620"/>
      <c r="W233" s="2620"/>
      <c r="X233" s="2620"/>
      <c r="Y233" s="2620"/>
      <c r="Z233" s="851"/>
      <c r="AA233" s="851"/>
      <c r="AB233" s="2618">
        <f t="shared" si="0"/>
        <v>0</v>
      </c>
      <c r="AC233" s="2618"/>
      <c r="AD233" s="2618"/>
      <c r="AE233" s="2618"/>
      <c r="AF233" s="2618"/>
      <c r="AG233" s="26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9">
        <f>SUM(AB224:AB233)</f>
        <v>513972</v>
      </c>
      <c r="AC234" s="2469"/>
      <c r="AD234" s="2469"/>
      <c r="AE234" s="2469"/>
      <c r="AF234" s="2469"/>
      <c r="AG234" s="246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1"/>
      <c r="AC240" s="2621"/>
      <c r="AD240" s="2621"/>
      <c r="AE240" s="2621"/>
      <c r="AF240" s="2621"/>
      <c r="AG240" s="262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1"/>
      <c r="AC243" s="2621"/>
      <c r="AD243" s="2621"/>
      <c r="AE243" s="2621"/>
      <c r="AF243" s="2621"/>
      <c r="AG243" s="262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3"/>
      <c r="AC244" s="2653"/>
      <c r="AD244" s="2653"/>
      <c r="AE244" s="2653"/>
      <c r="AF244" s="2653"/>
      <c r="AG244" s="265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5">
        <f>IFERROR(AB243/AB244,0)</f>
        <v>0</v>
      </c>
      <c r="AC245" s="2635"/>
      <c r="AD245" s="2635"/>
      <c r="AE245" s="2635"/>
      <c r="AF245" s="2635"/>
      <c r="AG245" s="263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8">
        <f>MAX(AB240,AB245)</f>
        <v>0</v>
      </c>
      <c r="AC247" s="2618"/>
      <c r="AD247" s="2618"/>
      <c r="AE247" s="2618"/>
      <c r="AF247" s="2618"/>
      <c r="AG247" s="26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9">
        <f>AB234+AB247</f>
        <v>513972</v>
      </c>
      <c r="AC250" s="2469"/>
      <c r="AD250" s="2469"/>
      <c r="AE250" s="2469"/>
      <c r="AF250" s="2469"/>
      <c r="AG250" s="246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1">
        <v>0.05</v>
      </c>
      <c r="AC251" s="2501"/>
      <c r="AD251" s="2501"/>
      <c r="AE251" s="2501"/>
      <c r="AF251" s="2501"/>
      <c r="AG251" s="250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2">
        <f>AB250-(AB250*AB251)</f>
        <v>488273.4</v>
      </c>
      <c r="AC252" s="2502"/>
      <c r="AD252" s="2502"/>
      <c r="AE252" s="2502"/>
      <c r="AF252" s="2502"/>
      <c r="AG252" s="250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9">
        <f>AB252/AB258</f>
        <v>424585.56521739135</v>
      </c>
      <c r="AC254" s="2469"/>
      <c r="AD254" s="2469"/>
      <c r="AE254" s="2469"/>
      <c r="AF254" s="2469"/>
      <c r="AG254" s="246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1">
        <v>15</v>
      </c>
      <c r="AC256" s="2461"/>
      <c r="AD256" s="2461"/>
      <c r="AE256" s="2461"/>
      <c r="AF256" s="2461"/>
      <c r="AG256" s="246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3">
        <v>0.04</v>
      </c>
      <c r="AC257" s="2503"/>
      <c r="AD257" s="2503"/>
      <c r="AE257" s="2503"/>
      <c r="AF257" s="2503"/>
      <c r="AG257" s="250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4">
        <v>1.1499999999999999</v>
      </c>
      <c r="AC258" s="2474"/>
      <c r="AD258" s="2474"/>
      <c r="AE258" s="2474"/>
      <c r="AF258" s="2474"/>
      <c r="AG258" s="247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4">
        <f>PV(AB257/12,AB256*12,-AB254/12, ,0)</f>
        <v>4783386.2376000751</v>
      </c>
      <c r="AC260" s="2495"/>
      <c r="AD260" s="2495"/>
      <c r="AE260" s="2495"/>
      <c r="AF260" s="2495"/>
      <c r="AG260" s="249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8">
        <f>IFERROR(('Sources and Uses Budget'!D105/'Sources and Uses Budget'!B105),0)</f>
        <v>0</v>
      </c>
      <c r="AC266" s="2499"/>
      <c r="AD266" s="2499"/>
      <c r="AE266" s="2499"/>
      <c r="AF266" s="2499"/>
      <c r="AG266" s="250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8">
        <f>AD211*(1-AB266)</f>
        <v>9083386.2376000751</v>
      </c>
      <c r="AH268" s="2488"/>
      <c r="AI268" s="2488"/>
      <c r="AJ268" s="2488"/>
      <c r="AK268" s="248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8">
        <f>'Sources and Uses Budget'!C105</f>
        <v>36575967</v>
      </c>
      <c r="AH269" s="2488"/>
      <c r="AI269" s="2488"/>
      <c r="AJ269" s="2488"/>
      <c r="AK269" s="248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9">
        <f>ROUNDDOWN(IF(AND(C292="Yes",AK84=10),((AG268*2)/AG269),AG268/AG269),2)</f>
        <v>0.24</v>
      </c>
      <c r="AH270" s="2489"/>
      <c r="AI270" s="2489"/>
      <c r="AJ270" s="2489"/>
      <c r="AK270" s="248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90">
        <f>IFERROR(IF(AG270=0,0,IF((AG270*100)&gt;8,8,(AG270*100))),0)</f>
        <v>8</v>
      </c>
      <c r="AL273" s="2490"/>
      <c r="AM273" s="249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8" customHeight="1">
      <c r="A278" s="550"/>
      <c r="B278" s="596"/>
      <c r="C278" s="2482" t="s">
        <v>545</v>
      </c>
      <c r="D278" s="2482"/>
      <c r="E278" s="547"/>
      <c r="F278" s="2639" t="s">
        <v>2024</v>
      </c>
      <c r="G278" s="2640"/>
      <c r="H278" s="2640"/>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40"/>
      <c r="AD278" s="2641"/>
      <c r="AE278" s="550"/>
      <c r="AF278" s="635"/>
      <c r="AG278" s="2483" t="s">
        <v>1363</v>
      </c>
      <c r="AH278" s="2483"/>
      <c r="AI278" s="2483"/>
      <c r="AJ278" s="2483"/>
      <c r="AK278" s="550"/>
      <c r="AL278" s="550"/>
      <c r="AM278" s="550"/>
      <c r="AO278" s="550"/>
    </row>
    <row r="279" spans="1:52" ht="13.8" customHeight="1">
      <c r="A279" s="550"/>
      <c r="B279" s="596"/>
      <c r="C279" s="636"/>
      <c r="D279" s="550"/>
      <c r="E279" s="547"/>
      <c r="F279" s="2642"/>
      <c r="G279" s="2643"/>
      <c r="H279" s="2643"/>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43"/>
      <c r="AD279" s="2644"/>
      <c r="AE279" s="550"/>
      <c r="AF279" s="635"/>
      <c r="AG279" s="635"/>
      <c r="AH279" s="635"/>
      <c r="AI279" s="635"/>
      <c r="AJ279" s="550"/>
      <c r="AK279" s="550"/>
      <c r="AL279" s="550"/>
      <c r="AM279" s="550"/>
      <c r="AO279" s="550"/>
    </row>
    <row r="280" spans="1:52">
      <c r="A280" s="550"/>
      <c r="B280" s="596"/>
      <c r="C280" s="636"/>
      <c r="D280" s="550"/>
      <c r="E280" s="547"/>
      <c r="F280" s="2642"/>
      <c r="G280" s="2643"/>
      <c r="H280" s="2643"/>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43"/>
      <c r="AD280" s="2644"/>
      <c r="AE280" s="550"/>
      <c r="AF280" s="635"/>
      <c r="AG280" s="635"/>
      <c r="AH280" s="635"/>
      <c r="AI280" s="635"/>
      <c r="AJ280" s="550"/>
      <c r="AK280" s="550"/>
      <c r="AL280" s="550"/>
      <c r="AM280" s="550"/>
      <c r="AO280" s="550"/>
      <c r="AP280" s="637"/>
    </row>
    <row r="281" spans="1:52">
      <c r="A281" s="550"/>
      <c r="B281" s="596"/>
      <c r="C281" s="636"/>
      <c r="D281" s="550"/>
      <c r="E281" s="547"/>
      <c r="F281" s="2642"/>
      <c r="G281" s="2643"/>
      <c r="H281" s="2643"/>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43"/>
      <c r="AD281" s="2644"/>
      <c r="AE281" s="550"/>
      <c r="AF281" s="635"/>
      <c r="AG281" s="635"/>
      <c r="AH281" s="635"/>
      <c r="AI281" s="635"/>
      <c r="AJ281" s="550"/>
      <c r="AK281" s="550"/>
      <c r="AL281" s="550"/>
      <c r="AM281" s="550"/>
      <c r="AO281" s="550"/>
      <c r="AP281" s="637"/>
    </row>
    <row r="282" spans="1:52" ht="13.8" customHeight="1">
      <c r="A282" s="550"/>
      <c r="B282" s="596"/>
      <c r="C282" s="2484"/>
      <c r="D282" s="2484"/>
      <c r="E282" s="547"/>
      <c r="F282" s="2645"/>
      <c r="G282" s="2646"/>
      <c r="H282" s="2646"/>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46"/>
      <c r="AD282" s="2647"/>
      <c r="AE282" s="550"/>
      <c r="AF282" s="635"/>
      <c r="AG282" s="2483"/>
      <c r="AH282" s="2483"/>
      <c r="AI282" s="2483"/>
      <c r="AJ282" s="2483"/>
      <c r="AK282" s="550"/>
      <c r="AL282" s="550"/>
      <c r="AM282" s="550"/>
    </row>
    <row r="283" spans="1:52" ht="13.8"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90">
        <f>IF($C$278="yes",10,0)</f>
        <v>10</v>
      </c>
      <c r="AL285" s="2490"/>
      <c r="AM285" s="249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11" t="s">
        <v>1382</v>
      </c>
      <c r="B292" s="1611"/>
      <c r="C292" s="2478" t="s">
        <v>591</v>
      </c>
      <c r="D292" s="2482"/>
      <c r="E292" s="547"/>
      <c r="F292" s="2510" t="s">
        <v>1383</v>
      </c>
      <c r="G292" s="2511"/>
      <c r="H292" s="2511"/>
      <c r="I292" s="2511"/>
      <c r="J292" s="2511"/>
      <c r="K292" s="2511"/>
      <c r="L292" s="2511"/>
      <c r="M292" s="2511"/>
      <c r="N292" s="2511"/>
      <c r="O292" s="2511"/>
      <c r="P292" s="2511"/>
      <c r="Q292" s="2511"/>
      <c r="R292" s="2511"/>
      <c r="S292" s="2511"/>
      <c r="T292" s="2511"/>
      <c r="U292" s="2511"/>
      <c r="V292" s="2511"/>
      <c r="W292" s="2511"/>
      <c r="X292" s="2511"/>
      <c r="Y292" s="2511"/>
      <c r="Z292" s="2511"/>
      <c r="AA292" s="2511"/>
      <c r="AB292" s="2511"/>
      <c r="AC292" s="2511"/>
      <c r="AD292" s="2512"/>
      <c r="AE292" s="642"/>
      <c r="AF292" s="550"/>
      <c r="AG292" s="2513" t="s">
        <v>2017</v>
      </c>
      <c r="AH292" s="2513"/>
      <c r="AI292" s="2513"/>
      <c r="AJ292" s="2513"/>
      <c r="AK292" s="2513"/>
      <c r="AL292" s="550"/>
      <c r="AM292" s="550"/>
      <c r="AN292" s="73"/>
      <c r="AO292" s="14"/>
      <c r="AP292" s="30"/>
      <c r="AS292" s="570"/>
      <c r="AT292" s="570"/>
      <c r="AU292" s="570"/>
      <c r="AV292" s="32"/>
      <c r="AW292" s="32"/>
    </row>
    <row r="293" spans="1:49">
      <c r="A293" s="640"/>
      <c r="B293" s="596"/>
      <c r="F293" s="2504"/>
      <c r="G293" s="2505"/>
      <c r="H293" s="2505"/>
      <c r="I293" s="2505"/>
      <c r="J293" s="2505"/>
      <c r="K293" s="2505"/>
      <c r="L293" s="2505"/>
      <c r="M293" s="2505"/>
      <c r="N293" s="2505"/>
      <c r="O293" s="2505"/>
      <c r="P293" s="2505"/>
      <c r="Q293" s="2505"/>
      <c r="R293" s="2505"/>
      <c r="S293" s="2505"/>
      <c r="T293" s="2505"/>
      <c r="U293" s="2505"/>
      <c r="V293" s="2505"/>
      <c r="W293" s="2505"/>
      <c r="X293" s="2505"/>
      <c r="Y293" s="2505"/>
      <c r="Z293" s="2505"/>
      <c r="AA293" s="2505"/>
      <c r="AB293" s="2505"/>
      <c r="AC293" s="2505"/>
      <c r="AD293" s="250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4"/>
      <c r="G294" s="2505"/>
      <c r="H294" s="2505"/>
      <c r="I294" s="2505"/>
      <c r="J294" s="2505"/>
      <c r="K294" s="2505"/>
      <c r="L294" s="2505"/>
      <c r="M294" s="2505"/>
      <c r="N294" s="2505"/>
      <c r="O294" s="2505"/>
      <c r="P294" s="2505"/>
      <c r="Q294" s="2505"/>
      <c r="R294" s="2505"/>
      <c r="S294" s="2505"/>
      <c r="T294" s="2505"/>
      <c r="U294" s="2505"/>
      <c r="V294" s="2505"/>
      <c r="W294" s="2505"/>
      <c r="X294" s="2505"/>
      <c r="Y294" s="2505"/>
      <c r="Z294" s="2505"/>
      <c r="AA294" s="2505"/>
      <c r="AB294" s="2505"/>
      <c r="AC294" s="2505"/>
      <c r="AD294" s="250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4" t="s">
        <v>2025</v>
      </c>
      <c r="G295" s="2505"/>
      <c r="H295" s="2505"/>
      <c r="I295" s="2505"/>
      <c r="J295" s="2505"/>
      <c r="K295" s="2505"/>
      <c r="L295" s="2505"/>
      <c r="M295" s="2505"/>
      <c r="N295" s="2505"/>
      <c r="O295" s="2505"/>
      <c r="P295" s="2505"/>
      <c r="Q295" s="2505"/>
      <c r="R295" s="2505"/>
      <c r="S295" s="2505"/>
      <c r="T295" s="2505"/>
      <c r="U295" s="2505"/>
      <c r="V295" s="2505"/>
      <c r="W295" s="2505"/>
      <c r="X295" s="2505"/>
      <c r="Y295" s="2505"/>
      <c r="Z295" s="2505"/>
      <c r="AA295" s="2505"/>
      <c r="AB295" s="2505"/>
      <c r="AC295" s="2505"/>
      <c r="AD295" s="2506"/>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04"/>
      <c r="G296" s="2505"/>
      <c r="H296" s="2505"/>
      <c r="I296" s="2505"/>
      <c r="J296" s="2505"/>
      <c r="K296" s="2505"/>
      <c r="L296" s="2505"/>
      <c r="M296" s="2505"/>
      <c r="N296" s="2505"/>
      <c r="O296" s="2505"/>
      <c r="P296" s="2505"/>
      <c r="Q296" s="2505"/>
      <c r="R296" s="2505"/>
      <c r="S296" s="2505"/>
      <c r="T296" s="2505"/>
      <c r="U296" s="2505"/>
      <c r="V296" s="2505"/>
      <c r="W296" s="2505"/>
      <c r="X296" s="2505"/>
      <c r="Y296" s="2505"/>
      <c r="Z296" s="2505"/>
      <c r="AA296" s="2505"/>
      <c r="AB296" s="2505"/>
      <c r="AC296" s="2505"/>
      <c r="AD296" s="250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4" t="s">
        <v>1384</v>
      </c>
      <c r="G297" s="2505"/>
      <c r="H297" s="2505"/>
      <c r="I297" s="2505"/>
      <c r="J297" s="2505"/>
      <c r="K297" s="2505"/>
      <c r="L297" s="2505"/>
      <c r="M297" s="2505"/>
      <c r="N297" s="2505"/>
      <c r="O297" s="2505"/>
      <c r="P297" s="2505"/>
      <c r="Q297" s="2505"/>
      <c r="R297" s="2505"/>
      <c r="S297" s="2505"/>
      <c r="T297" s="2505"/>
      <c r="U297" s="2505"/>
      <c r="V297" s="2505"/>
      <c r="W297" s="2505"/>
      <c r="X297" s="2505"/>
      <c r="Y297" s="2505"/>
      <c r="Z297" s="2505"/>
      <c r="AA297" s="2505"/>
      <c r="AB297" s="2505"/>
      <c r="AC297" s="2505"/>
      <c r="AD297" s="250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4"/>
      <c r="G298" s="2505"/>
      <c r="H298" s="2505"/>
      <c r="I298" s="2505"/>
      <c r="J298" s="2505"/>
      <c r="K298" s="2505"/>
      <c r="L298" s="2505"/>
      <c r="M298" s="2505"/>
      <c r="N298" s="2505"/>
      <c r="O298" s="2505"/>
      <c r="P298" s="2505"/>
      <c r="Q298" s="2505"/>
      <c r="R298" s="2505"/>
      <c r="S298" s="2505"/>
      <c r="T298" s="2505"/>
      <c r="U298" s="2505"/>
      <c r="V298" s="2505"/>
      <c r="W298" s="2505"/>
      <c r="X298" s="2505"/>
      <c r="Y298" s="2505"/>
      <c r="Z298" s="2505"/>
      <c r="AA298" s="2505"/>
      <c r="AB298" s="2505"/>
      <c r="AC298" s="2505"/>
      <c r="AD298" s="250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4" t="s">
        <v>1385</v>
      </c>
      <c r="G299" s="2505"/>
      <c r="H299" s="2505"/>
      <c r="I299" s="2505"/>
      <c r="J299" s="2505"/>
      <c r="K299" s="2505"/>
      <c r="L299" s="2505"/>
      <c r="M299" s="2505"/>
      <c r="N299" s="2505"/>
      <c r="O299" s="2505"/>
      <c r="P299" s="2505"/>
      <c r="Q299" s="2505"/>
      <c r="R299" s="2505"/>
      <c r="S299" s="2505"/>
      <c r="T299" s="2505"/>
      <c r="U299" s="2505"/>
      <c r="V299" s="2505"/>
      <c r="W299" s="2505"/>
      <c r="X299" s="2505"/>
      <c r="Y299" s="2505"/>
      <c r="Z299" s="2505"/>
      <c r="AA299" s="2505"/>
      <c r="AB299" s="2505"/>
      <c r="AC299" s="2505"/>
      <c r="AD299" s="250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7"/>
      <c r="G300" s="2508"/>
      <c r="H300" s="2508"/>
      <c r="I300" s="2508"/>
      <c r="J300" s="2508"/>
      <c r="K300" s="2508"/>
      <c r="L300" s="2508"/>
      <c r="M300" s="2508"/>
      <c r="N300" s="2508"/>
      <c r="O300" s="2508"/>
      <c r="P300" s="2508"/>
      <c r="Q300" s="2508"/>
      <c r="R300" s="2508"/>
      <c r="S300" s="2508"/>
      <c r="T300" s="2508"/>
      <c r="U300" s="2508"/>
      <c r="V300" s="2508"/>
      <c r="W300" s="2508"/>
      <c r="X300" s="2508"/>
      <c r="Y300" s="2508"/>
      <c r="Z300" s="2508"/>
      <c r="AA300" s="2508"/>
      <c r="AB300" s="2508"/>
      <c r="AC300" s="2508"/>
      <c r="AD300" s="250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11" t="s">
        <v>1386</v>
      </c>
      <c r="B302" s="1611"/>
      <c r="C302" s="2482" t="s">
        <v>545</v>
      </c>
      <c r="D302" s="2482"/>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12" t="s">
        <v>2019</v>
      </c>
      <c r="G303" s="2413"/>
      <c r="H303" s="2413"/>
      <c r="I303" s="2413"/>
      <c r="J303" s="2413"/>
      <c r="K303" s="2413"/>
      <c r="L303" s="2413"/>
      <c r="M303" s="2413"/>
      <c r="N303" s="2413"/>
      <c r="O303" s="2413"/>
      <c r="P303" s="2413"/>
      <c r="Q303" s="2413"/>
      <c r="R303" s="2413"/>
      <c r="S303" s="2413"/>
      <c r="T303" s="2413"/>
      <c r="U303" s="2413"/>
      <c r="V303" s="2413"/>
      <c r="W303" s="2413"/>
      <c r="X303" s="2413"/>
      <c r="Y303" s="2413"/>
      <c r="Z303" s="2413"/>
      <c r="AA303" s="2413"/>
      <c r="AB303" s="2413"/>
      <c r="AC303" s="2413"/>
      <c r="AD303" s="2414"/>
      <c r="AE303" s="551"/>
      <c r="AF303" s="551"/>
      <c r="AG303" s="551"/>
      <c r="AH303" s="551"/>
      <c r="AI303" s="551"/>
      <c r="AJ303" s="550"/>
      <c r="AK303" s="550"/>
      <c r="AL303" s="550"/>
      <c r="AM303" s="550"/>
      <c r="AR303" s="648"/>
    </row>
    <row r="304" spans="1:49" ht="15" customHeight="1">
      <c r="A304" s="550"/>
      <c r="B304" s="551"/>
      <c r="C304" s="550"/>
      <c r="D304" s="551"/>
      <c r="E304" s="550"/>
      <c r="F304" s="2412"/>
      <c r="G304" s="2413"/>
      <c r="H304" s="2413"/>
      <c r="I304" s="2413"/>
      <c r="J304" s="2413"/>
      <c r="K304" s="2413"/>
      <c r="L304" s="2413"/>
      <c r="M304" s="2413"/>
      <c r="N304" s="2413"/>
      <c r="O304" s="2413"/>
      <c r="P304" s="2413"/>
      <c r="Q304" s="2413"/>
      <c r="R304" s="2413"/>
      <c r="S304" s="2413"/>
      <c r="T304" s="2413"/>
      <c r="U304" s="2413"/>
      <c r="V304" s="2413"/>
      <c r="W304" s="2413"/>
      <c r="X304" s="2413"/>
      <c r="Y304" s="2413"/>
      <c r="Z304" s="2413"/>
      <c r="AA304" s="2413"/>
      <c r="AB304" s="2413"/>
      <c r="AC304" s="2413"/>
      <c r="AD304" s="2414"/>
      <c r="AE304" s="551"/>
      <c r="AF304" s="551"/>
      <c r="AG304" s="551"/>
      <c r="AH304" s="551"/>
      <c r="AI304" s="551"/>
      <c r="AJ304" s="550"/>
      <c r="AK304" s="550"/>
      <c r="AL304" s="550"/>
      <c r="AM304" s="550"/>
      <c r="AR304" s="648"/>
    </row>
    <row r="305" spans="1:44">
      <c r="A305" s="550"/>
      <c r="B305" s="551"/>
      <c r="C305" s="550"/>
      <c r="D305" s="551"/>
      <c r="E305" s="550"/>
      <c r="F305" s="2412"/>
      <c r="G305" s="2413"/>
      <c r="H305" s="2413"/>
      <c r="I305" s="2413"/>
      <c r="J305" s="2413"/>
      <c r="K305" s="2413"/>
      <c r="L305" s="2413"/>
      <c r="M305" s="2413"/>
      <c r="N305" s="2413"/>
      <c r="O305" s="2413"/>
      <c r="P305" s="2413"/>
      <c r="Q305" s="2413"/>
      <c r="R305" s="2413"/>
      <c r="S305" s="2413"/>
      <c r="T305" s="2413"/>
      <c r="U305" s="2413"/>
      <c r="V305" s="2413"/>
      <c r="W305" s="2413"/>
      <c r="X305" s="2413"/>
      <c r="Y305" s="2413"/>
      <c r="Z305" s="2413"/>
      <c r="AA305" s="2413"/>
      <c r="AB305" s="2413"/>
      <c r="AC305" s="2413"/>
      <c r="AD305" s="241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9"/>
      <c r="G306" s="2410"/>
      <c r="H306" s="2410"/>
      <c r="I306" s="2410"/>
      <c r="J306" s="2410"/>
      <c r="K306" s="2410"/>
      <c r="L306" s="2410"/>
      <c r="M306" s="2410"/>
      <c r="N306" s="2410"/>
      <c r="O306" s="2410"/>
      <c r="P306" s="2410"/>
      <c r="Q306" s="2410"/>
      <c r="R306" s="2410"/>
      <c r="S306" s="2410"/>
      <c r="T306" s="2410"/>
      <c r="U306" s="2410"/>
      <c r="V306" s="2410"/>
      <c r="W306" s="2410"/>
      <c r="X306" s="2410"/>
      <c r="Y306" s="2410"/>
      <c r="Z306" s="2410"/>
      <c r="AA306" s="2410"/>
      <c r="AB306" s="2410"/>
      <c r="AC306" s="2410"/>
      <c r="AD306" s="241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11" t="s">
        <v>1389</v>
      </c>
      <c r="B310" s="1611"/>
      <c r="C310" s="2482" t="s">
        <v>591</v>
      </c>
      <c r="D310" s="248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04" t="s">
        <v>2026</v>
      </c>
      <c r="G311" s="2505"/>
      <c r="H311" s="2505"/>
      <c r="I311" s="2505"/>
      <c r="J311" s="2505"/>
      <c r="K311" s="2505"/>
      <c r="L311" s="2505"/>
      <c r="M311" s="2505"/>
      <c r="N311" s="2505"/>
      <c r="O311" s="2505"/>
      <c r="P311" s="2505"/>
      <c r="Q311" s="2505"/>
      <c r="R311" s="2505"/>
      <c r="S311" s="2505"/>
      <c r="T311" s="2505"/>
      <c r="U311" s="2505"/>
      <c r="V311" s="2505"/>
      <c r="W311" s="2505"/>
      <c r="X311" s="2505"/>
      <c r="Y311" s="2505"/>
      <c r="Z311" s="2505"/>
      <c r="AA311" s="2505"/>
      <c r="AB311" s="2505"/>
      <c r="AC311" s="2505"/>
      <c r="AD311" s="2506"/>
      <c r="AE311" s="551"/>
      <c r="AF311" s="551"/>
      <c r="AG311" s="539"/>
      <c r="AH311" s="551"/>
      <c r="AI311" s="551"/>
      <c r="AJ311" s="550"/>
      <c r="AK311" s="550"/>
      <c r="AL311" s="550"/>
      <c r="AM311" s="550"/>
      <c r="AN311" s="73"/>
      <c r="AO311" s="14"/>
      <c r="AP311" s="557" t="s">
        <v>1184</v>
      </c>
    </row>
    <row r="312" spans="1:44" hidden="1">
      <c r="F312" s="2504"/>
      <c r="G312" s="2505"/>
      <c r="H312" s="2505"/>
      <c r="I312" s="2505"/>
      <c r="J312" s="2505"/>
      <c r="K312" s="2505"/>
      <c r="L312" s="2505"/>
      <c r="M312" s="2505"/>
      <c r="N312" s="2505"/>
      <c r="O312" s="2505"/>
      <c r="P312" s="2505"/>
      <c r="Q312" s="2505"/>
      <c r="R312" s="2505"/>
      <c r="S312" s="2505"/>
      <c r="T312" s="2505"/>
      <c r="U312" s="2505"/>
      <c r="V312" s="2505"/>
      <c r="W312" s="2505"/>
      <c r="X312" s="2505"/>
      <c r="Y312" s="2505"/>
      <c r="Z312" s="2505"/>
      <c r="AA312" s="2505"/>
      <c r="AB312" s="2505"/>
      <c r="AC312" s="2505"/>
      <c r="AD312" s="2506"/>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4" t="s">
        <v>1184</v>
      </c>
      <c r="G316" s="2515"/>
      <c r="H316" s="2515"/>
      <c r="I316" s="2515"/>
      <c r="J316" s="2515"/>
      <c r="K316" s="2515"/>
      <c r="L316" s="2515"/>
      <c r="M316" s="2515"/>
      <c r="N316" s="2515"/>
      <c r="O316" s="2515"/>
      <c r="P316" s="2515"/>
      <c r="Q316" s="2515"/>
      <c r="R316" s="2515"/>
      <c r="S316" s="2515"/>
      <c r="T316" s="2515"/>
      <c r="U316" s="2515"/>
      <c r="V316" s="2515"/>
      <c r="W316" s="2515"/>
      <c r="X316" s="2515"/>
      <c r="Y316" s="2515"/>
      <c r="Z316" s="2515"/>
      <c r="AA316" s="2515"/>
      <c r="AB316" s="2515"/>
      <c r="AC316" s="2515"/>
      <c r="AD316" s="2516"/>
      <c r="AE316" s="642"/>
      <c r="AF316" s="642"/>
      <c r="AG316" s="642"/>
      <c r="AH316" s="642"/>
      <c r="AI316" s="642"/>
      <c r="AJ316" s="642"/>
      <c r="AK316" s="642"/>
      <c r="AL316" s="550"/>
      <c r="AM316" s="550"/>
      <c r="AN316" s="73"/>
      <c r="AO316" s="14"/>
      <c r="AP316" s="30"/>
    </row>
    <row r="317" spans="1:44" hidden="1">
      <c r="A317" s="550"/>
      <c r="B317" s="551"/>
      <c r="C317" s="730"/>
      <c r="D317" s="730"/>
      <c r="E317" s="547"/>
      <c r="F317" s="2514"/>
      <c r="G317" s="2515"/>
      <c r="H317" s="2515"/>
      <c r="I317" s="2515"/>
      <c r="J317" s="2515"/>
      <c r="K317" s="2515"/>
      <c r="L317" s="2515"/>
      <c r="M317" s="2515"/>
      <c r="N317" s="2515"/>
      <c r="O317" s="2515"/>
      <c r="P317" s="2515"/>
      <c r="Q317" s="2515"/>
      <c r="R317" s="2515"/>
      <c r="S317" s="2515"/>
      <c r="T317" s="2515"/>
      <c r="U317" s="2515"/>
      <c r="V317" s="2515"/>
      <c r="W317" s="2515"/>
      <c r="X317" s="2515"/>
      <c r="Y317" s="2515"/>
      <c r="Z317" s="2515"/>
      <c r="AA317" s="2515"/>
      <c r="AB317" s="2515"/>
      <c r="AC317" s="2515"/>
      <c r="AD317" s="2516"/>
      <c r="AE317" s="551"/>
      <c r="AF317" s="551"/>
      <c r="AG317" s="539"/>
      <c r="AH317" s="551"/>
      <c r="AI317" s="551"/>
      <c r="AJ317" s="550"/>
      <c r="AK317" s="550"/>
      <c r="AL317" s="550"/>
      <c r="AM317" s="550"/>
      <c r="AN317" s="73"/>
      <c r="AO317" s="14"/>
      <c r="AP317" s="30"/>
    </row>
    <row r="318" spans="1:44" hidden="1">
      <c r="A318" s="550"/>
      <c r="B318" s="551"/>
      <c r="C318" s="730"/>
      <c r="D318" s="730"/>
      <c r="E318" s="547"/>
      <c r="F318" s="2514"/>
      <c r="G318" s="2515"/>
      <c r="H318" s="2515"/>
      <c r="I318" s="2515"/>
      <c r="J318" s="2515"/>
      <c r="K318" s="2515"/>
      <c r="L318" s="2515"/>
      <c r="M318" s="2515"/>
      <c r="N318" s="2515"/>
      <c r="O318" s="2515"/>
      <c r="P318" s="2515"/>
      <c r="Q318" s="2515"/>
      <c r="R318" s="2515"/>
      <c r="S318" s="2515"/>
      <c r="T318" s="2515"/>
      <c r="U318" s="2515"/>
      <c r="V318" s="2515"/>
      <c r="W318" s="2515"/>
      <c r="X318" s="2515"/>
      <c r="Y318" s="2515"/>
      <c r="Z318" s="2515"/>
      <c r="AA318" s="2515"/>
      <c r="AB318" s="2515"/>
      <c r="AC318" s="2515"/>
      <c r="AD318" s="2516"/>
      <c r="AE318" s="551"/>
      <c r="AF318" s="551"/>
      <c r="AG318" s="539"/>
      <c r="AH318" s="551"/>
      <c r="AI318" s="551"/>
      <c r="AJ318" s="550"/>
      <c r="AK318" s="550"/>
      <c r="AL318" s="550"/>
      <c r="AM318" s="550"/>
      <c r="AN318" s="73"/>
      <c r="AO318" s="14"/>
      <c r="AP318" s="30"/>
    </row>
    <row r="319" spans="1:44" hidden="1">
      <c r="A319" s="550"/>
      <c r="B319" s="551"/>
      <c r="C319" s="730"/>
      <c r="D319" s="730"/>
      <c r="E319" s="547"/>
      <c r="F319" s="2514"/>
      <c r="G319" s="2515"/>
      <c r="H319" s="2515"/>
      <c r="I319" s="2515"/>
      <c r="J319" s="2515"/>
      <c r="K319" s="2515"/>
      <c r="L319" s="2515"/>
      <c r="M319" s="2515"/>
      <c r="N319" s="2515"/>
      <c r="O319" s="2515"/>
      <c r="P319" s="2515"/>
      <c r="Q319" s="2515"/>
      <c r="R319" s="2515"/>
      <c r="S319" s="2515"/>
      <c r="T319" s="2515"/>
      <c r="U319" s="2515"/>
      <c r="V319" s="2515"/>
      <c r="W319" s="2515"/>
      <c r="X319" s="2515"/>
      <c r="Y319" s="2515"/>
      <c r="Z319" s="2515"/>
      <c r="AA319" s="2515"/>
      <c r="AB319" s="2515"/>
      <c r="AC319" s="2515"/>
      <c r="AD319" s="2516"/>
      <c r="AE319" s="551"/>
      <c r="AF319" s="551"/>
      <c r="AG319" s="539"/>
      <c r="AH319" s="551"/>
      <c r="AI319" s="551"/>
      <c r="AJ319" s="550"/>
      <c r="AK319" s="550"/>
      <c r="AL319" s="550"/>
      <c r="AM319" s="550"/>
      <c r="AN319" s="73"/>
      <c r="AO319" s="14"/>
      <c r="AP319" s="30"/>
    </row>
    <row r="320" spans="1:44" hidden="1">
      <c r="A320" s="550"/>
      <c r="B320" s="551"/>
      <c r="C320" s="730"/>
      <c r="D320" s="730"/>
      <c r="E320" s="547"/>
      <c r="F320" s="2517"/>
      <c r="G320" s="2518"/>
      <c r="H320" s="2518"/>
      <c r="I320" s="2518"/>
      <c r="J320" s="2518"/>
      <c r="K320" s="2518"/>
      <c r="L320" s="2518"/>
      <c r="M320" s="2518"/>
      <c r="N320" s="2518"/>
      <c r="O320" s="2518"/>
      <c r="P320" s="2518"/>
      <c r="Q320" s="2518"/>
      <c r="R320" s="2518"/>
      <c r="S320" s="2518"/>
      <c r="T320" s="2518"/>
      <c r="U320" s="2518"/>
      <c r="V320" s="2518"/>
      <c r="W320" s="2518"/>
      <c r="X320" s="2518"/>
      <c r="Y320" s="2518"/>
      <c r="Z320" s="2518"/>
      <c r="AA320" s="2518"/>
      <c r="AB320" s="2518"/>
      <c r="AC320" s="2518"/>
      <c r="AD320" s="251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20" t="s">
        <v>1184</v>
      </c>
      <c r="J324" s="2520"/>
      <c r="K324" s="2520"/>
      <c r="L324" s="2520"/>
      <c r="M324" s="2520"/>
      <c r="N324" s="2520"/>
      <c r="O324" s="2520"/>
      <c r="P324" s="2520"/>
      <c r="Q324" s="2520"/>
      <c r="R324" s="2520"/>
      <c r="S324" s="2520"/>
      <c r="T324" s="2520"/>
      <c r="U324" s="2520"/>
      <c r="V324" s="2520"/>
      <c r="W324" s="2520"/>
      <c r="X324" s="2520"/>
      <c r="Y324" s="2520"/>
      <c r="Z324" s="2520"/>
      <c r="AA324" s="2520"/>
      <c r="AB324" s="2520"/>
      <c r="AC324" s="2520"/>
      <c r="AD324" s="252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20"/>
      <c r="J325" s="2520"/>
      <c r="K325" s="2520"/>
      <c r="L325" s="2520"/>
      <c r="M325" s="2520"/>
      <c r="N325" s="2520"/>
      <c r="O325" s="2520"/>
      <c r="P325" s="2520"/>
      <c r="Q325" s="2520"/>
      <c r="R325" s="2520"/>
      <c r="S325" s="2520"/>
      <c r="T325" s="2520"/>
      <c r="U325" s="2520"/>
      <c r="V325" s="2520"/>
      <c r="W325" s="2520"/>
      <c r="X325" s="2520"/>
      <c r="Y325" s="2520"/>
      <c r="Z325" s="2520"/>
      <c r="AA325" s="2520"/>
      <c r="AB325" s="2520"/>
      <c r="AC325" s="2520"/>
      <c r="AD325" s="252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20"/>
      <c r="J326" s="2520"/>
      <c r="K326" s="2520"/>
      <c r="L326" s="2520"/>
      <c r="M326" s="2520"/>
      <c r="N326" s="2520"/>
      <c r="O326" s="2520"/>
      <c r="P326" s="2520"/>
      <c r="Q326" s="2520"/>
      <c r="R326" s="2520"/>
      <c r="S326" s="2520"/>
      <c r="T326" s="2520"/>
      <c r="U326" s="2520"/>
      <c r="V326" s="2520"/>
      <c r="W326" s="2520"/>
      <c r="X326" s="2520"/>
      <c r="Y326" s="2520"/>
      <c r="Z326" s="2520"/>
      <c r="AA326" s="2520"/>
      <c r="AB326" s="2520"/>
      <c r="AC326" s="2520"/>
      <c r="AD326" s="252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22"/>
      <c r="J327" s="2522"/>
      <c r="K327" s="2522"/>
      <c r="L327" s="2522"/>
      <c r="M327" s="2522"/>
      <c r="N327" s="2522"/>
      <c r="O327" s="2522"/>
      <c r="P327" s="2522"/>
      <c r="Q327" s="2522"/>
      <c r="R327" s="2522"/>
      <c r="S327" s="2522"/>
      <c r="T327" s="2522"/>
      <c r="U327" s="2522"/>
      <c r="V327" s="2522"/>
      <c r="W327" s="2522"/>
      <c r="X327" s="2522"/>
      <c r="Y327" s="2522"/>
      <c r="Z327" s="2522"/>
      <c r="AA327" s="2522"/>
      <c r="AB327" s="2522"/>
      <c r="AC327" s="2522"/>
      <c r="AD327" s="252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20" t="s">
        <v>1184</v>
      </c>
      <c r="J329" s="2520"/>
      <c r="K329" s="2520"/>
      <c r="L329" s="2520"/>
      <c r="M329" s="2520"/>
      <c r="N329" s="2520"/>
      <c r="O329" s="2520"/>
      <c r="P329" s="2520"/>
      <c r="Q329" s="2520"/>
      <c r="R329" s="2520"/>
      <c r="S329" s="2520"/>
      <c r="T329" s="2520"/>
      <c r="U329" s="2520"/>
      <c r="V329" s="2520"/>
      <c r="W329" s="2520"/>
      <c r="X329" s="2520"/>
      <c r="Y329" s="2520"/>
      <c r="Z329" s="2520"/>
      <c r="AA329" s="2520"/>
      <c r="AB329" s="2520"/>
      <c r="AC329" s="2520"/>
      <c r="AD329" s="252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20"/>
      <c r="J330" s="2520"/>
      <c r="K330" s="2520"/>
      <c r="L330" s="2520"/>
      <c r="M330" s="2520"/>
      <c r="N330" s="2520"/>
      <c r="O330" s="2520"/>
      <c r="P330" s="2520"/>
      <c r="Q330" s="2520"/>
      <c r="R330" s="2520"/>
      <c r="S330" s="2520"/>
      <c r="T330" s="2520"/>
      <c r="U330" s="2520"/>
      <c r="V330" s="2520"/>
      <c r="W330" s="2520"/>
      <c r="X330" s="2520"/>
      <c r="Y330" s="2520"/>
      <c r="Z330" s="2520"/>
      <c r="AA330" s="2520"/>
      <c r="AB330" s="2520"/>
      <c r="AC330" s="2520"/>
      <c r="AD330" s="2521"/>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22"/>
      <c r="J331" s="2522"/>
      <c r="K331" s="2522"/>
      <c r="L331" s="2522"/>
      <c r="M331" s="2522"/>
      <c r="N331" s="2522"/>
      <c r="O331" s="2522"/>
      <c r="P331" s="2522"/>
      <c r="Q331" s="2522"/>
      <c r="R331" s="2522"/>
      <c r="S331" s="2522"/>
      <c r="T331" s="2522"/>
      <c r="U331" s="2522"/>
      <c r="V331" s="2522"/>
      <c r="W331" s="2522"/>
      <c r="X331" s="2522"/>
      <c r="Y331" s="2522"/>
      <c r="Z331" s="2522"/>
      <c r="AA331" s="2522"/>
      <c r="AB331" s="2522"/>
      <c r="AC331" s="2522"/>
      <c r="AD331" s="252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11" t="s">
        <v>1392</v>
      </c>
      <c r="B333" s="1611"/>
      <c r="C333" s="2482" t="s">
        <v>591</v>
      </c>
      <c r="D333" s="2482"/>
      <c r="E333" s="547"/>
      <c r="F333" s="2406" t="s">
        <v>2027</v>
      </c>
      <c r="G333" s="2407"/>
      <c r="H333" s="2407"/>
      <c r="I333" s="2407"/>
      <c r="J333" s="2407"/>
      <c r="K333" s="2407"/>
      <c r="L333" s="2407"/>
      <c r="M333" s="2407"/>
      <c r="N333" s="2407"/>
      <c r="O333" s="2407"/>
      <c r="P333" s="2407"/>
      <c r="Q333" s="2407"/>
      <c r="R333" s="2407"/>
      <c r="S333" s="2407"/>
      <c r="T333" s="2407"/>
      <c r="U333" s="2407"/>
      <c r="V333" s="2407"/>
      <c r="W333" s="2407"/>
      <c r="X333" s="2407"/>
      <c r="Y333" s="2407"/>
      <c r="Z333" s="2407"/>
      <c r="AA333" s="2407"/>
      <c r="AB333" s="2407"/>
      <c r="AC333" s="2407"/>
      <c r="AD333" s="240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12"/>
      <c r="G334" s="2413"/>
      <c r="H334" s="2413"/>
      <c r="I334" s="2413"/>
      <c r="J334" s="2413"/>
      <c r="K334" s="2413"/>
      <c r="L334" s="2413"/>
      <c r="M334" s="2413"/>
      <c r="N334" s="2413"/>
      <c r="O334" s="2413"/>
      <c r="P334" s="2413"/>
      <c r="Q334" s="2413"/>
      <c r="R334" s="2413"/>
      <c r="S334" s="2413"/>
      <c r="T334" s="2413"/>
      <c r="U334" s="2413"/>
      <c r="V334" s="2413"/>
      <c r="W334" s="2413"/>
      <c r="X334" s="2413"/>
      <c r="Y334" s="2413"/>
      <c r="Z334" s="2413"/>
      <c r="AA334" s="2413"/>
      <c r="AB334" s="2413"/>
      <c r="AC334" s="2413"/>
      <c r="AD334" s="2414"/>
      <c r="AE334" s="551"/>
      <c r="AF334" s="551"/>
      <c r="AG334" s="551"/>
      <c r="AH334" s="551"/>
      <c r="AI334" s="551"/>
      <c r="AJ334" s="550"/>
      <c r="AK334" s="550"/>
      <c r="AL334" s="550"/>
      <c r="AM334" s="550"/>
      <c r="AN334" s="73"/>
      <c r="AO334" s="14"/>
    </row>
    <row r="335" spans="1:42" ht="15" hidden="1" customHeight="1">
      <c r="A335" s="550"/>
      <c r="B335" s="551"/>
      <c r="C335" s="551"/>
      <c r="D335" s="551"/>
      <c r="E335" s="551"/>
      <c r="F335" s="2412"/>
      <c r="G335" s="2413"/>
      <c r="H335" s="2413"/>
      <c r="I335" s="2413"/>
      <c r="J335" s="2413"/>
      <c r="K335" s="2413"/>
      <c r="L335" s="2413"/>
      <c r="M335" s="2413"/>
      <c r="N335" s="2413"/>
      <c r="O335" s="2413"/>
      <c r="P335" s="2413"/>
      <c r="Q335" s="2413"/>
      <c r="R335" s="2413"/>
      <c r="S335" s="2413"/>
      <c r="T335" s="2413"/>
      <c r="U335" s="2413"/>
      <c r="V335" s="2413"/>
      <c r="W335" s="2413"/>
      <c r="X335" s="2413"/>
      <c r="Y335" s="2413"/>
      <c r="Z335" s="2413"/>
      <c r="AA335" s="2413"/>
      <c r="AB335" s="2413"/>
      <c r="AC335" s="2413"/>
      <c r="AD335" s="241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5">
        <f>IF(NOT(OR(Application!M355="Yes",Application!M356="Yes")),0,AP295)</f>
        <v>9</v>
      </c>
      <c r="AL338" s="2486"/>
      <c r="AM338" s="248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5" t="s">
        <v>1314</v>
      </c>
      <c r="AF341" s="2415"/>
      <c r="AG341" s="2415"/>
      <c r="AH341" s="2415"/>
      <c r="AI341" s="2415"/>
      <c r="AJ341" s="2415"/>
      <c r="AK341" s="241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4" t="s">
        <v>1454</v>
      </c>
      <c r="D343" s="2524"/>
      <c r="E343" s="2524"/>
      <c r="F343" s="2524"/>
      <c r="G343" s="2524"/>
      <c r="H343" s="2524"/>
      <c r="I343" s="2524"/>
      <c r="J343" s="2524"/>
      <c r="K343" s="2524"/>
      <c r="L343" s="2524"/>
      <c r="M343" s="2524"/>
      <c r="N343" s="2524"/>
      <c r="O343" s="2524"/>
      <c r="P343" s="2524"/>
      <c r="Q343" s="2524"/>
      <c r="R343" s="2524"/>
      <c r="S343" s="2524"/>
      <c r="T343" s="2524"/>
      <c r="U343" s="2524"/>
      <c r="V343" s="2524"/>
      <c r="W343" s="2524"/>
      <c r="X343" s="2524"/>
      <c r="Y343" s="2524"/>
      <c r="Z343" s="2524"/>
      <c r="AA343" s="2524"/>
      <c r="AB343" s="2524"/>
      <c r="AC343" s="2524"/>
      <c r="AD343" s="2524"/>
      <c r="AE343" s="2524"/>
      <c r="AF343" s="2524"/>
      <c r="AG343" s="2524"/>
      <c r="AH343" s="2524"/>
      <c r="AI343" s="2524"/>
      <c r="AJ343" s="2524"/>
      <c r="AK343" s="603"/>
      <c r="AL343" s="603"/>
      <c r="AM343" s="603"/>
      <c r="AN343" s="597"/>
    </row>
    <row r="344" spans="1:44" s="550" customFormat="1" ht="12.75" customHeight="1">
      <c r="A344" s="603"/>
      <c r="B344" s="611"/>
      <c r="C344" s="2524"/>
      <c r="D344" s="2524"/>
      <c r="E344" s="2524"/>
      <c r="F344" s="2524"/>
      <c r="G344" s="2524"/>
      <c r="H344" s="2524"/>
      <c r="I344" s="2524"/>
      <c r="J344" s="2524"/>
      <c r="K344" s="2524"/>
      <c r="L344" s="2524"/>
      <c r="M344" s="2524"/>
      <c r="N344" s="2524"/>
      <c r="O344" s="2524"/>
      <c r="P344" s="2524"/>
      <c r="Q344" s="2524"/>
      <c r="R344" s="2524"/>
      <c r="S344" s="2524"/>
      <c r="T344" s="2524"/>
      <c r="U344" s="2524"/>
      <c r="V344" s="2524"/>
      <c r="W344" s="2524"/>
      <c r="X344" s="2524"/>
      <c r="Y344" s="2524"/>
      <c r="Z344" s="2524"/>
      <c r="AA344" s="2524"/>
      <c r="AB344" s="2524"/>
      <c r="AC344" s="2524"/>
      <c r="AD344" s="2524"/>
      <c r="AE344" s="2524"/>
      <c r="AF344" s="2524"/>
      <c r="AG344" s="2524"/>
      <c r="AH344" s="2524"/>
      <c r="AI344" s="2524"/>
      <c r="AJ344" s="2524"/>
      <c r="AK344" s="603"/>
      <c r="AL344" s="603"/>
      <c r="AM344" s="603"/>
      <c r="AN344" s="597"/>
    </row>
    <row r="345" spans="1:44" s="550" customFormat="1" ht="12.75" customHeight="1">
      <c r="A345" s="603"/>
      <c r="B345" s="611"/>
      <c r="C345" s="2524"/>
      <c r="D345" s="2524"/>
      <c r="E345" s="2524"/>
      <c r="F345" s="2524"/>
      <c r="G345" s="2524"/>
      <c r="H345" s="2524"/>
      <c r="I345" s="2524"/>
      <c r="J345" s="2524"/>
      <c r="K345" s="2524"/>
      <c r="L345" s="2524"/>
      <c r="M345" s="2524"/>
      <c r="N345" s="2524"/>
      <c r="O345" s="2524"/>
      <c r="P345" s="2524"/>
      <c r="Q345" s="2524"/>
      <c r="R345" s="2524"/>
      <c r="S345" s="2524"/>
      <c r="T345" s="2524"/>
      <c r="U345" s="2524"/>
      <c r="V345" s="2524"/>
      <c r="W345" s="2524"/>
      <c r="X345" s="2524"/>
      <c r="Y345" s="2524"/>
      <c r="Z345" s="2524"/>
      <c r="AA345" s="2524"/>
      <c r="AB345" s="2524"/>
      <c r="AC345" s="2524"/>
      <c r="AD345" s="2524"/>
      <c r="AE345" s="2524"/>
      <c r="AF345" s="2524"/>
      <c r="AG345" s="2524"/>
      <c r="AH345" s="2524"/>
      <c r="AI345" s="2524"/>
      <c r="AJ345" s="2524"/>
      <c r="AK345" s="603"/>
      <c r="AL345" s="603"/>
      <c r="AM345" s="603"/>
      <c r="AN345" s="597"/>
      <c r="AQ345" s="570"/>
    </row>
    <row r="346" spans="1:44" s="550" customFormat="1" ht="12.75" customHeight="1">
      <c r="A346" s="603"/>
      <c r="B346" s="611"/>
      <c r="C346" s="2524"/>
      <c r="D346" s="2524"/>
      <c r="E346" s="2524"/>
      <c r="F346" s="2524"/>
      <c r="G346" s="2524"/>
      <c r="H346" s="2524"/>
      <c r="I346" s="2524"/>
      <c r="J346" s="2524"/>
      <c r="K346" s="2524"/>
      <c r="L346" s="2524"/>
      <c r="M346" s="2524"/>
      <c r="N346" s="2524"/>
      <c r="O346" s="2524"/>
      <c r="P346" s="2524"/>
      <c r="Q346" s="2524"/>
      <c r="R346" s="2524"/>
      <c r="S346" s="2524"/>
      <c r="T346" s="2524"/>
      <c r="U346" s="2524"/>
      <c r="V346" s="2524"/>
      <c r="W346" s="2524"/>
      <c r="X346" s="2524"/>
      <c r="Y346" s="2524"/>
      <c r="Z346" s="2524"/>
      <c r="AA346" s="2524"/>
      <c r="AB346" s="2524"/>
      <c r="AC346" s="2524"/>
      <c r="AD346" s="2524"/>
      <c r="AE346" s="2524"/>
      <c r="AF346" s="2524"/>
      <c r="AG346" s="2524"/>
      <c r="AH346" s="2524"/>
      <c r="AI346" s="2524"/>
      <c r="AJ346" s="2524"/>
      <c r="AK346" s="603"/>
      <c r="AL346" s="603"/>
      <c r="AM346" s="603"/>
      <c r="AN346" s="597"/>
      <c r="AQ346" s="570"/>
    </row>
    <row r="347" spans="1:44" s="550" customFormat="1" ht="12.45" customHeight="1">
      <c r="A347" s="603"/>
      <c r="B347" s="611"/>
      <c r="C347" s="2524"/>
      <c r="D347" s="2524"/>
      <c r="E347" s="2524"/>
      <c r="F347" s="2524"/>
      <c r="G347" s="2524"/>
      <c r="H347" s="2524"/>
      <c r="I347" s="2524"/>
      <c r="J347" s="2524"/>
      <c r="K347" s="2524"/>
      <c r="L347" s="2524"/>
      <c r="M347" s="2524"/>
      <c r="N347" s="2524"/>
      <c r="O347" s="2524"/>
      <c r="P347" s="2524"/>
      <c r="Q347" s="2524"/>
      <c r="R347" s="2524"/>
      <c r="S347" s="2524"/>
      <c r="T347" s="2524"/>
      <c r="U347" s="2524"/>
      <c r="V347" s="2524"/>
      <c r="W347" s="2524"/>
      <c r="X347" s="2524"/>
      <c r="Y347" s="2524"/>
      <c r="Z347" s="2524"/>
      <c r="AA347" s="2524"/>
      <c r="AB347" s="2524"/>
      <c r="AC347" s="2524"/>
      <c r="AD347" s="2524"/>
      <c r="AE347" s="2524"/>
      <c r="AF347" s="2524"/>
      <c r="AG347" s="2524"/>
      <c r="AH347" s="2524"/>
      <c r="AI347" s="2524"/>
      <c r="AJ347" s="2524"/>
      <c r="AK347" s="603"/>
      <c r="AL347" s="603"/>
      <c r="AM347" s="603"/>
      <c r="AN347" s="597"/>
      <c r="AQ347" s="570"/>
      <c r="AR347" s="570"/>
    </row>
    <row r="348" spans="1:44" s="550" customFormat="1" ht="45.75" customHeight="1">
      <c r="A348" s="603"/>
      <c r="B348" s="611"/>
      <c r="C348" s="2524" t="s">
        <v>2092</v>
      </c>
      <c r="D348" s="2524"/>
      <c r="E348" s="2524"/>
      <c r="F348" s="2524"/>
      <c r="G348" s="2524"/>
      <c r="H348" s="2524"/>
      <c r="I348" s="2524"/>
      <c r="J348" s="2524"/>
      <c r="K348" s="2524"/>
      <c r="L348" s="2524"/>
      <c r="M348" s="2524"/>
      <c r="N348" s="2524"/>
      <c r="O348" s="2524"/>
      <c r="P348" s="2524"/>
      <c r="Q348" s="2524"/>
      <c r="R348" s="2524"/>
      <c r="S348" s="2524"/>
      <c r="T348" s="2524"/>
      <c r="U348" s="2524"/>
      <c r="V348" s="2524"/>
      <c r="W348" s="2524"/>
      <c r="X348" s="2524"/>
      <c r="Y348" s="2524"/>
      <c r="Z348" s="2524"/>
      <c r="AA348" s="2524"/>
      <c r="AB348" s="2524"/>
      <c r="AC348" s="2524"/>
      <c r="AD348" s="2524"/>
      <c r="AE348" s="2524"/>
      <c r="AF348" s="2524"/>
      <c r="AG348" s="2524"/>
      <c r="AH348" s="2524"/>
      <c r="AI348" s="2524"/>
      <c r="AJ348" s="2524"/>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4" t="s">
        <v>2207</v>
      </c>
      <c r="D350" s="2524"/>
      <c r="E350" s="2524"/>
      <c r="F350" s="2524"/>
      <c r="G350" s="2524"/>
      <c r="H350" s="2524"/>
      <c r="I350" s="2524"/>
      <c r="J350" s="2524"/>
      <c r="K350" s="2524"/>
      <c r="L350" s="2524"/>
      <c r="M350" s="2524"/>
      <c r="N350" s="2524"/>
      <c r="O350" s="2524"/>
      <c r="P350" s="2524"/>
      <c r="Q350" s="2524"/>
      <c r="R350" s="2524"/>
      <c r="S350" s="2524"/>
      <c r="T350" s="2524"/>
      <c r="U350" s="2524"/>
      <c r="V350" s="2524"/>
      <c r="W350" s="2524"/>
      <c r="X350" s="2524"/>
      <c r="Y350" s="2524"/>
      <c r="Z350" s="2524"/>
      <c r="AA350" s="2524"/>
      <c r="AB350" s="2524"/>
      <c r="AC350" s="2524"/>
      <c r="AD350" s="2524"/>
      <c r="AE350" s="2524"/>
      <c r="AF350" s="2524"/>
      <c r="AG350" s="2524"/>
      <c r="AH350" s="2524"/>
      <c r="AI350" s="2524"/>
      <c r="AJ350" s="2524"/>
      <c r="AK350" s="603"/>
      <c r="AL350" s="603"/>
      <c r="AM350" s="603"/>
      <c r="AN350" s="597"/>
      <c r="AQ350" s="570"/>
      <c r="AR350" s="570"/>
    </row>
    <row r="351" spans="1:44" s="550" customFormat="1" ht="30" customHeight="1">
      <c r="A351" s="603"/>
      <c r="B351" s="611"/>
      <c r="C351" s="2524"/>
      <c r="D351" s="2524"/>
      <c r="E351" s="2524"/>
      <c r="F351" s="2524"/>
      <c r="G351" s="2524"/>
      <c r="H351" s="2524"/>
      <c r="I351" s="2524"/>
      <c r="J351" s="2524"/>
      <c r="K351" s="2524"/>
      <c r="L351" s="2524"/>
      <c r="M351" s="2524"/>
      <c r="N351" s="2524"/>
      <c r="O351" s="2524"/>
      <c r="P351" s="2524"/>
      <c r="Q351" s="2524"/>
      <c r="R351" s="2524"/>
      <c r="S351" s="2524"/>
      <c r="T351" s="2524"/>
      <c r="U351" s="2524"/>
      <c r="V351" s="2524"/>
      <c r="W351" s="2524"/>
      <c r="X351" s="2524"/>
      <c r="Y351" s="2524"/>
      <c r="Z351" s="2524"/>
      <c r="AA351" s="2524"/>
      <c r="AB351" s="2524"/>
      <c r="AC351" s="2524"/>
      <c r="AD351" s="2524"/>
      <c r="AE351" s="2524"/>
      <c r="AF351" s="2524"/>
      <c r="AG351" s="2524"/>
      <c r="AH351" s="2524"/>
      <c r="AI351" s="2524"/>
      <c r="AJ351" s="2524"/>
      <c r="AK351" s="603"/>
      <c r="AL351" s="603"/>
      <c r="AM351" s="603"/>
      <c r="AN351" s="597"/>
      <c r="AR351" s="570"/>
    </row>
    <row r="352" spans="1:44" s="550" customFormat="1" ht="12.75" customHeight="1">
      <c r="A352" s="603"/>
      <c r="B352" s="611"/>
      <c r="C352" s="2524"/>
      <c r="D352" s="2524"/>
      <c r="E352" s="2524"/>
      <c r="F352" s="2524"/>
      <c r="G352" s="2524"/>
      <c r="H352" s="2524"/>
      <c r="I352" s="2524"/>
      <c r="J352" s="2524"/>
      <c r="K352" s="2524"/>
      <c r="L352" s="2524"/>
      <c r="M352" s="2524"/>
      <c r="N352" s="2524"/>
      <c r="O352" s="2524"/>
      <c r="P352" s="2524"/>
      <c r="Q352" s="2524"/>
      <c r="R352" s="2524"/>
      <c r="S352" s="2524"/>
      <c r="T352" s="2524"/>
      <c r="U352" s="2524"/>
      <c r="V352" s="2524"/>
      <c r="W352" s="2524"/>
      <c r="X352" s="2524"/>
      <c r="Y352" s="2524"/>
      <c r="Z352" s="2524"/>
      <c r="AA352" s="2524"/>
      <c r="AB352" s="2524"/>
      <c r="AC352" s="2524"/>
      <c r="AD352" s="2524"/>
      <c r="AE352" s="2524"/>
      <c r="AF352" s="2524"/>
      <c r="AG352" s="2524"/>
      <c r="AH352" s="2524"/>
      <c r="AI352" s="2524"/>
      <c r="AJ352" s="2524"/>
      <c r="AK352" s="603"/>
      <c r="AL352" s="603"/>
      <c r="AM352" s="603"/>
      <c r="AN352" s="597"/>
      <c r="AR352" s="570"/>
    </row>
    <row r="353" spans="1:46" s="550" customFormat="1" ht="12.75" customHeight="1">
      <c r="A353" s="603"/>
      <c r="B353" s="611"/>
      <c r="C353" s="2524" t="s">
        <v>1455</v>
      </c>
      <c r="D353" s="2524"/>
      <c r="E353" s="2524"/>
      <c r="F353" s="2524"/>
      <c r="G353" s="2524"/>
      <c r="H353" s="2524"/>
      <c r="I353" s="2524"/>
      <c r="J353" s="2524"/>
      <c r="K353" s="2524"/>
      <c r="L353" s="2524"/>
      <c r="M353" s="2524"/>
      <c r="N353" s="2524"/>
      <c r="O353" s="2524"/>
      <c r="P353" s="2524"/>
      <c r="Q353" s="2524"/>
      <c r="R353" s="2524"/>
      <c r="S353" s="2524"/>
      <c r="T353" s="2524"/>
      <c r="U353" s="2524"/>
      <c r="V353" s="2524"/>
      <c r="W353" s="2524"/>
      <c r="X353" s="2524"/>
      <c r="Y353" s="2524"/>
      <c r="Z353" s="2524"/>
      <c r="AA353" s="2524"/>
      <c r="AB353" s="2524"/>
      <c r="AC353" s="2524"/>
      <c r="AD353" s="2524"/>
      <c r="AE353" s="2524"/>
      <c r="AF353" s="2524"/>
      <c r="AG353" s="2524"/>
      <c r="AH353" s="2524"/>
      <c r="AI353" s="2524"/>
      <c r="AJ353" s="2524"/>
      <c r="AK353" s="603"/>
      <c r="AL353" s="603"/>
      <c r="AM353" s="603"/>
      <c r="AN353" s="597"/>
      <c r="AQ353" s="570"/>
      <c r="AR353" s="570"/>
    </row>
    <row r="354" spans="1:46" s="550" customFormat="1" ht="12.75" customHeight="1">
      <c r="A354" s="603"/>
      <c r="B354" s="611"/>
      <c r="C354" s="2524"/>
      <c r="D354" s="2524"/>
      <c r="E354" s="2524"/>
      <c r="F354" s="2524"/>
      <c r="G354" s="2524"/>
      <c r="H354" s="2524"/>
      <c r="I354" s="2524"/>
      <c r="J354" s="2524"/>
      <c r="K354" s="2524"/>
      <c r="L354" s="2524"/>
      <c r="M354" s="2524"/>
      <c r="N354" s="2524"/>
      <c r="O354" s="2524"/>
      <c r="P354" s="2524"/>
      <c r="Q354" s="2524"/>
      <c r="R354" s="2524"/>
      <c r="S354" s="2524"/>
      <c r="T354" s="2524"/>
      <c r="U354" s="2524"/>
      <c r="V354" s="2524"/>
      <c r="W354" s="2524"/>
      <c r="X354" s="2524"/>
      <c r="Y354" s="2524"/>
      <c r="Z354" s="2524"/>
      <c r="AA354" s="2524"/>
      <c r="AB354" s="2524"/>
      <c r="AC354" s="2524"/>
      <c r="AD354" s="2524"/>
      <c r="AE354" s="2524"/>
      <c r="AF354" s="2524"/>
      <c r="AG354" s="2524"/>
      <c r="AH354" s="2524"/>
      <c r="AI354" s="2524"/>
      <c r="AJ354" s="2524"/>
      <c r="AK354" s="603"/>
      <c r="AL354" s="603"/>
      <c r="AM354" s="603"/>
      <c r="AN354" s="597"/>
      <c r="AQ354" s="570"/>
      <c r="AR354" s="570"/>
    </row>
    <row r="355" spans="1:46" s="550" customFormat="1" ht="13.2" customHeight="1">
      <c r="A355" s="603"/>
      <c r="B355" s="611"/>
      <c r="C355" s="2524"/>
      <c r="D355" s="2524"/>
      <c r="E355" s="2524"/>
      <c r="F355" s="2524"/>
      <c r="G355" s="2524"/>
      <c r="H355" s="2524"/>
      <c r="I355" s="2524"/>
      <c r="J355" s="2524"/>
      <c r="K355" s="2524"/>
      <c r="L355" s="2524"/>
      <c r="M355" s="2524"/>
      <c r="N355" s="2524"/>
      <c r="O355" s="2524"/>
      <c r="P355" s="2524"/>
      <c r="Q355" s="2524"/>
      <c r="R355" s="2524"/>
      <c r="S355" s="2524"/>
      <c r="T355" s="2524"/>
      <c r="U355" s="2524"/>
      <c r="V355" s="2524"/>
      <c r="W355" s="2524"/>
      <c r="X355" s="2524"/>
      <c r="Y355" s="2524"/>
      <c r="Z355" s="2524"/>
      <c r="AA355" s="2524"/>
      <c r="AB355" s="2524"/>
      <c r="AC355" s="2524"/>
      <c r="AD355" s="2524"/>
      <c r="AE355" s="2524"/>
      <c r="AF355" s="2524"/>
      <c r="AG355" s="2524"/>
      <c r="AH355" s="2524"/>
      <c r="AI355" s="2524"/>
      <c r="AJ355" s="2524"/>
      <c r="AK355" s="603"/>
      <c r="AL355" s="603"/>
      <c r="AM355" s="603"/>
      <c r="AN355" s="597"/>
      <c r="AQ355" s="570"/>
      <c r="AR355" s="570"/>
    </row>
    <row r="356" spans="1:46" s="550" customFormat="1" ht="12.75" customHeight="1">
      <c r="A356" s="603"/>
      <c r="B356" s="611"/>
      <c r="C356" s="2524"/>
      <c r="D356" s="2524"/>
      <c r="E356" s="2524"/>
      <c r="F356" s="2524"/>
      <c r="G356" s="2524"/>
      <c r="H356" s="2524"/>
      <c r="I356" s="2524"/>
      <c r="J356" s="2524"/>
      <c r="K356" s="2524"/>
      <c r="L356" s="2524"/>
      <c r="M356" s="2524"/>
      <c r="N356" s="2524"/>
      <c r="O356" s="2524"/>
      <c r="P356" s="2524"/>
      <c r="Q356" s="2524"/>
      <c r="R356" s="2524"/>
      <c r="S356" s="2524"/>
      <c r="T356" s="2524"/>
      <c r="U356" s="2524"/>
      <c r="V356" s="2524"/>
      <c r="W356" s="2524"/>
      <c r="X356" s="2524"/>
      <c r="Y356" s="2524"/>
      <c r="Z356" s="2524"/>
      <c r="AA356" s="2524"/>
      <c r="AB356" s="2524"/>
      <c r="AC356" s="2524"/>
      <c r="AD356" s="2524"/>
      <c r="AE356" s="2524"/>
      <c r="AF356" s="2524"/>
      <c r="AG356" s="2524"/>
      <c r="AH356" s="2524"/>
      <c r="AI356" s="2524"/>
      <c r="AJ356" s="2524"/>
      <c r="AK356" s="603"/>
      <c r="AL356" s="603"/>
      <c r="AM356" s="603"/>
      <c r="AN356" s="597"/>
      <c r="AO356" s="694"/>
      <c r="AP356" s="694"/>
      <c r="AQ356" s="570"/>
    </row>
    <row r="357" spans="1:46" s="550" customFormat="1" ht="11.85" customHeight="1">
      <c r="A357" s="603"/>
      <c r="B357" s="611"/>
      <c r="C357" s="2524"/>
      <c r="D357" s="2524"/>
      <c r="E357" s="2524"/>
      <c r="F357" s="2524"/>
      <c r="G357" s="2524"/>
      <c r="H357" s="2524"/>
      <c r="I357" s="2524"/>
      <c r="J357" s="2524"/>
      <c r="K357" s="2524"/>
      <c r="L357" s="2524"/>
      <c r="M357" s="2524"/>
      <c r="N357" s="2524"/>
      <c r="O357" s="2524"/>
      <c r="P357" s="2524"/>
      <c r="Q357" s="2524"/>
      <c r="R357" s="2524"/>
      <c r="S357" s="2524"/>
      <c r="T357" s="2524"/>
      <c r="U357" s="2524"/>
      <c r="V357" s="2524"/>
      <c r="W357" s="2524"/>
      <c r="X357" s="2524"/>
      <c r="Y357" s="2524"/>
      <c r="Z357" s="2524"/>
      <c r="AA357" s="2524"/>
      <c r="AB357" s="2524"/>
      <c r="AC357" s="2524"/>
      <c r="AD357" s="2524"/>
      <c r="AE357" s="2524"/>
      <c r="AF357" s="2524"/>
      <c r="AG357" s="2524"/>
      <c r="AH357" s="2524"/>
      <c r="AI357" s="2524"/>
      <c r="AJ357" s="2524"/>
      <c r="AK357" s="603"/>
      <c r="AL357" s="603"/>
      <c r="AM357" s="603"/>
      <c r="AN357" s="597"/>
      <c r="AO357" s="695" t="s">
        <v>112</v>
      </c>
      <c r="AP357" s="696">
        <f>IF(C381="Yes",5,0)</f>
        <v>0</v>
      </c>
      <c r="AS357" s="539" t="s">
        <v>1456</v>
      </c>
    </row>
    <row r="358" spans="1:46" s="550" customFormat="1" ht="12.75" customHeight="1">
      <c r="A358" s="603"/>
      <c r="B358" s="611"/>
      <c r="C358" s="2524"/>
      <c r="D358" s="2524"/>
      <c r="E358" s="2524"/>
      <c r="F358" s="2524"/>
      <c r="G358" s="2524"/>
      <c r="H358" s="2524"/>
      <c r="I358" s="2524"/>
      <c r="J358" s="2524"/>
      <c r="K358" s="2524"/>
      <c r="L358" s="2524"/>
      <c r="M358" s="2524"/>
      <c r="N358" s="2524"/>
      <c r="O358" s="2524"/>
      <c r="P358" s="2524"/>
      <c r="Q358" s="2524"/>
      <c r="R358" s="2524"/>
      <c r="S358" s="2524"/>
      <c r="T358" s="2524"/>
      <c r="U358" s="2524"/>
      <c r="V358" s="2524"/>
      <c r="W358" s="2524"/>
      <c r="X358" s="2524"/>
      <c r="Y358" s="2524"/>
      <c r="Z358" s="2524"/>
      <c r="AA358" s="2524"/>
      <c r="AB358" s="2524"/>
      <c r="AC358" s="2524"/>
      <c r="AD358" s="2524"/>
      <c r="AE358" s="2524"/>
      <c r="AF358" s="2524"/>
      <c r="AG358" s="2524"/>
      <c r="AH358" s="2524"/>
      <c r="AI358" s="2524"/>
      <c r="AJ358" s="2524"/>
      <c r="AK358" s="603"/>
      <c r="AL358" s="603"/>
      <c r="AM358" s="603"/>
      <c r="AN358" s="597"/>
      <c r="AO358" s="695" t="s">
        <v>113</v>
      </c>
      <c r="AP358" s="696">
        <f>IF(C389="Yes",5,0)</f>
        <v>0</v>
      </c>
      <c r="AS358" s="2545">
        <f>IF(Application!D211="Non-Targeted",(SUM(AQ366+AQ375)),AS362)</f>
        <v>10</v>
      </c>
      <c r="AT358" s="2545"/>
    </row>
    <row r="359" spans="1:46" s="550" customFormat="1" ht="12.75" customHeight="1">
      <c r="A359" s="603"/>
      <c r="B359" s="611"/>
      <c r="C359" s="2524"/>
      <c r="D359" s="2524"/>
      <c r="E359" s="2524"/>
      <c r="F359" s="2524"/>
      <c r="G359" s="2524"/>
      <c r="H359" s="2524"/>
      <c r="I359" s="2524"/>
      <c r="J359" s="2524"/>
      <c r="K359" s="2524"/>
      <c r="L359" s="2524"/>
      <c r="M359" s="2524"/>
      <c r="N359" s="2524"/>
      <c r="O359" s="2524"/>
      <c r="P359" s="2524"/>
      <c r="Q359" s="2524"/>
      <c r="R359" s="2524"/>
      <c r="S359" s="2524"/>
      <c r="T359" s="2524"/>
      <c r="U359" s="2524"/>
      <c r="V359" s="2524"/>
      <c r="W359" s="2524"/>
      <c r="X359" s="2524"/>
      <c r="Y359" s="2524"/>
      <c r="Z359" s="2524"/>
      <c r="AA359" s="2524"/>
      <c r="AB359" s="2524"/>
      <c r="AC359" s="2524"/>
      <c r="AD359" s="2524"/>
      <c r="AE359" s="2524"/>
      <c r="AF359" s="2524"/>
      <c r="AG359" s="2524"/>
      <c r="AH359" s="2524"/>
      <c r="AI359" s="2524"/>
      <c r="AJ359" s="2524"/>
      <c r="AK359" s="603"/>
      <c r="AL359" s="603"/>
      <c r="AM359" s="603"/>
      <c r="AN359" s="597"/>
      <c r="AO359" s="695" t="s">
        <v>119</v>
      </c>
      <c r="AP359" s="696">
        <f>IF(C397="Yes",7,0)</f>
        <v>7</v>
      </c>
      <c r="AS359" s="539" t="s">
        <v>1457</v>
      </c>
    </row>
    <row r="360" spans="1:46" s="550" customFormat="1" ht="12.75" customHeight="1">
      <c r="A360" s="603"/>
      <c r="B360" s="611"/>
      <c r="C360" s="2524"/>
      <c r="D360" s="2524"/>
      <c r="E360" s="2524"/>
      <c r="F360" s="2524"/>
      <c r="G360" s="2524"/>
      <c r="H360" s="2524"/>
      <c r="I360" s="2524"/>
      <c r="J360" s="2524"/>
      <c r="K360" s="2524"/>
      <c r="L360" s="2524"/>
      <c r="M360" s="2524"/>
      <c r="N360" s="2524"/>
      <c r="O360" s="2524"/>
      <c r="P360" s="2524"/>
      <c r="Q360" s="2524"/>
      <c r="R360" s="2524"/>
      <c r="S360" s="2524"/>
      <c r="T360" s="2524"/>
      <c r="U360" s="2524"/>
      <c r="V360" s="2524"/>
      <c r="W360" s="2524"/>
      <c r="X360" s="2524"/>
      <c r="Y360" s="2524"/>
      <c r="Z360" s="2524"/>
      <c r="AA360" s="2524"/>
      <c r="AB360" s="2524"/>
      <c r="AC360" s="2524"/>
      <c r="AD360" s="2524"/>
      <c r="AE360" s="2524"/>
      <c r="AF360" s="2524"/>
      <c r="AG360" s="2524"/>
      <c r="AH360" s="2524"/>
      <c r="AI360" s="2524"/>
      <c r="AJ360" s="2524"/>
      <c r="AK360" s="603"/>
      <c r="AL360" s="603"/>
      <c r="AM360" s="603"/>
      <c r="AN360" s="597"/>
      <c r="AO360" s="597"/>
      <c r="AP360" s="696">
        <f>IF(C399="Yes",5,0)</f>
        <v>0</v>
      </c>
      <c r="AS360" s="2545">
        <f>IF(AND(AQ366&gt;0,AQ375&gt;0),(AQ366+AQ375)/2,0)</f>
        <v>0</v>
      </c>
      <c r="AT360" s="2545"/>
    </row>
    <row r="361" spans="1:46" s="550" customFormat="1" ht="12.75" customHeight="1">
      <c r="A361" s="603"/>
      <c r="B361" s="611"/>
      <c r="C361" s="2524"/>
      <c r="D361" s="2524"/>
      <c r="E361" s="2524"/>
      <c r="F361" s="2524"/>
      <c r="G361" s="2524"/>
      <c r="H361" s="2524"/>
      <c r="I361" s="2524"/>
      <c r="J361" s="2524"/>
      <c r="K361" s="2524"/>
      <c r="L361" s="2524"/>
      <c r="M361" s="2524"/>
      <c r="N361" s="2524"/>
      <c r="O361" s="2524"/>
      <c r="P361" s="2524"/>
      <c r="Q361" s="2524"/>
      <c r="R361" s="2524"/>
      <c r="S361" s="2524"/>
      <c r="T361" s="2524"/>
      <c r="U361" s="2524"/>
      <c r="V361" s="2524"/>
      <c r="W361" s="2524"/>
      <c r="X361" s="2524"/>
      <c r="Y361" s="2524"/>
      <c r="Z361" s="2524"/>
      <c r="AA361" s="2524"/>
      <c r="AB361" s="2524"/>
      <c r="AC361" s="2524"/>
      <c r="AD361" s="2524"/>
      <c r="AE361" s="2524"/>
      <c r="AF361" s="2524"/>
      <c r="AG361" s="2524"/>
      <c r="AH361" s="2524"/>
      <c r="AI361" s="2524"/>
      <c r="AJ361" s="2524"/>
      <c r="AK361" s="603"/>
      <c r="AL361" s="603"/>
      <c r="AM361" s="603"/>
      <c r="AN361" s="597"/>
      <c r="AO361" s="695" t="s">
        <v>581</v>
      </c>
      <c r="AP361" s="696">
        <f>IF(C407="Yes",5,0)</f>
        <v>0</v>
      </c>
      <c r="AS361" s="539" t="s">
        <v>1878</v>
      </c>
    </row>
    <row r="362" spans="1:46" s="550" customFormat="1" ht="12.75" customHeight="1">
      <c r="A362" s="603"/>
      <c r="B362" s="611"/>
      <c r="C362" s="2546" t="s">
        <v>2231</v>
      </c>
      <c r="D362" s="2546"/>
      <c r="E362" s="2546"/>
      <c r="F362" s="2546"/>
      <c r="G362" s="2546"/>
      <c r="H362" s="2546"/>
      <c r="I362" s="2546"/>
      <c r="J362" s="2546"/>
      <c r="K362" s="2546"/>
      <c r="L362" s="2546"/>
      <c r="M362" s="2546"/>
      <c r="N362" s="2546"/>
      <c r="O362" s="2546"/>
      <c r="P362" s="2546"/>
      <c r="Q362" s="2546"/>
      <c r="R362" s="2546"/>
      <c r="S362" s="2546"/>
      <c r="T362" s="2546"/>
      <c r="U362" s="2546"/>
      <c r="V362" s="2546"/>
      <c r="W362" s="2546"/>
      <c r="X362" s="2546"/>
      <c r="Y362" s="2546"/>
      <c r="Z362" s="2546"/>
      <c r="AA362" s="2546"/>
      <c r="AB362" s="2546"/>
      <c r="AC362" s="2546"/>
      <c r="AD362" s="2546"/>
      <c r="AE362" s="2546"/>
      <c r="AF362" s="2546"/>
      <c r="AG362" s="2546"/>
      <c r="AH362" s="2546"/>
      <c r="AI362" s="2546"/>
      <c r="AJ362" s="2546"/>
      <c r="AK362" s="603"/>
      <c r="AL362" s="603"/>
      <c r="AM362" s="603"/>
      <c r="AN362" s="597"/>
      <c r="AO362" s="597"/>
      <c r="AP362" s="696">
        <f>IF(C409="Yes",3,0)</f>
        <v>3</v>
      </c>
      <c r="AS362" s="2545">
        <f>IF(AQ366=0,AQ375,AQ366)</f>
        <v>10</v>
      </c>
      <c r="AT362" s="2545"/>
    </row>
    <row r="363" spans="1:46" s="550" customFormat="1" ht="12.75" customHeight="1">
      <c r="A363" s="603"/>
      <c r="B363" s="611"/>
      <c r="C363" s="2546"/>
      <c r="D363" s="2546"/>
      <c r="E363" s="2546"/>
      <c r="F363" s="2546"/>
      <c r="G363" s="2546"/>
      <c r="H363" s="2546"/>
      <c r="I363" s="2546"/>
      <c r="J363" s="2546"/>
      <c r="K363" s="2546"/>
      <c r="L363" s="2546"/>
      <c r="M363" s="2546"/>
      <c r="N363" s="2546"/>
      <c r="O363" s="2546"/>
      <c r="P363" s="2546"/>
      <c r="Q363" s="2546"/>
      <c r="R363" s="2546"/>
      <c r="S363" s="2546"/>
      <c r="T363" s="2546"/>
      <c r="U363" s="2546"/>
      <c r="V363" s="2546"/>
      <c r="W363" s="2546"/>
      <c r="X363" s="2546"/>
      <c r="Y363" s="2546"/>
      <c r="Z363" s="2546"/>
      <c r="AA363" s="2546"/>
      <c r="AB363" s="2546"/>
      <c r="AC363" s="2546"/>
      <c r="AD363" s="2546"/>
      <c r="AE363" s="2546"/>
      <c r="AF363" s="2546"/>
      <c r="AG363" s="2546"/>
      <c r="AH363" s="2546"/>
      <c r="AI363" s="2546"/>
      <c r="AJ363" s="2546"/>
      <c r="AK363" s="603"/>
      <c r="AL363" s="603"/>
      <c r="AM363" s="603"/>
      <c r="AN363" s="597"/>
      <c r="AO363" s="695" t="s">
        <v>763</v>
      </c>
      <c r="AP363" s="696">
        <f>IF(C412="Yes",5,0)</f>
        <v>0</v>
      </c>
    </row>
    <row r="364" spans="1:46" s="550" customFormat="1" ht="12.75" customHeight="1">
      <c r="A364" s="603"/>
      <c r="B364" s="611"/>
      <c r="C364" s="2546"/>
      <c r="D364" s="2546"/>
      <c r="E364" s="2546"/>
      <c r="F364" s="2546"/>
      <c r="G364" s="2546"/>
      <c r="H364" s="2546"/>
      <c r="I364" s="2546"/>
      <c r="J364" s="2546"/>
      <c r="K364" s="2546"/>
      <c r="L364" s="2546"/>
      <c r="M364" s="2546"/>
      <c r="N364" s="2546"/>
      <c r="O364" s="2546"/>
      <c r="P364" s="2546"/>
      <c r="Q364" s="2546"/>
      <c r="R364" s="2546"/>
      <c r="S364" s="2546"/>
      <c r="T364" s="2546"/>
      <c r="U364" s="2546"/>
      <c r="V364" s="2546"/>
      <c r="W364" s="2546"/>
      <c r="X364" s="2546"/>
      <c r="Y364" s="2546"/>
      <c r="Z364" s="2546"/>
      <c r="AA364" s="2546"/>
      <c r="AB364" s="2546"/>
      <c r="AC364" s="2546"/>
      <c r="AD364" s="2546"/>
      <c r="AE364" s="2546"/>
      <c r="AF364" s="2546"/>
      <c r="AG364" s="2546"/>
      <c r="AH364" s="2546"/>
      <c r="AI364" s="2546"/>
      <c r="AJ364" s="2546"/>
      <c r="AK364" s="603"/>
      <c r="AL364" s="603"/>
      <c r="AM364" s="603"/>
      <c r="AN364" s="597"/>
      <c r="AO364" s="695" t="s">
        <v>584</v>
      </c>
      <c r="AP364" s="696">
        <f>IF(C421="Yes",5,0)</f>
        <v>0</v>
      </c>
    </row>
    <row r="365" spans="1:46" s="550" customFormat="1" ht="11.85" customHeight="1">
      <c r="A365" s="603"/>
      <c r="B365" s="611"/>
      <c r="C365" s="2546"/>
      <c r="D365" s="2546"/>
      <c r="E365" s="2546"/>
      <c r="F365" s="2546"/>
      <c r="G365" s="2546"/>
      <c r="H365" s="2546"/>
      <c r="I365" s="2546"/>
      <c r="J365" s="2546"/>
      <c r="K365" s="2546"/>
      <c r="L365" s="2546"/>
      <c r="M365" s="2546"/>
      <c r="N365" s="2546"/>
      <c r="O365" s="2546"/>
      <c r="P365" s="2546"/>
      <c r="Q365" s="2546"/>
      <c r="R365" s="2546"/>
      <c r="S365" s="2546"/>
      <c r="T365" s="2546"/>
      <c r="U365" s="2546"/>
      <c r="V365" s="2546"/>
      <c r="W365" s="2546"/>
      <c r="X365" s="2546"/>
      <c r="Y365" s="2546"/>
      <c r="Z365" s="2546"/>
      <c r="AA365" s="2546"/>
      <c r="AB365" s="2546"/>
      <c r="AC365" s="2546"/>
      <c r="AD365" s="2546"/>
      <c r="AE365" s="2546"/>
      <c r="AF365" s="2546"/>
      <c r="AG365" s="2546"/>
      <c r="AH365" s="2546"/>
      <c r="AI365" s="2546"/>
      <c r="AJ365" s="2546"/>
      <c r="AK365" s="603"/>
      <c r="AL365" s="603"/>
      <c r="AM365" s="603"/>
      <c r="AN365" s="597"/>
      <c r="AO365" s="697"/>
      <c r="AP365" s="698">
        <f>IF(C423="Yes",3,0)</f>
        <v>0</v>
      </c>
    </row>
    <row r="366" spans="1:46" s="550" customFormat="1" ht="12.45" customHeight="1">
      <c r="A366" s="603"/>
      <c r="B366" s="611"/>
      <c r="C366" s="2546"/>
      <c r="D366" s="2546"/>
      <c r="E366" s="2546"/>
      <c r="F366" s="2546"/>
      <c r="G366" s="2546"/>
      <c r="H366" s="2546"/>
      <c r="I366" s="2546"/>
      <c r="J366" s="2546"/>
      <c r="K366" s="2546"/>
      <c r="L366" s="2546"/>
      <c r="M366" s="2546"/>
      <c r="N366" s="2546"/>
      <c r="O366" s="2546"/>
      <c r="P366" s="2546"/>
      <c r="Q366" s="2546"/>
      <c r="R366" s="2546"/>
      <c r="S366" s="2546"/>
      <c r="T366" s="2546"/>
      <c r="U366" s="2546"/>
      <c r="V366" s="2546"/>
      <c r="W366" s="2546"/>
      <c r="X366" s="2546"/>
      <c r="Y366" s="2546"/>
      <c r="Z366" s="2546"/>
      <c r="AA366" s="2546"/>
      <c r="AB366" s="2546"/>
      <c r="AC366" s="2546"/>
      <c r="AD366" s="2546"/>
      <c r="AE366" s="2546"/>
      <c r="AF366" s="2546"/>
      <c r="AG366" s="2546"/>
      <c r="AH366" s="2546"/>
      <c r="AI366" s="2546"/>
      <c r="AJ366" s="2546"/>
      <c r="AK366" s="603"/>
      <c r="AL366" s="603"/>
      <c r="AM366" s="603"/>
      <c r="AN366" s="597"/>
      <c r="AO366" s="699" t="s">
        <v>227</v>
      </c>
      <c r="AP366" s="700">
        <f>SUM(AP357:AP365)</f>
        <v>10</v>
      </c>
      <c r="AQ366" s="2547">
        <f>IF(AP366&gt;0,AP366,0)</f>
        <v>10</v>
      </c>
      <c r="AR366" s="2547"/>
    </row>
    <row r="367" spans="1:46" s="550" customFormat="1" ht="12.75" customHeight="1">
      <c r="A367" s="603"/>
      <c r="B367" s="611"/>
      <c r="C367" s="2546"/>
      <c r="D367" s="2546"/>
      <c r="E367" s="2546"/>
      <c r="F367" s="2546"/>
      <c r="G367" s="2546"/>
      <c r="H367" s="2546"/>
      <c r="I367" s="2546"/>
      <c r="J367" s="2546"/>
      <c r="K367" s="2546"/>
      <c r="L367" s="2546"/>
      <c r="M367" s="2546"/>
      <c r="N367" s="2546"/>
      <c r="O367" s="2546"/>
      <c r="P367" s="2546"/>
      <c r="Q367" s="2546"/>
      <c r="R367" s="2546"/>
      <c r="S367" s="2546"/>
      <c r="T367" s="2546"/>
      <c r="U367" s="2546"/>
      <c r="V367" s="2546"/>
      <c r="W367" s="2546"/>
      <c r="X367" s="2546"/>
      <c r="Y367" s="2546"/>
      <c r="Z367" s="2546"/>
      <c r="AA367" s="2546"/>
      <c r="AB367" s="2546"/>
      <c r="AC367" s="2546"/>
      <c r="AD367" s="2546"/>
      <c r="AE367" s="2546"/>
      <c r="AF367" s="2546"/>
      <c r="AG367" s="2546"/>
      <c r="AH367" s="2546"/>
      <c r="AI367" s="2546"/>
      <c r="AJ367" s="254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4" t="s">
        <v>1458</v>
      </c>
      <c r="D369" s="2524"/>
      <c r="E369" s="2524"/>
      <c r="F369" s="2524"/>
      <c r="G369" s="2524"/>
      <c r="H369" s="2524"/>
      <c r="I369" s="2524"/>
      <c r="J369" s="2524"/>
      <c r="K369" s="2524"/>
      <c r="L369" s="2524"/>
      <c r="M369" s="2524"/>
      <c r="N369" s="2524"/>
      <c r="O369" s="2524"/>
      <c r="P369" s="2524"/>
      <c r="Q369" s="2524"/>
      <c r="R369" s="2524"/>
      <c r="S369" s="2524"/>
      <c r="T369" s="2524"/>
      <c r="U369" s="2524"/>
      <c r="V369" s="2524"/>
      <c r="W369" s="2524"/>
      <c r="X369" s="2524"/>
      <c r="Y369" s="2524"/>
      <c r="Z369" s="2524"/>
      <c r="AA369" s="2524"/>
      <c r="AB369" s="2524"/>
      <c r="AC369" s="2524"/>
      <c r="AD369" s="2524"/>
      <c r="AE369" s="2524"/>
      <c r="AF369" s="2524"/>
      <c r="AG369" s="2524"/>
      <c r="AH369" s="2524"/>
      <c r="AI369" s="2524"/>
      <c r="AJ369" s="2524"/>
      <c r="AK369" s="603"/>
      <c r="AL369" s="603"/>
      <c r="AM369" s="603"/>
      <c r="AN369" s="597"/>
      <c r="AO369" s="695" t="s">
        <v>456</v>
      </c>
      <c r="AP369" s="696">
        <f>IF(C442="Yes",5,0)</f>
        <v>0</v>
      </c>
    </row>
    <row r="370" spans="1:81" s="550" customFormat="1" ht="12.75" customHeight="1">
      <c r="A370" s="603"/>
      <c r="B370" s="611"/>
      <c r="C370" s="2524"/>
      <c r="D370" s="2524"/>
      <c r="E370" s="2524"/>
      <c r="F370" s="2524"/>
      <c r="G370" s="2524"/>
      <c r="H370" s="2524"/>
      <c r="I370" s="2524"/>
      <c r="J370" s="2524"/>
      <c r="K370" s="2524"/>
      <c r="L370" s="2524"/>
      <c r="M370" s="2524"/>
      <c r="N370" s="2524"/>
      <c r="O370" s="2524"/>
      <c r="P370" s="2524"/>
      <c r="Q370" s="2524"/>
      <c r="R370" s="2524"/>
      <c r="S370" s="2524"/>
      <c r="T370" s="2524"/>
      <c r="U370" s="2524"/>
      <c r="V370" s="2524"/>
      <c r="W370" s="2524"/>
      <c r="X370" s="2524"/>
      <c r="Y370" s="2524"/>
      <c r="Z370" s="2524"/>
      <c r="AA370" s="2524"/>
      <c r="AB370" s="2524"/>
      <c r="AC370" s="2524"/>
      <c r="AD370" s="2524"/>
      <c r="AE370" s="2524"/>
      <c r="AF370" s="2524"/>
      <c r="AG370" s="2524"/>
      <c r="AH370" s="2524"/>
      <c r="AI370" s="2524"/>
      <c r="AJ370" s="2524"/>
      <c r="AK370" s="603"/>
      <c r="AL370" s="603"/>
      <c r="AM370" s="603"/>
      <c r="AN370" s="597"/>
      <c r="AO370" s="695" t="s">
        <v>461</v>
      </c>
      <c r="AP370" s="696">
        <f>IF(C449="Yes",5,0)</f>
        <v>0</v>
      </c>
    </row>
    <row r="371" spans="1:81" s="550" customFormat="1" ht="68.099999999999994" customHeight="1">
      <c r="A371" s="603"/>
      <c r="B371" s="611"/>
      <c r="C371" s="2524"/>
      <c r="D371" s="2524"/>
      <c r="E371" s="2524"/>
      <c r="F371" s="2524"/>
      <c r="G371" s="2524"/>
      <c r="H371" s="2524"/>
      <c r="I371" s="2524"/>
      <c r="J371" s="2524"/>
      <c r="K371" s="2524"/>
      <c r="L371" s="2524"/>
      <c r="M371" s="2524"/>
      <c r="N371" s="2524"/>
      <c r="O371" s="2524"/>
      <c r="P371" s="2524"/>
      <c r="Q371" s="2524"/>
      <c r="R371" s="2524"/>
      <c r="S371" s="2524"/>
      <c r="T371" s="2524"/>
      <c r="U371" s="2524"/>
      <c r="V371" s="2524"/>
      <c r="W371" s="2524"/>
      <c r="X371" s="2524"/>
      <c r="Y371" s="2524"/>
      <c r="Z371" s="2524"/>
      <c r="AA371" s="2524"/>
      <c r="AB371" s="2524"/>
      <c r="AC371" s="2524"/>
      <c r="AD371" s="2524"/>
      <c r="AE371" s="2524"/>
      <c r="AF371" s="2524"/>
      <c r="AG371" s="2524"/>
      <c r="AH371" s="2524"/>
      <c r="AI371" s="2524"/>
      <c r="AJ371" s="2524"/>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32">
        <f>Application!DU802-U374</f>
        <v>93</v>
      </c>
      <c r="V373" s="2632"/>
      <c r="W373" s="263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33">
        <f>IF(Application!D211="SRO",Application!DU755,Application!AG756)</f>
        <v>0</v>
      </c>
      <c r="V374" s="2633"/>
      <c r="W374" s="263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7">
        <f>IF(AP375&gt;0,AP375,0)</f>
        <v>0</v>
      </c>
      <c r="AR375" s="2547"/>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8" t="s">
        <v>1460</v>
      </c>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5" t="s">
        <v>591</v>
      </c>
      <c r="D381" s="248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6" t="s">
        <v>1462</v>
      </c>
      <c r="AG381" s="2526"/>
      <c r="AH381" s="2526"/>
      <c r="AI381" s="2526"/>
      <c r="AJ381" s="2526"/>
      <c r="AK381" s="2526"/>
      <c r="AL381" s="252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8" t="s">
        <v>1463</v>
      </c>
      <c r="G384" s="2528"/>
      <c r="H384" s="2528"/>
      <c r="I384" s="2528"/>
      <c r="J384" s="2528"/>
      <c r="K384" s="2528"/>
      <c r="L384" s="2528"/>
      <c r="M384" s="2528"/>
      <c r="N384" s="2528"/>
      <c r="O384" s="2528"/>
      <c r="P384" s="2528"/>
      <c r="Q384" s="2528"/>
      <c r="R384" s="2528"/>
      <c r="S384" s="2528"/>
      <c r="T384" s="2528"/>
      <c r="U384" s="2528"/>
      <c r="V384" s="2528"/>
      <c r="W384" s="2528"/>
      <c r="X384" s="2528"/>
      <c r="Y384" s="2528"/>
      <c r="Z384" s="2528"/>
      <c r="AA384" s="2528"/>
      <c r="AB384" s="2528"/>
      <c r="AC384" s="2528"/>
      <c r="AD384" s="2528"/>
      <c r="AE384" s="2528"/>
      <c r="AF384" s="252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9"/>
      <c r="G385" s="2529"/>
      <c r="H385" s="2529"/>
      <c r="I385" s="2529"/>
      <c r="J385" s="2529"/>
      <c r="K385" s="2529"/>
      <c r="L385" s="2529"/>
      <c r="M385" s="2529"/>
      <c r="N385" s="2529"/>
      <c r="O385" s="2529"/>
      <c r="P385" s="2529"/>
      <c r="Q385" s="2529"/>
      <c r="R385" s="2529"/>
      <c r="S385" s="2529"/>
      <c r="T385" s="2529"/>
      <c r="U385" s="2529"/>
      <c r="V385" s="2529"/>
      <c r="W385" s="2529"/>
      <c r="X385" s="2529"/>
      <c r="Y385" s="2529"/>
      <c r="Z385" s="2529"/>
      <c r="AA385" s="2529"/>
      <c r="AB385" s="2529"/>
      <c r="AC385" s="2529"/>
      <c r="AD385" s="2529"/>
      <c r="AE385" s="2529"/>
      <c r="AF385" s="252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9"/>
      <c r="G386" s="2529"/>
      <c r="H386" s="2529"/>
      <c r="I386" s="2529"/>
      <c r="J386" s="2529"/>
      <c r="K386" s="2529"/>
      <c r="L386" s="2529"/>
      <c r="M386" s="2529"/>
      <c r="N386" s="2529"/>
      <c r="O386" s="2529"/>
      <c r="P386" s="2529"/>
      <c r="Q386" s="2529"/>
      <c r="R386" s="2529"/>
      <c r="S386" s="2529"/>
      <c r="T386" s="2529"/>
      <c r="U386" s="2529"/>
      <c r="V386" s="2529"/>
      <c r="W386" s="2529"/>
      <c r="X386" s="2529"/>
      <c r="Y386" s="2529"/>
      <c r="Z386" s="2529"/>
      <c r="AA386" s="2529"/>
      <c r="AB386" s="2529"/>
      <c r="AC386" s="2529"/>
      <c r="AD386" s="2529"/>
      <c r="AE386" s="2529"/>
      <c r="AF386" s="252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9"/>
      <c r="G387" s="2529"/>
      <c r="H387" s="2529"/>
      <c r="I387" s="2529"/>
      <c r="J387" s="2529"/>
      <c r="K387" s="2529"/>
      <c r="L387" s="2529"/>
      <c r="M387" s="2529"/>
      <c r="N387" s="2529"/>
      <c r="O387" s="2529"/>
      <c r="P387" s="2529"/>
      <c r="Q387" s="2529"/>
      <c r="R387" s="2529"/>
      <c r="S387" s="2529"/>
      <c r="T387" s="2529"/>
      <c r="U387" s="2529"/>
      <c r="V387" s="2529"/>
      <c r="W387" s="2529"/>
      <c r="X387" s="2529"/>
      <c r="Y387" s="2529"/>
      <c r="Z387" s="2529"/>
      <c r="AA387" s="2529"/>
      <c r="AB387" s="2529"/>
      <c r="AC387" s="2529"/>
      <c r="AD387" s="2529"/>
      <c r="AE387" s="2529"/>
      <c r="AF387" s="252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9"/>
      <c r="G388" s="2529"/>
      <c r="H388" s="2529"/>
      <c r="I388" s="2529"/>
      <c r="J388" s="2529"/>
      <c r="K388" s="2529"/>
      <c r="L388" s="2529"/>
      <c r="M388" s="2529"/>
      <c r="N388" s="2529"/>
      <c r="O388" s="2529"/>
      <c r="P388" s="2529"/>
      <c r="Q388" s="2529"/>
      <c r="R388" s="2529"/>
      <c r="S388" s="2529"/>
      <c r="T388" s="2529"/>
      <c r="U388" s="2529"/>
      <c r="V388" s="2529"/>
      <c r="W388" s="2529"/>
      <c r="X388" s="2529"/>
      <c r="Y388" s="2529"/>
      <c r="Z388" s="2529"/>
      <c r="AA388" s="2529"/>
      <c r="AB388" s="2529"/>
      <c r="AC388" s="2529"/>
      <c r="AD388" s="2529"/>
      <c r="AE388" s="2529"/>
      <c r="AF388" s="2529"/>
      <c r="AL388" s="732"/>
      <c r="AN388" s="597"/>
      <c r="BS388" s="30"/>
      <c r="BT388" s="30"/>
      <c r="BU388" s="14"/>
      <c r="BV388" s="14"/>
      <c r="BW388" s="14"/>
      <c r="BX388" s="14"/>
      <c r="BY388" s="14"/>
      <c r="BZ388" s="14"/>
      <c r="CA388" s="14"/>
      <c r="CB388" s="14"/>
      <c r="CC388" s="14"/>
    </row>
    <row r="389" spans="1:81" s="550" customFormat="1" ht="12.75" customHeight="1">
      <c r="A389" s="536"/>
      <c r="B389" s="14"/>
      <c r="C389" s="2525" t="s">
        <v>591</v>
      </c>
      <c r="D389" s="248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6" t="s">
        <v>1462</v>
      </c>
      <c r="AG389" s="2526"/>
      <c r="AH389" s="2526"/>
      <c r="AI389" s="2526"/>
      <c r="AJ389" s="2526"/>
      <c r="AK389" s="2526"/>
      <c r="AL389" s="252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8" t="s">
        <v>1465</v>
      </c>
      <c r="G392" s="2528"/>
      <c r="H392" s="2528"/>
      <c r="I392" s="2528"/>
      <c r="J392" s="2528"/>
      <c r="K392" s="2528"/>
      <c r="L392" s="2528"/>
      <c r="M392" s="2528"/>
      <c r="N392" s="2528"/>
      <c r="O392" s="2528"/>
      <c r="P392" s="2528"/>
      <c r="Q392" s="2528"/>
      <c r="R392" s="2528"/>
      <c r="S392" s="2528"/>
      <c r="T392" s="2528"/>
      <c r="U392" s="2528"/>
      <c r="V392" s="2528"/>
      <c r="W392" s="2528"/>
      <c r="X392" s="2528"/>
      <c r="Y392" s="2528"/>
      <c r="Z392" s="2528"/>
      <c r="AA392" s="2528"/>
      <c r="AB392" s="2528"/>
      <c r="AC392" s="2528"/>
      <c r="AD392" s="2528"/>
      <c r="AE392" s="2528"/>
      <c r="AF392" s="252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9"/>
      <c r="G393" s="2529"/>
      <c r="H393" s="2529"/>
      <c r="I393" s="2529"/>
      <c r="J393" s="2529"/>
      <c r="K393" s="2529"/>
      <c r="L393" s="2529"/>
      <c r="M393" s="2529"/>
      <c r="N393" s="2529"/>
      <c r="O393" s="2529"/>
      <c r="P393" s="2529"/>
      <c r="Q393" s="2529"/>
      <c r="R393" s="2529"/>
      <c r="S393" s="2529"/>
      <c r="T393" s="2529"/>
      <c r="U393" s="2529"/>
      <c r="V393" s="2529"/>
      <c r="W393" s="2529"/>
      <c r="X393" s="2529"/>
      <c r="Y393" s="2529"/>
      <c r="Z393" s="2529"/>
      <c r="AA393" s="2529"/>
      <c r="AB393" s="2529"/>
      <c r="AC393" s="2529"/>
      <c r="AD393" s="2529"/>
      <c r="AE393" s="2529"/>
      <c r="AF393" s="252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9"/>
      <c r="G394" s="2529"/>
      <c r="H394" s="2529"/>
      <c r="I394" s="2529"/>
      <c r="J394" s="2529"/>
      <c r="K394" s="2529"/>
      <c r="L394" s="2529"/>
      <c r="M394" s="2529"/>
      <c r="N394" s="2529"/>
      <c r="O394" s="2529"/>
      <c r="P394" s="2529"/>
      <c r="Q394" s="2529"/>
      <c r="R394" s="2529"/>
      <c r="S394" s="2529"/>
      <c r="T394" s="2529"/>
      <c r="U394" s="2529"/>
      <c r="V394" s="2529"/>
      <c r="W394" s="2529"/>
      <c r="X394" s="2529"/>
      <c r="Y394" s="2529"/>
      <c r="Z394" s="2529"/>
      <c r="AA394" s="2529"/>
      <c r="AB394" s="2529"/>
      <c r="AC394" s="2529"/>
      <c r="AD394" s="2529"/>
      <c r="AE394" s="2529"/>
      <c r="AF394" s="252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9"/>
      <c r="G395" s="2529"/>
      <c r="H395" s="2529"/>
      <c r="I395" s="2529"/>
      <c r="J395" s="2529"/>
      <c r="K395" s="2529"/>
      <c r="L395" s="2529"/>
      <c r="M395" s="2529"/>
      <c r="N395" s="2529"/>
      <c r="O395" s="2529"/>
      <c r="P395" s="2529"/>
      <c r="Q395" s="2529"/>
      <c r="R395" s="2529"/>
      <c r="S395" s="2529"/>
      <c r="T395" s="2529"/>
      <c r="U395" s="2529"/>
      <c r="V395" s="2529"/>
      <c r="W395" s="2529"/>
      <c r="X395" s="2529"/>
      <c r="Y395" s="2529"/>
      <c r="Z395" s="2529"/>
      <c r="AA395" s="2529"/>
      <c r="AB395" s="2529"/>
      <c r="AC395" s="2529"/>
      <c r="AD395" s="2529"/>
      <c r="AE395" s="2529"/>
      <c r="AF395" s="252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9"/>
      <c r="G396" s="2529"/>
      <c r="H396" s="2529"/>
      <c r="I396" s="2529"/>
      <c r="J396" s="2529"/>
      <c r="K396" s="2529"/>
      <c r="L396" s="2529"/>
      <c r="M396" s="2529"/>
      <c r="N396" s="2529"/>
      <c r="O396" s="2529"/>
      <c r="P396" s="2529"/>
      <c r="Q396" s="2529"/>
      <c r="R396" s="2529"/>
      <c r="S396" s="2529"/>
      <c r="T396" s="2529"/>
      <c r="U396" s="2529"/>
      <c r="V396" s="2529"/>
      <c r="W396" s="2529"/>
      <c r="X396" s="2529"/>
      <c r="Y396" s="2529"/>
      <c r="Z396" s="2529"/>
      <c r="AA396" s="2529"/>
      <c r="AB396" s="2529"/>
      <c r="AC396" s="2529"/>
      <c r="AD396" s="2529"/>
      <c r="AE396" s="2529"/>
      <c r="AF396" s="252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5" t="s">
        <v>545</v>
      </c>
      <c r="D397" s="248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6" t="s">
        <v>1467</v>
      </c>
      <c r="AG397" s="2526"/>
      <c r="AH397" s="2526"/>
      <c r="AI397" s="2526"/>
      <c r="AJ397" s="2526"/>
      <c r="AK397" s="2526"/>
      <c r="AL397" s="252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5" t="s">
        <v>591</v>
      </c>
      <c r="D399" s="248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6" t="s">
        <v>1462</v>
      </c>
      <c r="AG399" s="2526"/>
      <c r="AH399" s="2526"/>
      <c r="AI399" s="2526"/>
      <c r="AJ399" s="2526"/>
      <c r="AK399" s="2526"/>
      <c r="AL399" s="252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8" t="s">
        <v>1471</v>
      </c>
      <c r="G403" s="2528"/>
      <c r="H403" s="2528"/>
      <c r="I403" s="2528"/>
      <c r="J403" s="2528"/>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9"/>
      <c r="G404" s="2529"/>
      <c r="H404" s="2529"/>
      <c r="I404" s="2529"/>
      <c r="J404" s="2529"/>
      <c r="K404" s="2529"/>
      <c r="L404" s="2529"/>
      <c r="M404" s="2529"/>
      <c r="N404" s="2529"/>
      <c r="O404" s="2529"/>
      <c r="P404" s="2529"/>
      <c r="Q404" s="2529"/>
      <c r="R404" s="2529"/>
      <c r="S404" s="2529"/>
      <c r="T404" s="2529"/>
      <c r="U404" s="2529"/>
      <c r="V404" s="2529"/>
      <c r="W404" s="2529"/>
      <c r="X404" s="2529"/>
      <c r="Y404" s="2529"/>
      <c r="Z404" s="2529"/>
      <c r="AA404" s="2529"/>
      <c r="AB404" s="2529"/>
      <c r="AC404" s="2529"/>
      <c r="AD404" s="2529"/>
      <c r="AE404" s="2529"/>
      <c r="AF404" s="252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5" t="s">
        <v>591</v>
      </c>
      <c r="D407" s="248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6" t="s">
        <v>1462</v>
      </c>
      <c r="AG407" s="2526"/>
      <c r="AH407" s="2526"/>
      <c r="AI407" s="2526"/>
      <c r="AJ407" s="2526"/>
      <c r="AK407" s="2526"/>
      <c r="AL407" s="252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5" t="s">
        <v>545</v>
      </c>
      <c r="D409" s="248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6" t="s">
        <v>1474</v>
      </c>
      <c r="AG409" s="2526"/>
      <c r="AH409" s="2526"/>
      <c r="AI409" s="2526"/>
      <c r="AJ409" s="2526"/>
      <c r="AK409" s="2526"/>
      <c r="AL409" s="252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5" t="s">
        <v>591</v>
      </c>
      <c r="D412" s="2482"/>
      <c r="E412" s="715" t="s">
        <v>1475</v>
      </c>
      <c r="F412" s="2528" t="s">
        <v>1476</v>
      </c>
      <c r="G412" s="2528"/>
      <c r="H412" s="2528"/>
      <c r="I412" s="2528"/>
      <c r="J412" s="2528"/>
      <c r="K412" s="2528"/>
      <c r="L412" s="2528"/>
      <c r="M412" s="2528"/>
      <c r="N412" s="2528"/>
      <c r="O412" s="2528"/>
      <c r="P412" s="2528"/>
      <c r="Q412" s="2528"/>
      <c r="R412" s="2528"/>
      <c r="S412" s="2528"/>
      <c r="T412" s="2528"/>
      <c r="U412" s="2528"/>
      <c r="V412" s="2528"/>
      <c r="W412" s="2528"/>
      <c r="X412" s="2528"/>
      <c r="Y412" s="2528"/>
      <c r="Z412" s="2528"/>
      <c r="AA412" s="2528"/>
      <c r="AB412" s="2528"/>
      <c r="AC412" s="2528"/>
      <c r="AD412" s="2528"/>
      <c r="AE412" s="252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9"/>
      <c r="G413" s="2529"/>
      <c r="H413" s="2529"/>
      <c r="I413" s="2529"/>
      <c r="J413" s="2529"/>
      <c r="K413" s="2529"/>
      <c r="L413" s="2529"/>
      <c r="M413" s="2529"/>
      <c r="N413" s="2529"/>
      <c r="O413" s="2529"/>
      <c r="P413" s="2529"/>
      <c r="Q413" s="2529"/>
      <c r="R413" s="2529"/>
      <c r="S413" s="2529"/>
      <c r="T413" s="2529"/>
      <c r="U413" s="2529"/>
      <c r="V413" s="2529"/>
      <c r="W413" s="2529"/>
      <c r="X413" s="2529"/>
      <c r="Y413" s="2529"/>
      <c r="Z413" s="2529"/>
      <c r="AA413" s="2529"/>
      <c r="AB413" s="2529"/>
      <c r="AC413" s="2529"/>
      <c r="AD413" s="2529"/>
      <c r="AE413" s="2529"/>
      <c r="AF413" s="2450" t="s">
        <v>1462</v>
      </c>
      <c r="AG413" s="2450"/>
      <c r="AH413" s="2450"/>
      <c r="AI413" s="2450"/>
      <c r="AJ413" s="2450"/>
      <c r="AK413" s="2450"/>
      <c r="AL413" s="2530"/>
      <c r="AM413" s="570"/>
      <c r="AN413" s="597"/>
      <c r="BS413" s="570"/>
      <c r="BT413" s="570"/>
      <c r="BY413" s="570"/>
      <c r="BZ413" s="570"/>
      <c r="CA413" s="570"/>
      <c r="CB413" s="570"/>
      <c r="CC413" s="570"/>
    </row>
    <row r="414" spans="1:81" s="550" customFormat="1" ht="12.75" customHeight="1">
      <c r="A414" s="536"/>
      <c r="B414" s="14"/>
      <c r="C414" s="731"/>
      <c r="D414" s="14"/>
      <c r="E414" s="691"/>
      <c r="F414" s="2529"/>
      <c r="G414" s="2529"/>
      <c r="H414" s="2529"/>
      <c r="I414" s="2529"/>
      <c r="J414" s="2529"/>
      <c r="K414" s="2529"/>
      <c r="L414" s="2529"/>
      <c r="M414" s="2529"/>
      <c r="N414" s="2529"/>
      <c r="O414" s="2529"/>
      <c r="P414" s="2529"/>
      <c r="Q414" s="2529"/>
      <c r="R414" s="2529"/>
      <c r="S414" s="2529"/>
      <c r="T414" s="2529"/>
      <c r="U414" s="2529"/>
      <c r="V414" s="2529"/>
      <c r="W414" s="2529"/>
      <c r="X414" s="2529"/>
      <c r="Y414" s="2529"/>
      <c r="Z414" s="2529"/>
      <c r="AA414" s="2529"/>
      <c r="AB414" s="2529"/>
      <c r="AC414" s="2529"/>
      <c r="AD414" s="2529"/>
      <c r="AE414" s="252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8"/>
      <c r="G415" s="2548"/>
      <c r="H415" s="2548"/>
      <c r="I415" s="2548"/>
      <c r="J415" s="2548"/>
      <c r="K415" s="2548"/>
      <c r="L415" s="2548"/>
      <c r="M415" s="2548"/>
      <c r="N415" s="2548"/>
      <c r="O415" s="2548"/>
      <c r="P415" s="2548"/>
      <c r="Q415" s="2548"/>
      <c r="R415" s="2548"/>
      <c r="S415" s="2548"/>
      <c r="T415" s="2548"/>
      <c r="U415" s="2548"/>
      <c r="V415" s="2548"/>
      <c r="W415" s="2548"/>
      <c r="X415" s="2548"/>
      <c r="Y415" s="2548"/>
      <c r="Z415" s="2548"/>
      <c r="AA415" s="2548"/>
      <c r="AB415" s="2548"/>
      <c r="AC415" s="2548"/>
      <c r="AD415" s="2548"/>
      <c r="AE415" s="254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8" t="s">
        <v>1478</v>
      </c>
      <c r="G417" s="2528"/>
      <c r="H417" s="2528"/>
      <c r="I417" s="2528"/>
      <c r="J417" s="2528"/>
      <c r="K417" s="2528"/>
      <c r="L417" s="2528"/>
      <c r="M417" s="2528"/>
      <c r="N417" s="2528"/>
      <c r="O417" s="2528"/>
      <c r="P417" s="2528"/>
      <c r="Q417" s="2528"/>
      <c r="R417" s="2528"/>
      <c r="S417" s="2528"/>
      <c r="T417" s="2528"/>
      <c r="U417" s="2528"/>
      <c r="V417" s="2528"/>
      <c r="W417" s="2528"/>
      <c r="X417" s="2528"/>
      <c r="Y417" s="2528"/>
      <c r="Z417" s="2528"/>
      <c r="AA417" s="2528"/>
      <c r="AB417" s="2528"/>
      <c r="AC417" s="2528"/>
      <c r="AD417" s="2528"/>
      <c r="AE417" s="2528"/>
      <c r="AF417" s="747"/>
      <c r="AG417" s="747"/>
      <c r="AH417" s="747"/>
      <c r="AI417" s="747"/>
      <c r="AJ417" s="747"/>
      <c r="AK417" s="747"/>
      <c r="AL417" s="748"/>
      <c r="AM417" s="570"/>
    </row>
    <row r="418" spans="1:55">
      <c r="A418" s="536"/>
      <c r="C418" s="731"/>
      <c r="E418" s="691"/>
      <c r="F418" s="2529"/>
      <c r="G418" s="2529"/>
      <c r="H418" s="2529"/>
      <c r="I418" s="2529"/>
      <c r="J418" s="2529"/>
      <c r="K418" s="2529"/>
      <c r="L418" s="2529"/>
      <c r="M418" s="2529"/>
      <c r="N418" s="2529"/>
      <c r="O418" s="2529"/>
      <c r="P418" s="2529"/>
      <c r="Q418" s="2529"/>
      <c r="R418" s="2529"/>
      <c r="S418" s="2529"/>
      <c r="T418" s="2529"/>
      <c r="U418" s="2529"/>
      <c r="V418" s="2529"/>
      <c r="W418" s="2529"/>
      <c r="X418" s="2529"/>
      <c r="Y418" s="2529"/>
      <c r="Z418" s="2529"/>
      <c r="AA418" s="2529"/>
      <c r="AB418" s="2529"/>
      <c r="AC418" s="2529"/>
      <c r="AD418" s="2529"/>
      <c r="AE418" s="2529"/>
      <c r="AF418" s="539"/>
      <c r="AG418" s="536"/>
      <c r="AH418" s="550"/>
      <c r="AI418" s="550"/>
      <c r="AJ418" s="550"/>
      <c r="AK418" s="550"/>
      <c r="AL418" s="732"/>
      <c r="AM418" s="570"/>
    </row>
    <row r="419" spans="1:55" s="550" customFormat="1" ht="12.75" customHeight="1">
      <c r="A419" s="536"/>
      <c r="B419" s="14"/>
      <c r="C419" s="731"/>
      <c r="D419" s="14"/>
      <c r="E419" s="691"/>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L419" s="732"/>
      <c r="AM419" s="570"/>
      <c r="AN419" s="597"/>
    </row>
    <row r="420" spans="1:55" s="550" customFormat="1" ht="12.75" customHeight="1">
      <c r="A420" s="536"/>
      <c r="B420" s="14"/>
      <c r="C420" s="739"/>
      <c r="F420" s="2529"/>
      <c r="G420" s="2529"/>
      <c r="H420" s="2529"/>
      <c r="I420" s="2529"/>
      <c r="J420" s="2529"/>
      <c r="K420" s="2529"/>
      <c r="L420" s="2529"/>
      <c r="M420" s="2529"/>
      <c r="N420" s="2529"/>
      <c r="O420" s="2529"/>
      <c r="P420" s="2529"/>
      <c r="Q420" s="2529"/>
      <c r="R420" s="2529"/>
      <c r="S420" s="2529"/>
      <c r="T420" s="2529"/>
      <c r="U420" s="2529"/>
      <c r="V420" s="2529"/>
      <c r="W420" s="2529"/>
      <c r="X420" s="2529"/>
      <c r="Y420" s="2529"/>
      <c r="Z420" s="2529"/>
      <c r="AA420" s="2529"/>
      <c r="AB420" s="2529"/>
      <c r="AC420" s="2529"/>
      <c r="AD420" s="2529"/>
      <c r="AE420" s="2529"/>
      <c r="AL420" s="732"/>
      <c r="AM420" s="570"/>
      <c r="AN420" s="597"/>
    </row>
    <row r="421" spans="1:55" s="550" customFormat="1" ht="12.75" customHeight="1">
      <c r="A421" s="536"/>
      <c r="B421" s="14"/>
      <c r="C421" s="2525" t="s">
        <v>591</v>
      </c>
      <c r="D421" s="248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0" t="s">
        <v>1462</v>
      </c>
      <c r="AG421" s="2450"/>
      <c r="AH421" s="2450"/>
      <c r="AI421" s="2450"/>
      <c r="AJ421" s="2450"/>
      <c r="AK421" s="2450"/>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525" t="s">
        <v>591</v>
      </c>
      <c r="D423" s="248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0" t="s">
        <v>1474</v>
      </c>
      <c r="AG423" s="2450"/>
      <c r="AH423" s="2450"/>
      <c r="AI423" s="2450"/>
      <c r="AJ423" s="2450"/>
      <c r="AK423" s="2450"/>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8" t="s">
        <v>1482</v>
      </c>
      <c r="G427" s="2528"/>
      <c r="H427" s="2528"/>
      <c r="I427" s="2528"/>
      <c r="J427" s="2528"/>
      <c r="K427" s="2528"/>
      <c r="L427" s="2528"/>
      <c r="M427" s="2528"/>
      <c r="N427" s="2528"/>
      <c r="O427" s="2528"/>
      <c r="P427" s="2528"/>
      <c r="Q427" s="2528"/>
      <c r="R427" s="2528"/>
      <c r="S427" s="2528"/>
      <c r="T427" s="2528"/>
      <c r="U427" s="2528"/>
      <c r="V427" s="2528"/>
      <c r="W427" s="2528"/>
      <c r="X427" s="2528"/>
      <c r="Y427" s="2528"/>
      <c r="Z427" s="2528"/>
      <c r="AA427" s="2528"/>
      <c r="AB427" s="2528"/>
      <c r="AC427" s="2528"/>
      <c r="AD427" s="2528"/>
      <c r="AE427" s="2528"/>
      <c r="AF427" s="714"/>
      <c r="AG427" s="714"/>
      <c r="AH427" s="714"/>
      <c r="AI427" s="714"/>
      <c r="AJ427" s="714"/>
      <c r="AK427" s="714"/>
      <c r="AL427" s="745"/>
      <c r="AM427" s="570"/>
      <c r="AN427" s="597"/>
    </row>
    <row r="428" spans="1:55" s="550" customFormat="1" ht="12.75" customHeight="1">
      <c r="A428" s="536"/>
      <c r="B428" s="14"/>
      <c r="C428" s="731"/>
      <c r="D428" s="14"/>
      <c r="E428" s="691"/>
      <c r="F428" s="2529"/>
      <c r="G428" s="2529"/>
      <c r="H428" s="2529"/>
      <c r="I428" s="2529"/>
      <c r="J428" s="2529"/>
      <c r="K428" s="2529"/>
      <c r="L428" s="2529"/>
      <c r="M428" s="2529"/>
      <c r="N428" s="2529"/>
      <c r="O428" s="2529"/>
      <c r="P428" s="2529"/>
      <c r="Q428" s="2529"/>
      <c r="R428" s="2529"/>
      <c r="S428" s="2529"/>
      <c r="T428" s="2529"/>
      <c r="U428" s="2529"/>
      <c r="V428" s="2529"/>
      <c r="W428" s="2529"/>
      <c r="X428" s="2529"/>
      <c r="Y428" s="2529"/>
      <c r="Z428" s="2529"/>
      <c r="AA428" s="2529"/>
      <c r="AB428" s="2529"/>
      <c r="AC428" s="2529"/>
      <c r="AD428" s="2529"/>
      <c r="AE428" s="2529"/>
      <c r="AF428" s="539"/>
      <c r="AG428" s="536"/>
      <c r="AL428" s="732"/>
      <c r="AM428" s="570"/>
      <c r="AN428" s="597"/>
    </row>
    <row r="429" spans="1:55" s="550" customFormat="1" ht="12.45" customHeight="1">
      <c r="A429" s="536"/>
      <c r="B429" s="14"/>
      <c r="C429" s="731"/>
      <c r="D429" s="14"/>
      <c r="E429" s="691"/>
      <c r="F429" s="2529"/>
      <c r="G429" s="2529"/>
      <c r="H429" s="2529"/>
      <c r="I429" s="2529"/>
      <c r="J429" s="2529"/>
      <c r="K429" s="2529"/>
      <c r="L429" s="2529"/>
      <c r="M429" s="2529"/>
      <c r="N429" s="2529"/>
      <c r="O429" s="2529"/>
      <c r="P429" s="2529"/>
      <c r="Q429" s="2529"/>
      <c r="R429" s="2529"/>
      <c r="S429" s="2529"/>
      <c r="T429" s="2529"/>
      <c r="U429" s="2529"/>
      <c r="V429" s="2529"/>
      <c r="W429" s="2529"/>
      <c r="X429" s="2529"/>
      <c r="Y429" s="2529"/>
      <c r="Z429" s="2529"/>
      <c r="AA429" s="2529"/>
      <c r="AB429" s="2529"/>
      <c r="AC429" s="2529"/>
      <c r="AD429" s="2529"/>
      <c r="AE429" s="2529"/>
      <c r="AL429" s="732"/>
      <c r="AM429" s="570"/>
      <c r="AN429" s="597"/>
    </row>
    <row r="430" spans="1:55" s="550" customFormat="1" ht="12.75" customHeight="1">
      <c r="A430" s="536"/>
      <c r="B430" s="14"/>
      <c r="C430" s="2525" t="s">
        <v>591</v>
      </c>
      <c r="D430" s="248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0" t="s">
        <v>1462</v>
      </c>
      <c r="AG430" s="2450"/>
      <c r="AH430" s="2450"/>
      <c r="AI430" s="2450"/>
      <c r="AJ430" s="2450"/>
      <c r="AK430" s="2450"/>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528" t="s">
        <v>1485</v>
      </c>
      <c r="G433" s="2528"/>
      <c r="H433" s="2528"/>
      <c r="I433" s="2528"/>
      <c r="J433" s="2528"/>
      <c r="K433" s="2528"/>
      <c r="L433" s="2528"/>
      <c r="M433" s="2528"/>
      <c r="N433" s="2528"/>
      <c r="O433" s="2528"/>
      <c r="P433" s="2528"/>
      <c r="Q433" s="2528"/>
      <c r="R433" s="2528"/>
      <c r="S433" s="2528"/>
      <c r="T433" s="2528"/>
      <c r="U433" s="2528"/>
      <c r="V433" s="2528"/>
      <c r="W433" s="2528"/>
      <c r="X433" s="2528"/>
      <c r="Y433" s="2528"/>
      <c r="Z433" s="2528"/>
      <c r="AA433" s="2528"/>
      <c r="AB433" s="2528"/>
      <c r="AC433" s="2528"/>
      <c r="AD433" s="2528"/>
      <c r="AE433" s="2528"/>
      <c r="AF433" s="747"/>
      <c r="AG433" s="747"/>
      <c r="AH433" s="747"/>
      <c r="AI433" s="747"/>
      <c r="AJ433" s="747"/>
      <c r="AK433" s="747"/>
      <c r="AL433" s="748"/>
      <c r="AM433" s="570"/>
      <c r="AO433" s="550"/>
      <c r="AP433" s="550"/>
      <c r="BD433" s="14"/>
      <c r="BE433" s="14"/>
      <c r="BF433" s="14"/>
      <c r="BG433" s="14"/>
      <c r="BH433" s="14"/>
    </row>
    <row r="434" spans="1:60">
      <c r="A434" s="536"/>
      <c r="C434" s="731"/>
      <c r="E434" s="691"/>
      <c r="F434" s="2529"/>
      <c r="G434" s="2529"/>
      <c r="H434" s="2529"/>
      <c r="I434" s="2529"/>
      <c r="J434" s="2529"/>
      <c r="K434" s="2529"/>
      <c r="L434" s="2529"/>
      <c r="M434" s="2529"/>
      <c r="N434" s="2529"/>
      <c r="O434" s="2529"/>
      <c r="P434" s="2529"/>
      <c r="Q434" s="2529"/>
      <c r="R434" s="2529"/>
      <c r="S434" s="2529"/>
      <c r="T434" s="2529"/>
      <c r="U434" s="2529"/>
      <c r="V434" s="2529"/>
      <c r="W434" s="2529"/>
      <c r="X434" s="2529"/>
      <c r="Y434" s="2529"/>
      <c r="Z434" s="2529"/>
      <c r="AA434" s="2529"/>
      <c r="AB434" s="2529"/>
      <c r="AC434" s="2529"/>
      <c r="AD434" s="2529"/>
      <c r="AE434" s="2529"/>
      <c r="AF434" s="594"/>
      <c r="AG434" s="594"/>
      <c r="AH434" s="594"/>
      <c r="AI434" s="594"/>
      <c r="AJ434" s="594"/>
      <c r="AK434" s="594"/>
      <c r="AL434" s="750"/>
      <c r="AM434" s="570"/>
      <c r="AO434" s="550"/>
      <c r="AP434" s="550"/>
    </row>
    <row r="435" spans="1:60" s="550" customFormat="1" ht="12.75" customHeight="1">
      <c r="A435" s="536"/>
      <c r="B435" s="14"/>
      <c r="C435" s="731"/>
      <c r="D435" s="14"/>
      <c r="E435" s="691"/>
      <c r="F435" s="2529"/>
      <c r="G435" s="2529"/>
      <c r="H435" s="2529"/>
      <c r="I435" s="2529"/>
      <c r="J435" s="2529"/>
      <c r="K435" s="2529"/>
      <c r="L435" s="2529"/>
      <c r="M435" s="2529"/>
      <c r="N435" s="2529"/>
      <c r="O435" s="2529"/>
      <c r="P435" s="2529"/>
      <c r="Q435" s="2529"/>
      <c r="R435" s="2529"/>
      <c r="S435" s="2529"/>
      <c r="T435" s="2529"/>
      <c r="U435" s="2529"/>
      <c r="V435" s="2529"/>
      <c r="W435" s="2529"/>
      <c r="X435" s="2529"/>
      <c r="Y435" s="2529"/>
      <c r="Z435" s="2529"/>
      <c r="AA435" s="2529"/>
      <c r="AB435" s="2529"/>
      <c r="AC435" s="2529"/>
      <c r="AD435" s="2529"/>
      <c r="AE435" s="2529"/>
      <c r="AF435" s="594"/>
      <c r="AG435" s="594"/>
      <c r="AH435" s="594"/>
      <c r="AI435" s="594"/>
      <c r="AJ435" s="594"/>
      <c r="AK435" s="594"/>
      <c r="AL435" s="750"/>
      <c r="AM435" s="570"/>
      <c r="AN435" s="597"/>
    </row>
    <row r="436" spans="1:60" s="550" customFormat="1" ht="12.75" customHeight="1">
      <c r="A436" s="536"/>
      <c r="B436" s="14"/>
      <c r="C436" s="751"/>
      <c r="D436" s="730"/>
      <c r="E436" s="719"/>
      <c r="F436" s="2529"/>
      <c r="G436" s="2529"/>
      <c r="H436" s="2529"/>
      <c r="I436" s="2529"/>
      <c r="J436" s="2529"/>
      <c r="K436" s="2529"/>
      <c r="L436" s="2529"/>
      <c r="M436" s="2529"/>
      <c r="N436" s="2529"/>
      <c r="O436" s="2529"/>
      <c r="P436" s="2529"/>
      <c r="Q436" s="2529"/>
      <c r="R436" s="2529"/>
      <c r="S436" s="2529"/>
      <c r="T436" s="2529"/>
      <c r="U436" s="2529"/>
      <c r="V436" s="2529"/>
      <c r="W436" s="2529"/>
      <c r="X436" s="2529"/>
      <c r="Y436" s="2529"/>
      <c r="Z436" s="2529"/>
      <c r="AA436" s="2529"/>
      <c r="AB436" s="2529"/>
      <c r="AC436" s="2529"/>
      <c r="AD436" s="2529"/>
      <c r="AE436" s="252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9"/>
      <c r="G437" s="2529"/>
      <c r="H437" s="2529"/>
      <c r="I437" s="2529"/>
      <c r="J437" s="2529"/>
      <c r="K437" s="2529"/>
      <c r="L437" s="2529"/>
      <c r="M437" s="2529"/>
      <c r="N437" s="2529"/>
      <c r="O437" s="2529"/>
      <c r="P437" s="2529"/>
      <c r="Q437" s="2529"/>
      <c r="R437" s="2529"/>
      <c r="S437" s="2529"/>
      <c r="T437" s="2529"/>
      <c r="U437" s="2529"/>
      <c r="V437" s="2529"/>
      <c r="W437" s="2529"/>
      <c r="X437" s="2529"/>
      <c r="Y437" s="2529"/>
      <c r="Z437" s="2529"/>
      <c r="AA437" s="2529"/>
      <c r="AB437" s="2529"/>
      <c r="AC437" s="2529"/>
      <c r="AD437" s="2529"/>
      <c r="AE437" s="2529"/>
      <c r="AF437" s="594"/>
      <c r="AG437" s="594"/>
      <c r="AH437" s="594"/>
      <c r="AI437" s="594"/>
      <c r="AJ437" s="594"/>
      <c r="AK437" s="594"/>
      <c r="AL437" s="750"/>
      <c r="AM437" s="570"/>
      <c r="AN437" s="597"/>
    </row>
    <row r="438" spans="1:60" s="550" customFormat="1" ht="12.75" customHeight="1">
      <c r="A438" s="536"/>
      <c r="B438" s="14"/>
      <c r="C438" s="751"/>
      <c r="D438" s="730"/>
      <c r="E438" s="719"/>
      <c r="F438" s="2529"/>
      <c r="G438" s="2529"/>
      <c r="H438" s="2529"/>
      <c r="I438" s="2529"/>
      <c r="J438" s="2529"/>
      <c r="K438" s="2529"/>
      <c r="L438" s="2529"/>
      <c r="M438" s="2529"/>
      <c r="N438" s="2529"/>
      <c r="O438" s="2529"/>
      <c r="P438" s="2529"/>
      <c r="Q438" s="2529"/>
      <c r="R438" s="2529"/>
      <c r="S438" s="2529"/>
      <c r="T438" s="2529"/>
      <c r="U438" s="2529"/>
      <c r="V438" s="2529"/>
      <c r="W438" s="2529"/>
      <c r="X438" s="2529"/>
      <c r="Y438" s="2529"/>
      <c r="Z438" s="2529"/>
      <c r="AA438" s="2529"/>
      <c r="AB438" s="2529"/>
      <c r="AC438" s="2529"/>
      <c r="AD438" s="2529"/>
      <c r="AE438" s="2529"/>
      <c r="AF438" s="594"/>
      <c r="AG438" s="594"/>
      <c r="AH438" s="594"/>
      <c r="AI438" s="594"/>
      <c r="AJ438" s="594"/>
      <c r="AK438" s="594"/>
      <c r="AL438" s="750"/>
      <c r="AM438" s="570"/>
      <c r="AN438" s="597"/>
    </row>
    <row r="439" spans="1:60" s="550" customFormat="1" ht="12.75" customHeight="1">
      <c r="A439" s="536"/>
      <c r="B439" s="14"/>
      <c r="C439" s="751"/>
      <c r="D439" s="730"/>
      <c r="E439" s="719"/>
      <c r="F439" s="2529"/>
      <c r="G439" s="2529"/>
      <c r="H439" s="2529"/>
      <c r="I439" s="2529"/>
      <c r="J439" s="2529"/>
      <c r="K439" s="2529"/>
      <c r="L439" s="2529"/>
      <c r="M439" s="2529"/>
      <c r="N439" s="2529"/>
      <c r="O439" s="2529"/>
      <c r="P439" s="2529"/>
      <c r="Q439" s="2529"/>
      <c r="R439" s="2529"/>
      <c r="S439" s="2529"/>
      <c r="T439" s="2529"/>
      <c r="U439" s="2529"/>
      <c r="V439" s="2529"/>
      <c r="W439" s="2529"/>
      <c r="X439" s="2529"/>
      <c r="Y439" s="2529"/>
      <c r="Z439" s="2529"/>
      <c r="AA439" s="2529"/>
      <c r="AB439" s="2529"/>
      <c r="AC439" s="2529"/>
      <c r="AD439" s="2529"/>
      <c r="AE439" s="2529"/>
      <c r="AF439" s="594"/>
      <c r="AG439" s="594"/>
      <c r="AH439" s="594"/>
      <c r="AI439" s="594"/>
      <c r="AJ439" s="594"/>
      <c r="AK439" s="594"/>
      <c r="AL439" s="750"/>
      <c r="AM439" s="570"/>
      <c r="AN439" s="597"/>
    </row>
    <row r="440" spans="1:60" s="550" customFormat="1" ht="12.75" customHeight="1">
      <c r="A440" s="536"/>
      <c r="B440" s="14"/>
      <c r="C440" s="751"/>
      <c r="D440" s="730"/>
      <c r="E440" s="719"/>
      <c r="F440" s="2529"/>
      <c r="G440" s="2529"/>
      <c r="H440" s="2529"/>
      <c r="I440" s="2529"/>
      <c r="J440" s="2529"/>
      <c r="K440" s="2529"/>
      <c r="L440" s="2529"/>
      <c r="M440" s="2529"/>
      <c r="N440" s="2529"/>
      <c r="O440" s="2529"/>
      <c r="P440" s="2529"/>
      <c r="Q440" s="2529"/>
      <c r="R440" s="2529"/>
      <c r="S440" s="2529"/>
      <c r="T440" s="2529"/>
      <c r="U440" s="2529"/>
      <c r="V440" s="2529"/>
      <c r="W440" s="2529"/>
      <c r="X440" s="2529"/>
      <c r="Y440" s="2529"/>
      <c r="Z440" s="2529"/>
      <c r="AA440" s="2529"/>
      <c r="AB440" s="2529"/>
      <c r="AC440" s="2529"/>
      <c r="AD440" s="2529"/>
      <c r="AE440" s="2529"/>
      <c r="AF440" s="594"/>
      <c r="AG440" s="594"/>
      <c r="AH440" s="594"/>
      <c r="AI440" s="594"/>
      <c r="AJ440" s="594"/>
      <c r="AK440" s="594"/>
      <c r="AL440" s="750"/>
      <c r="AM440" s="570"/>
      <c r="AN440" s="597"/>
    </row>
    <row r="441" spans="1:60" s="550" customFormat="1" ht="17.25" customHeight="1">
      <c r="A441" s="536"/>
      <c r="B441" s="14"/>
      <c r="C441" s="751"/>
      <c r="D441" s="730"/>
      <c r="E441" s="719"/>
      <c r="F441" s="2529"/>
      <c r="G441" s="2529"/>
      <c r="H441" s="2529"/>
      <c r="I441" s="2529"/>
      <c r="J441" s="2529"/>
      <c r="K441" s="2529"/>
      <c r="L441" s="2529"/>
      <c r="M441" s="2529"/>
      <c r="N441" s="2529"/>
      <c r="O441" s="2529"/>
      <c r="P441" s="2529"/>
      <c r="Q441" s="2529"/>
      <c r="R441" s="2529"/>
      <c r="S441" s="2529"/>
      <c r="T441" s="2529"/>
      <c r="U441" s="2529"/>
      <c r="V441" s="2529"/>
      <c r="W441" s="2529"/>
      <c r="X441" s="2529"/>
      <c r="Y441" s="2529"/>
      <c r="Z441" s="2529"/>
      <c r="AA441" s="2529"/>
      <c r="AB441" s="2529"/>
      <c r="AC441" s="2529"/>
      <c r="AD441" s="2529"/>
      <c r="AE441" s="2529"/>
      <c r="AL441" s="732"/>
      <c r="AM441" s="570"/>
      <c r="AN441" s="597"/>
    </row>
    <row r="442" spans="1:60" s="550" customFormat="1" ht="12.75" customHeight="1">
      <c r="A442" s="536"/>
      <c r="B442" s="14"/>
      <c r="C442" s="2525" t="s">
        <v>591</v>
      </c>
      <c r="D442" s="248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0" t="s">
        <v>1462</v>
      </c>
      <c r="AG442" s="2450"/>
      <c r="AH442" s="2450"/>
      <c r="AI442" s="2450"/>
      <c r="AJ442" s="2450"/>
      <c r="AK442" s="2450"/>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8" t="s">
        <v>1488</v>
      </c>
      <c r="G445" s="2528"/>
      <c r="H445" s="2528"/>
      <c r="I445" s="2528"/>
      <c r="J445" s="2528"/>
      <c r="K445" s="2528"/>
      <c r="L445" s="2528"/>
      <c r="M445" s="2528"/>
      <c r="N445" s="2528"/>
      <c r="O445" s="2528"/>
      <c r="P445" s="2528"/>
      <c r="Q445" s="2528"/>
      <c r="R445" s="2528"/>
      <c r="S445" s="2528"/>
      <c r="T445" s="2528"/>
      <c r="U445" s="2528"/>
      <c r="V445" s="2528"/>
      <c r="W445" s="2528"/>
      <c r="X445" s="2528"/>
      <c r="Y445" s="2528"/>
      <c r="Z445" s="2528"/>
      <c r="AA445" s="2528"/>
      <c r="AB445" s="2528"/>
      <c r="AC445" s="2528"/>
      <c r="AD445" s="2528"/>
      <c r="AE445" s="2528"/>
      <c r="AF445" s="714"/>
      <c r="AG445" s="714"/>
      <c r="AH445" s="714"/>
      <c r="AI445" s="714"/>
      <c r="AJ445" s="714"/>
      <c r="AK445" s="714"/>
      <c r="AL445" s="745"/>
      <c r="AM445" s="570"/>
      <c r="AN445" s="597"/>
    </row>
    <row r="446" spans="1:60" s="550" customFormat="1" ht="12.75" customHeight="1">
      <c r="A446" s="536"/>
      <c r="B446" s="14"/>
      <c r="C446" s="751"/>
      <c r="D446" s="730"/>
      <c r="E446" s="719"/>
      <c r="F446" s="2529"/>
      <c r="G446" s="2529"/>
      <c r="H446" s="2529"/>
      <c r="I446" s="2529"/>
      <c r="J446" s="2529"/>
      <c r="K446" s="2529"/>
      <c r="L446" s="2529"/>
      <c r="M446" s="2529"/>
      <c r="N446" s="2529"/>
      <c r="O446" s="2529"/>
      <c r="P446" s="2529"/>
      <c r="Q446" s="2529"/>
      <c r="R446" s="2529"/>
      <c r="S446" s="2529"/>
      <c r="T446" s="2529"/>
      <c r="U446" s="2529"/>
      <c r="V446" s="2529"/>
      <c r="W446" s="2529"/>
      <c r="X446" s="2529"/>
      <c r="Y446" s="2529"/>
      <c r="Z446" s="2529"/>
      <c r="AA446" s="2529"/>
      <c r="AB446" s="2529"/>
      <c r="AC446" s="2529"/>
      <c r="AD446" s="2529"/>
      <c r="AE446" s="2529"/>
      <c r="AF446" s="591"/>
      <c r="AG446" s="591"/>
      <c r="AH446" s="591"/>
      <c r="AI446" s="591"/>
      <c r="AJ446" s="591"/>
      <c r="AK446" s="591"/>
      <c r="AL446" s="720"/>
      <c r="AM446" s="570"/>
      <c r="AN446" s="597"/>
    </row>
    <row r="447" spans="1:60" s="550" customFormat="1" ht="12.75" customHeight="1">
      <c r="A447" s="536"/>
      <c r="B447" s="14"/>
      <c r="C447" s="751"/>
      <c r="D447" s="730"/>
      <c r="E447" s="719"/>
      <c r="F447" s="2529"/>
      <c r="G447" s="2529"/>
      <c r="H447" s="2529"/>
      <c r="I447" s="2529"/>
      <c r="J447" s="2529"/>
      <c r="K447" s="2529"/>
      <c r="L447" s="2529"/>
      <c r="M447" s="2529"/>
      <c r="N447" s="2529"/>
      <c r="O447" s="2529"/>
      <c r="P447" s="2529"/>
      <c r="Q447" s="2529"/>
      <c r="R447" s="2529"/>
      <c r="S447" s="2529"/>
      <c r="T447" s="2529"/>
      <c r="U447" s="2529"/>
      <c r="V447" s="2529"/>
      <c r="W447" s="2529"/>
      <c r="X447" s="2529"/>
      <c r="Y447" s="2529"/>
      <c r="Z447" s="2529"/>
      <c r="AA447" s="2529"/>
      <c r="AB447" s="2529"/>
      <c r="AC447" s="2529"/>
      <c r="AD447" s="2529"/>
      <c r="AE447" s="2529"/>
      <c r="AF447" s="591"/>
      <c r="AG447" s="591"/>
      <c r="AH447" s="591"/>
      <c r="AI447" s="591"/>
      <c r="AJ447" s="591"/>
      <c r="AK447" s="591"/>
      <c r="AL447" s="720"/>
      <c r="AM447" s="570"/>
      <c r="AN447" s="597"/>
    </row>
    <row r="448" spans="1:60" s="550" customFormat="1" ht="12.75" customHeight="1">
      <c r="A448" s="536"/>
      <c r="B448" s="14"/>
      <c r="C448" s="751"/>
      <c r="D448" s="730"/>
      <c r="E448" s="719"/>
      <c r="F448" s="2529"/>
      <c r="G448" s="2529"/>
      <c r="H448" s="2529"/>
      <c r="I448" s="2529"/>
      <c r="J448" s="2529"/>
      <c r="K448" s="2529"/>
      <c r="L448" s="2529"/>
      <c r="M448" s="2529"/>
      <c r="N448" s="2529"/>
      <c r="O448" s="2529"/>
      <c r="P448" s="2529"/>
      <c r="Q448" s="2529"/>
      <c r="R448" s="2529"/>
      <c r="S448" s="2529"/>
      <c r="T448" s="2529"/>
      <c r="U448" s="2529"/>
      <c r="V448" s="2529"/>
      <c r="W448" s="2529"/>
      <c r="X448" s="2529"/>
      <c r="Y448" s="2529"/>
      <c r="Z448" s="2529"/>
      <c r="AA448" s="2529"/>
      <c r="AB448" s="2529"/>
      <c r="AC448" s="2529"/>
      <c r="AD448" s="2529"/>
      <c r="AE448" s="2529"/>
      <c r="AL448" s="732"/>
      <c r="AM448" s="570"/>
      <c r="AN448" s="597"/>
    </row>
    <row r="449" spans="1:40" s="550" customFormat="1" ht="12.75" customHeight="1">
      <c r="A449" s="536"/>
      <c r="B449" s="14"/>
      <c r="C449" s="2525" t="s">
        <v>591</v>
      </c>
      <c r="D449" s="248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0" t="s">
        <v>1462</v>
      </c>
      <c r="AG449" s="2450"/>
      <c r="AH449" s="2450"/>
      <c r="AI449" s="2450"/>
      <c r="AJ449" s="2450"/>
      <c r="AK449" s="2450"/>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1" t="s">
        <v>591</v>
      </c>
      <c r="D453" s="2532"/>
      <c r="E453" s="715" t="s">
        <v>1497</v>
      </c>
      <c r="F453" s="2528" t="s">
        <v>1498</v>
      </c>
      <c r="G453" s="2528"/>
      <c r="H453" s="2528"/>
      <c r="I453" s="2528"/>
      <c r="J453" s="2528"/>
      <c r="K453" s="2528"/>
      <c r="L453" s="2528"/>
      <c r="M453" s="2528"/>
      <c r="N453" s="2528"/>
      <c r="O453" s="2528"/>
      <c r="P453" s="2528"/>
      <c r="Q453" s="2528"/>
      <c r="R453" s="2528"/>
      <c r="S453" s="2528"/>
      <c r="T453" s="2528"/>
      <c r="U453" s="2528"/>
      <c r="V453" s="2528"/>
      <c r="W453" s="2528"/>
      <c r="X453" s="2528"/>
      <c r="Y453" s="2528"/>
      <c r="Z453" s="2528"/>
      <c r="AA453" s="2528"/>
      <c r="AB453" s="2528"/>
      <c r="AC453" s="2528"/>
      <c r="AD453" s="2528"/>
      <c r="AE453" s="2528"/>
      <c r="AF453" s="2549" t="s">
        <v>1462</v>
      </c>
      <c r="AG453" s="2549"/>
      <c r="AH453" s="2549"/>
      <c r="AI453" s="2549"/>
      <c r="AJ453" s="2549"/>
      <c r="AK453" s="2549"/>
      <c r="AL453" s="2550"/>
      <c r="AM453" s="570"/>
      <c r="AN453" s="753"/>
    </row>
    <row r="454" spans="1:40" s="550" customFormat="1" ht="12.75" customHeight="1">
      <c r="A454" s="536"/>
      <c r="B454" s="14"/>
      <c r="C454" s="751"/>
      <c r="D454" s="730"/>
      <c r="E454" s="719"/>
      <c r="F454" s="2529"/>
      <c r="G454" s="2529"/>
      <c r="H454" s="2529"/>
      <c r="I454" s="2529"/>
      <c r="J454" s="2529"/>
      <c r="K454" s="2529"/>
      <c r="L454" s="2529"/>
      <c r="M454" s="2529"/>
      <c r="N454" s="2529"/>
      <c r="O454" s="2529"/>
      <c r="P454" s="2529"/>
      <c r="Q454" s="2529"/>
      <c r="R454" s="2529"/>
      <c r="S454" s="2529"/>
      <c r="T454" s="2529"/>
      <c r="U454" s="2529"/>
      <c r="V454" s="2529"/>
      <c r="W454" s="2529"/>
      <c r="X454" s="2529"/>
      <c r="Y454" s="2529"/>
      <c r="Z454" s="2529"/>
      <c r="AA454" s="2529"/>
      <c r="AB454" s="2529"/>
      <c r="AC454" s="2529"/>
      <c r="AD454" s="2529"/>
      <c r="AE454" s="2529"/>
      <c r="AF454" s="591"/>
      <c r="AG454" s="591"/>
      <c r="AH454" s="591"/>
      <c r="AI454" s="591"/>
      <c r="AJ454" s="591"/>
      <c r="AK454" s="591"/>
      <c r="AL454" s="720"/>
      <c r="AM454" s="570"/>
      <c r="AN454" s="754"/>
    </row>
    <row r="455" spans="1:40" s="550" customFormat="1" ht="17.7" customHeight="1">
      <c r="A455" s="536"/>
      <c r="B455" s="14"/>
      <c r="C455" s="756"/>
      <c r="D455" s="723"/>
      <c r="E455" s="724"/>
      <c r="F455" s="2548"/>
      <c r="G455" s="2548"/>
      <c r="H455" s="2548"/>
      <c r="I455" s="2548"/>
      <c r="J455" s="2548"/>
      <c r="K455" s="2548"/>
      <c r="L455" s="2548"/>
      <c r="M455" s="2548"/>
      <c r="N455" s="2548"/>
      <c r="O455" s="2548"/>
      <c r="P455" s="2548"/>
      <c r="Q455" s="2548"/>
      <c r="R455" s="2548"/>
      <c r="S455" s="2548"/>
      <c r="T455" s="2548"/>
      <c r="U455" s="2548"/>
      <c r="V455" s="2548"/>
      <c r="W455" s="2548"/>
      <c r="X455" s="2548"/>
      <c r="Y455" s="2548"/>
      <c r="Z455" s="2548"/>
      <c r="AA455" s="2548"/>
      <c r="AB455" s="2548"/>
      <c r="AC455" s="2548"/>
      <c r="AD455" s="2548"/>
      <c r="AE455" s="254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5" t="s">
        <v>591</v>
      </c>
      <c r="D457" s="2482"/>
      <c r="E457" s="715" t="s">
        <v>1503</v>
      </c>
      <c r="F457" s="2528" t="s">
        <v>1504</v>
      </c>
      <c r="G457" s="2528"/>
      <c r="H457" s="2528"/>
      <c r="I457" s="2528"/>
      <c r="J457" s="2528"/>
      <c r="K457" s="2528"/>
      <c r="L457" s="2528"/>
      <c r="M457" s="2528"/>
      <c r="N457" s="2528"/>
      <c r="O457" s="2528"/>
      <c r="P457" s="2528"/>
      <c r="Q457" s="2528"/>
      <c r="R457" s="2528"/>
      <c r="S457" s="2528"/>
      <c r="T457" s="2528"/>
      <c r="U457" s="2528"/>
      <c r="V457" s="2528"/>
      <c r="W457" s="2528"/>
      <c r="X457" s="2528"/>
      <c r="Y457" s="2528"/>
      <c r="Z457" s="2528"/>
      <c r="AA457" s="2528"/>
      <c r="AB457" s="2528"/>
      <c r="AC457" s="2528"/>
      <c r="AD457" s="2528"/>
      <c r="AE457" s="2528"/>
      <c r="AF457" s="2549" t="s">
        <v>1462</v>
      </c>
      <c r="AG457" s="2549"/>
      <c r="AH457" s="2549"/>
      <c r="AI457" s="2549"/>
      <c r="AJ457" s="2549"/>
      <c r="AK457" s="2549"/>
      <c r="AL457" s="2550"/>
      <c r="AM457" s="570"/>
      <c r="AN457" s="535"/>
    </row>
    <row r="458" spans="1:40" s="550" customFormat="1" ht="12.75" customHeight="1">
      <c r="A458" s="536"/>
      <c r="B458" s="14"/>
      <c r="C458" s="731"/>
      <c r="D458" s="14"/>
      <c r="E458" s="691"/>
      <c r="F458" s="2529"/>
      <c r="G458" s="2529"/>
      <c r="H458" s="2529"/>
      <c r="I458" s="2529"/>
      <c r="J458" s="2529"/>
      <c r="K458" s="2529"/>
      <c r="L458" s="2529"/>
      <c r="M458" s="2529"/>
      <c r="N458" s="2529"/>
      <c r="O458" s="2529"/>
      <c r="P458" s="2529"/>
      <c r="Q458" s="2529"/>
      <c r="R458" s="2529"/>
      <c r="S458" s="2529"/>
      <c r="T458" s="2529"/>
      <c r="U458" s="2529"/>
      <c r="V458" s="2529"/>
      <c r="W458" s="2529"/>
      <c r="X458" s="2529"/>
      <c r="Y458" s="2529"/>
      <c r="Z458" s="2529"/>
      <c r="AA458" s="2529"/>
      <c r="AB458" s="2529"/>
      <c r="AC458" s="2529"/>
      <c r="AD458" s="2529"/>
      <c r="AE458" s="2529"/>
      <c r="AF458" s="539"/>
      <c r="AG458" s="536"/>
      <c r="AL458" s="732"/>
      <c r="AM458" s="570"/>
      <c r="AN458" s="535"/>
    </row>
    <row r="459" spans="1:40" s="550" customFormat="1" ht="12.75" customHeight="1">
      <c r="A459" s="536"/>
      <c r="B459" s="14"/>
      <c r="C459" s="731"/>
      <c r="D459" s="14"/>
      <c r="E459" s="691"/>
      <c r="F459" s="2529"/>
      <c r="G459" s="2529"/>
      <c r="H459" s="2529"/>
      <c r="I459" s="2529"/>
      <c r="J459" s="2529"/>
      <c r="K459" s="2529"/>
      <c r="L459" s="2529"/>
      <c r="M459" s="2529"/>
      <c r="N459" s="2529"/>
      <c r="O459" s="2529"/>
      <c r="P459" s="2529"/>
      <c r="Q459" s="2529"/>
      <c r="R459" s="2529"/>
      <c r="S459" s="2529"/>
      <c r="T459" s="2529"/>
      <c r="U459" s="2529"/>
      <c r="V459" s="2529"/>
      <c r="W459" s="2529"/>
      <c r="X459" s="2529"/>
      <c r="Y459" s="2529"/>
      <c r="Z459" s="2529"/>
      <c r="AA459" s="2529"/>
      <c r="AB459" s="2529"/>
      <c r="AC459" s="2529"/>
      <c r="AD459" s="2529"/>
      <c r="AE459" s="2529"/>
      <c r="AF459" s="539"/>
      <c r="AG459" s="536"/>
      <c r="AL459" s="732"/>
      <c r="AM459" s="570"/>
      <c r="AN459" s="535"/>
    </row>
    <row r="460" spans="1:40" s="550" customFormat="1" ht="12.75" customHeight="1">
      <c r="A460" s="536"/>
      <c r="B460" s="14"/>
      <c r="C460" s="756"/>
      <c r="D460" s="723"/>
      <c r="E460" s="724"/>
      <c r="F460" s="2548"/>
      <c r="G460" s="2548"/>
      <c r="H460" s="2548"/>
      <c r="I460" s="2548"/>
      <c r="J460" s="2548"/>
      <c r="K460" s="2548"/>
      <c r="L460" s="2548"/>
      <c r="M460" s="2548"/>
      <c r="N460" s="2548"/>
      <c r="O460" s="2548"/>
      <c r="P460" s="2548"/>
      <c r="Q460" s="2548"/>
      <c r="R460" s="2548"/>
      <c r="S460" s="2548"/>
      <c r="T460" s="2548"/>
      <c r="U460" s="2548"/>
      <c r="V460" s="2548"/>
      <c r="W460" s="2548"/>
      <c r="X460" s="2548"/>
      <c r="Y460" s="2548"/>
      <c r="Z460" s="2548"/>
      <c r="AA460" s="2548"/>
      <c r="AB460" s="2548"/>
      <c r="AC460" s="2548"/>
      <c r="AD460" s="2548"/>
      <c r="AE460" s="254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8" t="s">
        <v>1507</v>
      </c>
      <c r="G462" s="2528"/>
      <c r="H462" s="2528"/>
      <c r="I462" s="2528"/>
      <c r="J462" s="2528"/>
      <c r="K462" s="2528"/>
      <c r="L462" s="2528"/>
      <c r="M462" s="2528"/>
      <c r="N462" s="2528"/>
      <c r="O462" s="2528"/>
      <c r="P462" s="2528"/>
      <c r="Q462" s="2528"/>
      <c r="R462" s="2528"/>
      <c r="S462" s="2528"/>
      <c r="T462" s="2528"/>
      <c r="U462" s="2528"/>
      <c r="V462" s="2528"/>
      <c r="W462" s="2528"/>
      <c r="X462" s="2528"/>
      <c r="Y462" s="2528"/>
      <c r="Z462" s="2528"/>
      <c r="AA462" s="2528"/>
      <c r="AB462" s="2528"/>
      <c r="AC462" s="2528"/>
      <c r="AD462" s="2528"/>
      <c r="AE462" s="2528"/>
      <c r="AF462" s="2528"/>
      <c r="AG462" s="744"/>
      <c r="AH462" s="714"/>
      <c r="AI462" s="714"/>
      <c r="AJ462" s="714"/>
      <c r="AK462" s="714"/>
      <c r="AL462" s="745"/>
      <c r="AM462" s="570"/>
      <c r="AN462" s="597"/>
    </row>
    <row r="463" spans="1:40" s="550" customFormat="1" ht="12.75" customHeight="1">
      <c r="A463" s="536"/>
      <c r="B463" s="14"/>
      <c r="C463" s="731"/>
      <c r="D463" s="14"/>
      <c r="E463" s="691"/>
      <c r="F463" s="2529"/>
      <c r="G463" s="2529"/>
      <c r="H463" s="2529"/>
      <c r="I463" s="2529"/>
      <c r="J463" s="2529"/>
      <c r="K463" s="2529"/>
      <c r="L463" s="2529"/>
      <c r="M463" s="2529"/>
      <c r="N463" s="2529"/>
      <c r="O463" s="2529"/>
      <c r="P463" s="2529"/>
      <c r="Q463" s="2529"/>
      <c r="R463" s="2529"/>
      <c r="S463" s="2529"/>
      <c r="T463" s="2529"/>
      <c r="U463" s="2529"/>
      <c r="V463" s="2529"/>
      <c r="W463" s="2529"/>
      <c r="X463" s="2529"/>
      <c r="Y463" s="2529"/>
      <c r="Z463" s="2529"/>
      <c r="AA463" s="2529"/>
      <c r="AB463" s="2529"/>
      <c r="AC463" s="2529"/>
      <c r="AD463" s="2529"/>
      <c r="AE463" s="2529"/>
      <c r="AF463" s="2529"/>
      <c r="AL463" s="732"/>
      <c r="AM463" s="570"/>
      <c r="AN463" s="597"/>
    </row>
    <row r="464" spans="1:40" s="550" customFormat="1" ht="12.75" customHeight="1">
      <c r="A464" s="536"/>
      <c r="B464" s="14"/>
      <c r="C464" s="739"/>
      <c r="F464" s="2529"/>
      <c r="G464" s="2529"/>
      <c r="H464" s="2529"/>
      <c r="I464" s="2529"/>
      <c r="J464" s="2529"/>
      <c r="K464" s="2529"/>
      <c r="L464" s="2529"/>
      <c r="M464" s="2529"/>
      <c r="N464" s="2529"/>
      <c r="O464" s="2529"/>
      <c r="P464" s="2529"/>
      <c r="Q464" s="2529"/>
      <c r="R464" s="2529"/>
      <c r="S464" s="2529"/>
      <c r="T464" s="2529"/>
      <c r="U464" s="2529"/>
      <c r="V464" s="2529"/>
      <c r="W464" s="2529"/>
      <c r="X464" s="2529"/>
      <c r="Y464" s="2529"/>
      <c r="Z464" s="2529"/>
      <c r="AA464" s="2529"/>
      <c r="AB464" s="2529"/>
      <c r="AC464" s="2529"/>
      <c r="AD464" s="2529"/>
      <c r="AE464" s="2529"/>
      <c r="AF464" s="2529"/>
      <c r="AL464" s="732"/>
      <c r="AM464" s="570"/>
      <c r="AN464" s="597"/>
    </row>
    <row r="465" spans="1:58" s="550" customFormat="1" ht="12.75" customHeight="1">
      <c r="A465" s="536"/>
      <c r="B465" s="14"/>
      <c r="C465" s="739"/>
      <c r="F465" s="2529"/>
      <c r="G465" s="2529"/>
      <c r="H465" s="2529"/>
      <c r="I465" s="2529"/>
      <c r="J465" s="2529"/>
      <c r="K465" s="2529"/>
      <c r="L465" s="2529"/>
      <c r="M465" s="2529"/>
      <c r="N465" s="2529"/>
      <c r="O465" s="2529"/>
      <c r="P465" s="2529"/>
      <c r="Q465" s="2529"/>
      <c r="R465" s="2529"/>
      <c r="S465" s="2529"/>
      <c r="T465" s="2529"/>
      <c r="U465" s="2529"/>
      <c r="V465" s="2529"/>
      <c r="W465" s="2529"/>
      <c r="X465" s="2529"/>
      <c r="Y465" s="2529"/>
      <c r="Z465" s="2529"/>
      <c r="AA465" s="2529"/>
      <c r="AB465" s="2529"/>
      <c r="AC465" s="2529"/>
      <c r="AD465" s="2529"/>
      <c r="AE465" s="2529"/>
      <c r="AF465" s="2529"/>
      <c r="AL465" s="732"/>
      <c r="AM465" s="570"/>
      <c r="AN465" s="597"/>
    </row>
    <row r="466" spans="1:58" s="550" customFormat="1" ht="12.75" customHeight="1">
      <c r="A466" s="536"/>
      <c r="B466" s="14"/>
      <c r="C466" s="2525" t="s">
        <v>591</v>
      </c>
      <c r="D466" s="248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6" t="s">
        <v>1462</v>
      </c>
      <c r="AG466" s="2526"/>
      <c r="AH466" s="2526"/>
      <c r="AI466" s="2526"/>
      <c r="AJ466" s="2526"/>
      <c r="AK466" s="2526"/>
      <c r="AL466" s="252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5">
        <f>IF(Application!D214="N/A",AS358,AS360)</f>
        <v>10</v>
      </c>
      <c r="AL469" s="2486"/>
      <c r="AM469" s="248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6" t="s">
        <v>1511</v>
      </c>
      <c r="AF472" s="2526"/>
      <c r="AG472" s="2526"/>
      <c r="AH472" s="2526"/>
      <c r="AI472" s="2526"/>
      <c r="AJ472" s="2526"/>
      <c r="AK472" s="252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51" t="s">
        <v>591</v>
      </c>
      <c r="D478" s="2552"/>
      <c r="E478" s="761" t="s">
        <v>507</v>
      </c>
      <c r="F478" s="2553" t="s">
        <v>1517</v>
      </c>
      <c r="G478" s="2553"/>
      <c r="H478" s="2553"/>
      <c r="I478" s="2553"/>
      <c r="J478" s="2553"/>
      <c r="K478" s="2553"/>
      <c r="L478" s="2553"/>
      <c r="M478" s="2553"/>
      <c r="N478" s="2553"/>
      <c r="O478" s="2553"/>
      <c r="P478" s="2553"/>
      <c r="Q478" s="2553"/>
      <c r="R478" s="2553"/>
      <c r="S478" s="2553"/>
      <c r="T478" s="2553"/>
      <c r="U478" s="2553"/>
      <c r="V478" s="2553"/>
      <c r="W478" s="2553"/>
      <c r="X478" s="2553"/>
      <c r="Y478" s="2553"/>
      <c r="Z478" s="2553"/>
      <c r="AA478" s="2553"/>
      <c r="AB478" s="2553"/>
      <c r="AC478" s="2553"/>
      <c r="AD478" s="2553"/>
      <c r="AE478" s="255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4"/>
      <c r="G479" s="2554"/>
      <c r="H479" s="2554"/>
      <c r="I479" s="2554"/>
      <c r="J479" s="2554"/>
      <c r="K479" s="2554"/>
      <c r="L479" s="2554"/>
      <c r="M479" s="2554"/>
      <c r="N479" s="2554"/>
      <c r="O479" s="2554"/>
      <c r="P479" s="2554"/>
      <c r="Q479" s="2554"/>
      <c r="R479" s="2554"/>
      <c r="S479" s="2554"/>
      <c r="T479" s="2554"/>
      <c r="U479" s="2554"/>
      <c r="V479" s="2554"/>
      <c r="W479" s="2554"/>
      <c r="X479" s="2554"/>
      <c r="Y479" s="2554"/>
      <c r="Z479" s="2554"/>
      <c r="AA479" s="2554"/>
      <c r="AB479" s="2554"/>
      <c r="AC479" s="2554"/>
      <c r="AD479" s="2554"/>
      <c r="AE479" s="255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7" t="s">
        <v>591</v>
      </c>
      <c r="G480" s="2627"/>
      <c r="H480" s="2627"/>
      <c r="I480" s="2627"/>
      <c r="J480" s="2627"/>
      <c r="K480" s="2627"/>
      <c r="L480" s="2627"/>
      <c r="M480" s="2627"/>
      <c r="N480" s="2627"/>
      <c r="O480" s="2627"/>
      <c r="P480" s="2627"/>
      <c r="Q480" s="2627"/>
      <c r="R480" s="2627"/>
      <c r="S480" s="2627"/>
      <c r="T480" s="2627"/>
      <c r="U480" s="2627"/>
      <c r="V480" s="2627"/>
      <c r="W480" s="2627"/>
      <c r="X480" s="2627"/>
      <c r="Y480" s="2627"/>
      <c r="Z480" s="262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8" t="s">
        <v>545</v>
      </c>
      <c r="D482" s="2629"/>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6" t="s">
        <v>591</v>
      </c>
      <c r="W485" s="2626"/>
      <c r="X485" s="262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6" t="s">
        <v>591</v>
      </c>
      <c r="W487" s="2626"/>
      <c r="X487" s="262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6" t="s">
        <v>591</v>
      </c>
      <c r="W492" s="2626"/>
      <c r="X492" s="262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6"/>
      <c r="E495" s="261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6" t="s">
        <v>591</v>
      </c>
      <c r="W496" s="2626"/>
      <c r="X496" s="262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6" t="s">
        <v>591</v>
      </c>
      <c r="W498" s="2626"/>
      <c r="X498" s="262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1" t="s">
        <v>591</v>
      </c>
      <c r="D501" s="2552"/>
      <c r="E501" s="761" t="s">
        <v>507</v>
      </c>
      <c r="F501" s="2553" t="s">
        <v>1517</v>
      </c>
      <c r="G501" s="2553"/>
      <c r="H501" s="2553"/>
      <c r="I501" s="2553"/>
      <c r="J501" s="2553"/>
      <c r="K501" s="2553"/>
      <c r="L501" s="2553"/>
      <c r="M501" s="2553"/>
      <c r="N501" s="2553"/>
      <c r="O501" s="2553"/>
      <c r="P501" s="2553"/>
      <c r="Q501" s="2553"/>
      <c r="R501" s="2553"/>
      <c r="S501" s="2553"/>
      <c r="T501" s="2553"/>
      <c r="U501" s="2553"/>
      <c r="V501" s="2553"/>
      <c r="W501" s="2553"/>
      <c r="X501" s="2553"/>
      <c r="Y501" s="2553"/>
      <c r="Z501" s="2553"/>
      <c r="AA501" s="2553"/>
      <c r="AB501" s="2553"/>
      <c r="AC501" s="2553"/>
      <c r="AD501" s="2553"/>
      <c r="AE501" s="255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4"/>
      <c r="G502" s="2554"/>
      <c r="H502" s="2554"/>
      <c r="I502" s="2554"/>
      <c r="J502" s="2554"/>
      <c r="K502" s="2554"/>
      <c r="L502" s="2554"/>
      <c r="M502" s="2554"/>
      <c r="N502" s="2554"/>
      <c r="O502" s="2554"/>
      <c r="P502" s="2554"/>
      <c r="Q502" s="2554"/>
      <c r="R502" s="2554"/>
      <c r="S502" s="2554"/>
      <c r="T502" s="2554"/>
      <c r="U502" s="2554"/>
      <c r="V502" s="2554"/>
      <c r="W502" s="2554"/>
      <c r="X502" s="2554"/>
      <c r="Y502" s="2554"/>
      <c r="Z502" s="2554"/>
      <c r="AA502" s="2554"/>
      <c r="AB502" s="2554"/>
      <c r="AC502" s="2554"/>
      <c r="AD502" s="2554"/>
      <c r="AE502" s="255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2" t="s">
        <v>591</v>
      </c>
      <c r="G503" s="2622"/>
      <c r="H503" s="2622"/>
      <c r="I503" s="2622"/>
      <c r="J503" s="2622"/>
      <c r="K503" s="2622"/>
      <c r="L503" s="2622"/>
      <c r="M503" s="2622"/>
      <c r="N503" s="2622"/>
      <c r="O503" s="2622"/>
      <c r="P503" s="2622"/>
      <c r="Q503" s="2622"/>
      <c r="R503" s="2622"/>
      <c r="S503" s="2622"/>
      <c r="T503" s="2622"/>
      <c r="U503" s="2622"/>
      <c r="V503" s="2622"/>
      <c r="W503" s="2622"/>
      <c r="X503" s="2622"/>
      <c r="Y503" s="2622"/>
      <c r="Z503" s="262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1" t="s">
        <v>591</v>
      </c>
      <c r="D505" s="2552"/>
      <c r="E505" s="761" t="s">
        <v>757</v>
      </c>
      <c r="F505" s="2623" t="s">
        <v>1539</v>
      </c>
      <c r="G505" s="2623"/>
      <c r="H505" s="2623"/>
      <c r="I505" s="2623"/>
      <c r="J505" s="2623"/>
      <c r="K505" s="2623"/>
      <c r="L505" s="2623"/>
      <c r="M505" s="2623"/>
      <c r="N505" s="2623"/>
      <c r="O505" s="2623"/>
      <c r="P505" s="2623"/>
      <c r="Q505" s="2623"/>
      <c r="R505" s="2623"/>
      <c r="S505" s="2623"/>
      <c r="T505" s="2623"/>
      <c r="U505" s="2623"/>
      <c r="V505" s="2623"/>
      <c r="W505" s="2623"/>
      <c r="X505" s="2623"/>
      <c r="Y505" s="2623"/>
      <c r="Z505" s="2623"/>
      <c r="AA505" s="2623"/>
      <c r="AB505" s="2623"/>
      <c r="AC505" s="2623"/>
      <c r="AD505" s="2623"/>
      <c r="AE505" s="262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4"/>
      <c r="G506" s="2624"/>
      <c r="H506" s="2624"/>
      <c r="I506" s="2624"/>
      <c r="J506" s="2624"/>
      <c r="K506" s="2624"/>
      <c r="L506" s="2624"/>
      <c r="M506" s="2624"/>
      <c r="N506" s="2624"/>
      <c r="O506" s="2624"/>
      <c r="P506" s="2624"/>
      <c r="Q506" s="2624"/>
      <c r="R506" s="2624"/>
      <c r="S506" s="2624"/>
      <c r="T506" s="2624"/>
      <c r="U506" s="2624"/>
      <c r="V506" s="2624"/>
      <c r="W506" s="2624"/>
      <c r="X506" s="2624"/>
      <c r="Y506" s="2624"/>
      <c r="Z506" s="2624"/>
      <c r="AA506" s="2624"/>
      <c r="AB506" s="2624"/>
      <c r="AC506" s="2624"/>
      <c r="AD506" s="2624"/>
      <c r="AE506" s="262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5" t="s">
        <v>591</v>
      </c>
      <c r="G508" s="2625"/>
      <c r="H508" s="262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51" t="s">
        <v>591</v>
      </c>
      <c r="D510" s="255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5"/>
      <c r="D512" s="261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7" t="s">
        <v>591</v>
      </c>
      <c r="H513" s="2617"/>
      <c r="I513" s="2617"/>
      <c r="J513" s="2617"/>
      <c r="K513" s="2617"/>
      <c r="L513" s="2617"/>
      <c r="M513" s="2617"/>
      <c r="N513" s="2617"/>
      <c r="O513" s="2617"/>
      <c r="P513" s="2617"/>
      <c r="Q513" s="2617"/>
      <c r="R513" s="2617"/>
      <c r="S513" s="2617"/>
      <c r="T513" s="2617"/>
      <c r="U513" s="2617"/>
      <c r="V513" s="2617"/>
      <c r="W513" s="2617"/>
      <c r="X513" s="2617"/>
      <c r="Y513" s="2617"/>
      <c r="Z513" s="2617"/>
      <c r="AA513" s="2617"/>
      <c r="AB513" s="2617"/>
      <c r="AC513" s="2617"/>
      <c r="AD513" s="2617"/>
      <c r="AE513" s="2617"/>
      <c r="AF513" s="261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5" t="s">
        <v>591</v>
      </c>
      <c r="D515" s="255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5" t="s">
        <v>591</v>
      </c>
      <c r="D519" s="2556"/>
      <c r="F519" s="795" t="s">
        <v>1547</v>
      </c>
      <c r="G519" s="2529" t="s">
        <v>1548</v>
      </c>
      <c r="H519" s="2529"/>
      <c r="I519" s="2529"/>
      <c r="J519" s="2529"/>
      <c r="K519" s="2529"/>
      <c r="L519" s="2529"/>
      <c r="M519" s="2529"/>
      <c r="N519" s="2529"/>
      <c r="O519" s="2529"/>
      <c r="P519" s="2529"/>
      <c r="Q519" s="2529"/>
      <c r="R519" s="2529"/>
      <c r="S519" s="2529"/>
      <c r="T519" s="2529"/>
      <c r="U519" s="2529"/>
      <c r="V519" s="2529"/>
      <c r="W519" s="2529"/>
      <c r="X519" s="2529"/>
      <c r="Y519" s="2529"/>
      <c r="Z519" s="2529"/>
      <c r="AA519" s="2529"/>
      <c r="AB519" s="2529"/>
      <c r="AC519" s="2529"/>
      <c r="AD519" s="2529"/>
      <c r="AE519" s="2529"/>
      <c r="AF519" s="252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8"/>
      <c r="H520" s="2548"/>
      <c r="I520" s="2548"/>
      <c r="J520" s="2548"/>
      <c r="K520" s="2548"/>
      <c r="L520" s="2548"/>
      <c r="M520" s="2548"/>
      <c r="N520" s="2548"/>
      <c r="O520" s="2548"/>
      <c r="P520" s="2548"/>
      <c r="Q520" s="2548"/>
      <c r="R520" s="2548"/>
      <c r="S520" s="2548"/>
      <c r="T520" s="2548"/>
      <c r="U520" s="2548"/>
      <c r="V520" s="2548"/>
      <c r="W520" s="2548"/>
      <c r="X520" s="2548"/>
      <c r="Y520" s="2548"/>
      <c r="Z520" s="2548"/>
      <c r="AA520" s="2548"/>
      <c r="AB520" s="2548"/>
      <c r="AC520" s="2548"/>
      <c r="AD520" s="2548"/>
      <c r="AE520" s="2548"/>
      <c r="AF520" s="254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7" t="s">
        <v>591</v>
      </c>
      <c r="D523" s="255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9" t="s">
        <v>591</v>
      </c>
      <c r="G524" s="2559"/>
      <c r="H524" s="2559"/>
      <c r="I524" s="2559"/>
      <c r="J524" s="2559"/>
      <c r="K524" s="2559"/>
      <c r="L524" s="2559"/>
      <c r="M524" s="2559"/>
      <c r="N524" s="2559"/>
      <c r="O524" s="2559"/>
      <c r="P524" s="2559"/>
      <c r="Q524" s="2559"/>
      <c r="R524" s="2559"/>
      <c r="S524" s="2559"/>
      <c r="T524" s="2559"/>
      <c r="U524" s="2559"/>
      <c r="V524" s="2559"/>
      <c r="W524" s="2559"/>
      <c r="X524" s="2559"/>
      <c r="Y524" s="2559"/>
      <c r="Z524" s="2559"/>
      <c r="AA524" s="2559"/>
      <c r="AB524" s="2559"/>
      <c r="AC524" s="2559"/>
      <c r="AD524" s="2559"/>
      <c r="AE524" s="2559"/>
      <c r="AF524" s="255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0"/>
      <c r="G525" s="2560"/>
      <c r="H525" s="2560"/>
      <c r="I525" s="2560"/>
      <c r="J525" s="2560"/>
      <c r="K525" s="2560"/>
      <c r="L525" s="2560"/>
      <c r="M525" s="2560"/>
      <c r="N525" s="2560"/>
      <c r="O525" s="2560"/>
      <c r="P525" s="2560"/>
      <c r="Q525" s="2560"/>
      <c r="R525" s="2560"/>
      <c r="S525" s="2560"/>
      <c r="T525" s="2560"/>
      <c r="U525" s="2560"/>
      <c r="V525" s="2560"/>
      <c r="W525" s="2560"/>
      <c r="X525" s="2560"/>
      <c r="Y525" s="2560"/>
      <c r="Z525" s="2560"/>
      <c r="AA525" s="2560"/>
      <c r="AB525" s="2560"/>
      <c r="AC525" s="2560"/>
      <c r="AD525" s="2560"/>
      <c r="AE525" s="2560"/>
      <c r="AF525" s="256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5">
        <f>SUM(AG479:AG524)</f>
        <v>0</v>
      </c>
      <c r="AL535" s="2486"/>
      <c r="AM535" s="248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5" t="s">
        <v>1560</v>
      </c>
      <c r="AF538" s="2415"/>
      <c r="AG538" s="2415"/>
      <c r="AH538" s="2415"/>
      <c r="AI538" s="2415"/>
      <c r="AJ538" s="2415"/>
      <c r="AK538" s="2415"/>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2" t="s">
        <v>545</v>
      </c>
      <c r="D541" s="2482"/>
      <c r="E541" s="551"/>
      <c r="F541" s="2609" t="s">
        <v>1561</v>
      </c>
      <c r="G541" s="2610"/>
      <c r="H541" s="2610"/>
      <c r="I541" s="2610"/>
      <c r="J541" s="2610"/>
      <c r="K541" s="2610"/>
      <c r="L541" s="2610"/>
      <c r="M541" s="2610"/>
      <c r="N541" s="2610"/>
      <c r="O541" s="2610"/>
      <c r="P541" s="2610"/>
      <c r="Q541" s="2610"/>
      <c r="R541" s="2610"/>
      <c r="S541" s="2610"/>
      <c r="T541" s="2610"/>
      <c r="U541" s="2610"/>
      <c r="V541" s="2610"/>
      <c r="W541" s="2610"/>
      <c r="X541" s="2610"/>
      <c r="Y541" s="2610"/>
      <c r="Z541" s="2610"/>
      <c r="AA541" s="2610"/>
      <c r="AB541" s="2610"/>
      <c r="AC541" s="2610"/>
      <c r="AD541" s="2610"/>
      <c r="AE541" s="2610"/>
      <c r="AF541" s="2610"/>
      <c r="AG541" s="2610"/>
      <c r="AH541" s="2610"/>
      <c r="AI541" s="2610"/>
      <c r="AJ541" s="2610"/>
      <c r="AK541" s="2610"/>
      <c r="AL541" s="2611"/>
      <c r="AM541" s="595"/>
      <c r="AN541" s="597"/>
    </row>
    <row r="542" spans="1:81" s="550" customFormat="1" ht="12.75" customHeight="1">
      <c r="A542" s="539"/>
      <c r="B542" s="539"/>
      <c r="C542" s="551"/>
      <c r="D542" s="551"/>
      <c r="E542" s="551"/>
      <c r="F542" s="2612"/>
      <c r="G542" s="2613"/>
      <c r="H542" s="2613"/>
      <c r="I542" s="2613"/>
      <c r="J542" s="2613"/>
      <c r="K542" s="2613"/>
      <c r="L542" s="2613"/>
      <c r="M542" s="2613"/>
      <c r="N542" s="2613"/>
      <c r="O542" s="2613"/>
      <c r="P542" s="2613"/>
      <c r="Q542" s="2613"/>
      <c r="R542" s="2613"/>
      <c r="S542" s="2613"/>
      <c r="T542" s="2613"/>
      <c r="U542" s="2613"/>
      <c r="V542" s="2613"/>
      <c r="W542" s="2613"/>
      <c r="X542" s="2613"/>
      <c r="Y542" s="2613"/>
      <c r="Z542" s="2613"/>
      <c r="AA542" s="2613"/>
      <c r="AB542" s="2613"/>
      <c r="AC542" s="2613"/>
      <c r="AD542" s="2613"/>
      <c r="AE542" s="2613"/>
      <c r="AF542" s="2613"/>
      <c r="AG542" s="2613"/>
      <c r="AH542" s="2613"/>
      <c r="AI542" s="2613"/>
      <c r="AJ542" s="2613"/>
      <c r="AK542" s="2613"/>
      <c r="AL542" s="261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2" t="s">
        <v>591</v>
      </c>
      <c r="D544" s="248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4" t="s">
        <v>1563</v>
      </c>
      <c r="G545" s="2505"/>
      <c r="H545" s="2505"/>
      <c r="I545" s="2505"/>
      <c r="J545" s="2505"/>
      <c r="K545" s="2505"/>
      <c r="L545" s="2505"/>
      <c r="M545" s="2505"/>
      <c r="N545" s="2505"/>
      <c r="O545" s="2505"/>
      <c r="P545" s="2505"/>
      <c r="Q545" s="2505"/>
      <c r="R545" s="2505"/>
      <c r="S545" s="2505"/>
      <c r="T545" s="2505"/>
      <c r="U545" s="2505"/>
      <c r="V545" s="2505"/>
      <c r="W545" s="2505"/>
      <c r="X545" s="2505"/>
      <c r="Y545" s="2505"/>
      <c r="Z545" s="2505"/>
      <c r="AA545" s="2505"/>
      <c r="AB545" s="2505"/>
      <c r="AC545" s="2505"/>
      <c r="AD545" s="2505"/>
      <c r="AE545" s="2505"/>
      <c r="AF545" s="2505"/>
      <c r="AG545" s="2505"/>
      <c r="AH545" s="2505"/>
      <c r="AI545" s="2505"/>
      <c r="AJ545" s="2505"/>
      <c r="AK545" s="2505"/>
      <c r="AL545" s="2506"/>
      <c r="AM545" s="595"/>
      <c r="AN545" s="597"/>
      <c r="AS545" s="870"/>
      <c r="AT545" s="870"/>
      <c r="AU545" s="870"/>
      <c r="AV545" s="870"/>
      <c r="AW545" s="870"/>
    </row>
    <row r="546" spans="1:49" s="550" customFormat="1" ht="12.75" customHeight="1">
      <c r="B546" s="806"/>
      <c r="C546" s="806"/>
      <c r="D546" s="806"/>
      <c r="E546" s="806"/>
      <c r="F546" s="2504"/>
      <c r="G546" s="2505"/>
      <c r="H546" s="2505"/>
      <c r="I546" s="2505"/>
      <c r="J546" s="2505"/>
      <c r="K546" s="2505"/>
      <c r="L546" s="2505"/>
      <c r="M546" s="2505"/>
      <c r="N546" s="2505"/>
      <c r="O546" s="2505"/>
      <c r="P546" s="2505"/>
      <c r="Q546" s="2505"/>
      <c r="R546" s="2505"/>
      <c r="S546" s="2505"/>
      <c r="T546" s="2505"/>
      <c r="U546" s="2505"/>
      <c r="V546" s="2505"/>
      <c r="W546" s="2505"/>
      <c r="X546" s="2505"/>
      <c r="Y546" s="2505"/>
      <c r="Z546" s="2505"/>
      <c r="AA546" s="2505"/>
      <c r="AB546" s="2505"/>
      <c r="AC546" s="2505"/>
      <c r="AD546" s="2505"/>
      <c r="AE546" s="2505"/>
      <c r="AF546" s="2505"/>
      <c r="AG546" s="2505"/>
      <c r="AH546" s="2505"/>
      <c r="AI546" s="2505"/>
      <c r="AJ546" s="2505"/>
      <c r="AK546" s="2505"/>
      <c r="AL546" s="2506"/>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4" t="s">
        <v>1564</v>
      </c>
      <c r="G548" s="2505"/>
      <c r="H548" s="2505"/>
      <c r="I548" s="2505"/>
      <c r="J548" s="2505"/>
      <c r="K548" s="2505"/>
      <c r="L548" s="2505"/>
      <c r="M548" s="2505"/>
      <c r="N548" s="2505"/>
      <c r="O548" s="2505"/>
      <c r="P548" s="2505"/>
      <c r="Q548" s="2505"/>
      <c r="R548" s="2505"/>
      <c r="S548" s="2505"/>
      <c r="T548" s="2505"/>
      <c r="U548" s="2505"/>
      <c r="V548" s="2505"/>
      <c r="W548" s="2505"/>
      <c r="X548" s="2505"/>
      <c r="Y548" s="2505"/>
      <c r="Z548" s="2505"/>
      <c r="AA548" s="2505"/>
      <c r="AB548" s="2505"/>
      <c r="AC548" s="2505"/>
      <c r="AD548" s="2505"/>
      <c r="AE548" s="2505"/>
      <c r="AF548" s="2505"/>
      <c r="AG548" s="2505"/>
      <c r="AH548" s="2505"/>
      <c r="AI548" s="2505"/>
      <c r="AJ548" s="2505"/>
      <c r="AK548" s="2505"/>
      <c r="AL548" s="813"/>
      <c r="AM548" s="595"/>
      <c r="AN548" s="597"/>
    </row>
    <row r="549" spans="1:49" s="550" customFormat="1" ht="12.75" customHeight="1">
      <c r="B549" s="806"/>
      <c r="C549" s="806"/>
      <c r="D549" s="806"/>
      <c r="E549" s="806"/>
      <c r="F549" s="2507"/>
      <c r="G549" s="2508"/>
      <c r="H549" s="2508"/>
      <c r="I549" s="2508"/>
      <c r="J549" s="2508"/>
      <c r="K549" s="2508"/>
      <c r="L549" s="2508"/>
      <c r="M549" s="2508"/>
      <c r="N549" s="2508"/>
      <c r="O549" s="2508"/>
      <c r="P549" s="2508"/>
      <c r="Q549" s="2508"/>
      <c r="R549" s="2508"/>
      <c r="S549" s="2508"/>
      <c r="T549" s="2508"/>
      <c r="U549" s="2508"/>
      <c r="V549" s="2508"/>
      <c r="W549" s="2508"/>
      <c r="X549" s="2508"/>
      <c r="Y549" s="2508"/>
      <c r="Z549" s="2508"/>
      <c r="AA549" s="2508"/>
      <c r="AB549" s="2508"/>
      <c r="AC549" s="2508"/>
      <c r="AD549" s="2508"/>
      <c r="AE549" s="2508"/>
      <c r="AF549" s="2508"/>
      <c r="AG549" s="2508"/>
      <c r="AH549" s="2508"/>
      <c r="AI549" s="2508"/>
      <c r="AJ549" s="2508"/>
      <c r="AK549" s="250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1">
        <f>Application!AJ992</f>
        <v>20727184</v>
      </c>
      <c r="AQ550" s="2631"/>
      <c r="AR550" s="2631"/>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8">
        <f>'Sources and Uses Budget'!S107+'Sources and Uses Budget'!T107</f>
        <v>33453611</v>
      </c>
      <c r="AG551" s="2488"/>
      <c r="AH551" s="2488"/>
      <c r="AI551" s="2488"/>
      <c r="AJ551" s="248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6">
        <f>IFERROR(AP559,0)</f>
        <v>45146937.200000003</v>
      </c>
      <c r="AG552" s="2636"/>
      <c r="AH552" s="2636"/>
      <c r="AI552" s="2636"/>
      <c r="AJ552" s="2636"/>
      <c r="AK552" s="595"/>
      <c r="AL552" s="595"/>
      <c r="AM552" s="595"/>
      <c r="AN552" s="597"/>
      <c r="AP552" s="2631">
        <f>Application!AJ1045</f>
        <v>12850854.08</v>
      </c>
      <c r="AQ552" s="2631"/>
      <c r="AR552" s="2631"/>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7">
        <f>IFERROR(ROUNDDOWN(IF(C544="YES",((1-(AF551/AF552))*2),(1-(AF551/AF552))),2),0)</f>
        <v>0.25</v>
      </c>
      <c r="AG553" s="2637"/>
      <c r="AH553" s="2637"/>
      <c r="AI553" s="2637"/>
      <c r="AJ553" s="2637"/>
      <c r="AK553" s="595"/>
      <c r="AL553" s="595"/>
      <c r="AM553" s="595"/>
      <c r="AN553" s="597"/>
      <c r="AP553" s="2634">
        <f>Application!AJ1049</f>
        <v>5389067.8399999999</v>
      </c>
      <c r="AQ553" s="2634"/>
      <c r="AR553" s="263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0">
        <f>IF(((AP552+AP553)/AP550)&gt;0.8,0.8,((AP552+AP553)/AP550))</f>
        <v>0.8</v>
      </c>
      <c r="AQ554" s="2630"/>
      <c r="AR554" s="2630"/>
      <c r="AS554" s="550" t="s">
        <v>2171</v>
      </c>
    </row>
    <row r="555" spans="1:49" s="550" customFormat="1" ht="12.75" customHeight="1">
      <c r="A555" s="624"/>
      <c r="B555" s="2567" t="s">
        <v>2031</v>
      </c>
      <c r="C555" s="2568"/>
      <c r="D555" s="2568"/>
      <c r="E555" s="2568"/>
      <c r="F555" s="2568"/>
      <c r="G555" s="2568"/>
      <c r="H555" s="2568"/>
      <c r="I555" s="2568"/>
      <c r="J555" s="2568"/>
      <c r="K555" s="2568"/>
      <c r="L555" s="2568"/>
      <c r="M555" s="2568"/>
      <c r="N555" s="2568"/>
      <c r="O555" s="2568"/>
      <c r="P555" s="2568"/>
      <c r="Q555" s="2568"/>
      <c r="R555" s="2568"/>
      <c r="S555" s="2568"/>
      <c r="T555" s="2568"/>
      <c r="U555" s="2568"/>
      <c r="V555" s="2568"/>
      <c r="W555" s="2568"/>
      <c r="X555" s="2568"/>
      <c r="Y555" s="2568"/>
      <c r="Z555" s="2568"/>
      <c r="AA555" s="2568"/>
      <c r="AB555" s="2568"/>
      <c r="AC555" s="2568"/>
      <c r="AD555" s="2568"/>
      <c r="AE555" s="2568"/>
      <c r="AF555" s="2568"/>
      <c r="AG555" s="2568"/>
      <c r="AH555" s="2568"/>
      <c r="AI555" s="2568"/>
      <c r="AJ555" s="2569"/>
      <c r="AK555" s="595"/>
      <c r="AL555" s="595"/>
      <c r="AM555" s="595"/>
      <c r="AN555" s="597"/>
    </row>
    <row r="556" spans="1:49" s="550" customFormat="1" ht="12.75" customHeight="1">
      <c r="A556" s="624"/>
      <c r="B556" s="2570"/>
      <c r="C556" s="2571"/>
      <c r="D556" s="2571"/>
      <c r="E556" s="2571"/>
      <c r="F556" s="2571"/>
      <c r="G556" s="2571"/>
      <c r="H556" s="2571"/>
      <c r="I556" s="2571"/>
      <c r="J556" s="2571"/>
      <c r="K556" s="2571"/>
      <c r="L556" s="2571"/>
      <c r="M556" s="2571"/>
      <c r="N556" s="2571"/>
      <c r="O556" s="2571"/>
      <c r="P556" s="2571"/>
      <c r="Q556" s="2571"/>
      <c r="R556" s="2571"/>
      <c r="S556" s="2571"/>
      <c r="T556" s="2571"/>
      <c r="U556" s="2571"/>
      <c r="V556" s="2571"/>
      <c r="W556" s="2571"/>
      <c r="X556" s="2571"/>
      <c r="Y556" s="2571"/>
      <c r="Z556" s="2571"/>
      <c r="AA556" s="2571"/>
      <c r="AB556" s="2571"/>
      <c r="AC556" s="2571"/>
      <c r="AD556" s="2571"/>
      <c r="AE556" s="2571"/>
      <c r="AF556" s="2571"/>
      <c r="AG556" s="2571"/>
      <c r="AH556" s="2571"/>
      <c r="AI556" s="2571"/>
      <c r="AJ556" s="2572"/>
      <c r="AK556" s="595"/>
      <c r="AL556" s="595"/>
      <c r="AM556" s="595"/>
      <c r="AN556" s="597"/>
      <c r="AP556" s="2631">
        <f>AP557-AP552-AP553</f>
        <v>28565190.000000004</v>
      </c>
      <c r="AQ556" s="2540"/>
      <c r="AR556" s="2540"/>
      <c r="AS556" s="550" t="s">
        <v>2173</v>
      </c>
    </row>
    <row r="557" spans="1:49" s="550" customFormat="1" ht="12.75" customHeight="1">
      <c r="A557" s="624"/>
      <c r="B557" s="2573"/>
      <c r="C557" s="2574"/>
      <c r="D557" s="2574"/>
      <c r="E557" s="2574"/>
      <c r="F557" s="2574"/>
      <c r="G557" s="2574"/>
      <c r="H557" s="2574"/>
      <c r="I557" s="2574"/>
      <c r="J557" s="2574"/>
      <c r="K557" s="2574"/>
      <c r="L557" s="2574"/>
      <c r="M557" s="2574"/>
      <c r="N557" s="2574"/>
      <c r="O557" s="2574"/>
      <c r="P557" s="2574"/>
      <c r="Q557" s="2574"/>
      <c r="R557" s="2574"/>
      <c r="S557" s="2574"/>
      <c r="T557" s="2574"/>
      <c r="U557" s="2574"/>
      <c r="V557" s="2574"/>
      <c r="W557" s="2574"/>
      <c r="X557" s="2574"/>
      <c r="Y557" s="2574"/>
      <c r="Z557" s="2574"/>
      <c r="AA557" s="2574"/>
      <c r="AB557" s="2574"/>
      <c r="AC557" s="2574"/>
      <c r="AD557" s="2574"/>
      <c r="AE557" s="2574"/>
      <c r="AF557" s="2574"/>
      <c r="AG557" s="2574"/>
      <c r="AH557" s="2574"/>
      <c r="AI557" s="2574"/>
      <c r="AJ557" s="2575"/>
      <c r="AK557" s="595"/>
      <c r="AL557" s="595"/>
      <c r="AM557" s="595"/>
      <c r="AN557" s="597"/>
      <c r="AP557" s="2631">
        <f>Application!AJ1053</f>
        <v>46805111.920000002</v>
      </c>
      <c r="AQ557" s="2631"/>
      <c r="AR557" s="2631"/>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6">
        <f>IFERROR(IF(AND(C541="N/A",C544="N/A"),0,IF(AF553=0,0,IF((AF553*100)&gt;12,12,(AF553*100)))),0)</f>
        <v>12</v>
      </c>
      <c r="AL559" s="2576"/>
      <c r="AM559" s="2577"/>
      <c r="AN559" s="597"/>
      <c r="AP559" s="2648">
        <f>AP556+(AP550*AP554)</f>
        <v>45146937.200000003</v>
      </c>
      <c r="AQ559" s="2649"/>
      <c r="AR559" s="265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5" t="s">
        <v>1314</v>
      </c>
      <c r="AF562" s="2415"/>
      <c r="AG562" s="2415"/>
      <c r="AH562" s="2415"/>
      <c r="AI562" s="2415"/>
      <c r="AJ562" s="2415"/>
      <c r="AK562" s="241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5" t="s">
        <v>2022</v>
      </c>
      <c r="C564" s="2505"/>
      <c r="D564" s="2505"/>
      <c r="E564" s="2505"/>
      <c r="F564" s="2505"/>
      <c r="G564" s="2505"/>
      <c r="H564" s="2505"/>
      <c r="I564" s="2505"/>
      <c r="J564" s="2505"/>
      <c r="K564" s="2505"/>
      <c r="L564" s="2505"/>
      <c r="M564" s="2505"/>
      <c r="N564" s="2505"/>
      <c r="O564" s="2505"/>
      <c r="P564" s="2505"/>
      <c r="Q564" s="2505"/>
      <c r="R564" s="2505"/>
      <c r="S564" s="2505"/>
      <c r="T564" s="2505"/>
      <c r="U564" s="2505"/>
      <c r="V564" s="2505"/>
      <c r="W564" s="2505"/>
      <c r="X564" s="2505"/>
      <c r="Y564" s="2505"/>
      <c r="Z564" s="2505"/>
      <c r="AA564" s="2505"/>
      <c r="AB564" s="2505"/>
      <c r="AC564" s="2505"/>
      <c r="AD564" s="2505"/>
      <c r="AE564" s="2505"/>
      <c r="AF564" s="2505"/>
      <c r="AG564" s="2505"/>
      <c r="AH564" s="2505"/>
      <c r="AI564" s="2505"/>
      <c r="AJ564" s="2505"/>
      <c r="AK564" s="642"/>
      <c r="AL564" s="573"/>
      <c r="AM564" s="603"/>
      <c r="AN564" s="597"/>
    </row>
    <row r="565" spans="1:42" s="550" customFormat="1" ht="12.75" customHeight="1">
      <c r="A565" s="603"/>
      <c r="B565" s="2505"/>
      <c r="C565" s="2505"/>
      <c r="D565" s="2505"/>
      <c r="E565" s="2505"/>
      <c r="F565" s="2505"/>
      <c r="G565" s="2505"/>
      <c r="H565" s="2505"/>
      <c r="I565" s="2505"/>
      <c r="J565" s="2505"/>
      <c r="K565" s="2505"/>
      <c r="L565" s="2505"/>
      <c r="M565" s="2505"/>
      <c r="N565" s="2505"/>
      <c r="O565" s="2505"/>
      <c r="P565" s="2505"/>
      <c r="Q565" s="2505"/>
      <c r="R565" s="2505"/>
      <c r="S565" s="2505"/>
      <c r="T565" s="2505"/>
      <c r="U565" s="2505"/>
      <c r="V565" s="2505"/>
      <c r="W565" s="2505"/>
      <c r="X565" s="2505"/>
      <c r="Y565" s="2505"/>
      <c r="Z565" s="2505"/>
      <c r="AA565" s="2505"/>
      <c r="AB565" s="2505"/>
      <c r="AC565" s="2505"/>
      <c r="AD565" s="2505"/>
      <c r="AE565" s="2505"/>
      <c r="AF565" s="2505"/>
      <c r="AG565" s="2505"/>
      <c r="AH565" s="2505"/>
      <c r="AI565" s="2505"/>
      <c r="AJ565" s="2505"/>
      <c r="AK565" s="642"/>
      <c r="AL565" s="573"/>
      <c r="AM565" s="603"/>
      <c r="AN565" s="597"/>
    </row>
    <row r="566" spans="1:42" s="550" customFormat="1" ht="12.75" customHeight="1">
      <c r="A566" s="603"/>
      <c r="B566" s="2505"/>
      <c r="C566" s="2505"/>
      <c r="D566" s="2505"/>
      <c r="E566" s="2505"/>
      <c r="F566" s="2505"/>
      <c r="G566" s="2505"/>
      <c r="H566" s="2505"/>
      <c r="I566" s="2505"/>
      <c r="J566" s="2505"/>
      <c r="K566" s="2505"/>
      <c r="L566" s="2505"/>
      <c r="M566" s="2505"/>
      <c r="N566" s="2505"/>
      <c r="O566" s="2505"/>
      <c r="P566" s="2505"/>
      <c r="Q566" s="2505"/>
      <c r="R566" s="2505"/>
      <c r="S566" s="2505"/>
      <c r="T566" s="2505"/>
      <c r="U566" s="2505"/>
      <c r="V566" s="2505"/>
      <c r="W566" s="2505"/>
      <c r="X566" s="2505"/>
      <c r="Y566" s="2505"/>
      <c r="Z566" s="2505"/>
      <c r="AA566" s="2505"/>
      <c r="AB566" s="2505"/>
      <c r="AC566" s="2505"/>
      <c r="AD566" s="2505"/>
      <c r="AE566" s="2505"/>
      <c r="AF566" s="2505"/>
      <c r="AG566" s="2505"/>
      <c r="AH566" s="2505"/>
      <c r="AI566" s="2505"/>
      <c r="AJ566" s="2505"/>
      <c r="AK566" s="642"/>
      <c r="AL566" s="573"/>
      <c r="AM566" s="603"/>
      <c r="AN566" s="597"/>
    </row>
    <row r="567" spans="1:42" s="550" customFormat="1" ht="12.75" customHeight="1">
      <c r="A567" s="603"/>
      <c r="B567" s="2505"/>
      <c r="C567" s="2505"/>
      <c r="D567" s="2505"/>
      <c r="E567" s="2505"/>
      <c r="F567" s="2505"/>
      <c r="G567" s="2505"/>
      <c r="H567" s="2505"/>
      <c r="I567" s="2505"/>
      <c r="J567" s="2505"/>
      <c r="K567" s="2505"/>
      <c r="L567" s="2505"/>
      <c r="M567" s="2505"/>
      <c r="N567" s="2505"/>
      <c r="O567" s="2505"/>
      <c r="P567" s="2505"/>
      <c r="Q567" s="2505"/>
      <c r="R567" s="2505"/>
      <c r="S567" s="2505"/>
      <c r="T567" s="2505"/>
      <c r="U567" s="2505"/>
      <c r="V567" s="2505"/>
      <c r="W567" s="2505"/>
      <c r="X567" s="2505"/>
      <c r="Y567" s="2505"/>
      <c r="Z567" s="2505"/>
      <c r="AA567" s="2505"/>
      <c r="AB567" s="2505"/>
      <c r="AC567" s="2505"/>
      <c r="AD567" s="2505"/>
      <c r="AE567" s="2505"/>
      <c r="AF567" s="2505"/>
      <c r="AG567" s="2505"/>
      <c r="AH567" s="2505"/>
      <c r="AI567" s="2505"/>
      <c r="AJ567" s="2505"/>
      <c r="AK567" s="642"/>
      <c r="AL567" s="573"/>
      <c r="AM567" s="603"/>
      <c r="AN567" s="597"/>
    </row>
    <row r="568" spans="1:42" s="550" customFormat="1" ht="12.75" customHeight="1">
      <c r="A568" s="603"/>
      <c r="B568" s="2505"/>
      <c r="C568" s="2505"/>
      <c r="D568" s="2505"/>
      <c r="E568" s="2505"/>
      <c r="F568" s="2505"/>
      <c r="G568" s="2505"/>
      <c r="H568" s="2505"/>
      <c r="I568" s="2505"/>
      <c r="J568" s="2505"/>
      <c r="K568" s="2505"/>
      <c r="L568" s="2505"/>
      <c r="M568" s="2505"/>
      <c r="N568" s="2505"/>
      <c r="O568" s="2505"/>
      <c r="P568" s="2505"/>
      <c r="Q568" s="2505"/>
      <c r="R568" s="2505"/>
      <c r="S568" s="2505"/>
      <c r="T568" s="2505"/>
      <c r="U568" s="2505"/>
      <c r="V568" s="2505"/>
      <c r="W568" s="2505"/>
      <c r="X568" s="2505"/>
      <c r="Y568" s="2505"/>
      <c r="Z568" s="2505"/>
      <c r="AA568" s="2505"/>
      <c r="AB568" s="2505"/>
      <c r="AC568" s="2505"/>
      <c r="AD568" s="2505"/>
      <c r="AE568" s="2505"/>
      <c r="AF568" s="2505"/>
      <c r="AG568" s="2505"/>
      <c r="AH568" s="2505"/>
      <c r="AI568" s="2505"/>
      <c r="AJ568" s="2505"/>
      <c r="AK568" s="642"/>
      <c r="AL568" s="573"/>
      <c r="AM568" s="603"/>
      <c r="AN568" s="597"/>
    </row>
    <row r="569" spans="1:42" s="550" customFormat="1" ht="12.75" customHeight="1">
      <c r="A569" s="603"/>
      <c r="B569" s="2505"/>
      <c r="C569" s="2505"/>
      <c r="D569" s="2505"/>
      <c r="E569" s="2505"/>
      <c r="F569" s="2505"/>
      <c r="G569" s="2505"/>
      <c r="H569" s="2505"/>
      <c r="I569" s="2505"/>
      <c r="J569" s="2505"/>
      <c r="K569" s="2505"/>
      <c r="L569" s="2505"/>
      <c r="M569" s="2505"/>
      <c r="N569" s="2505"/>
      <c r="O569" s="2505"/>
      <c r="P569" s="2505"/>
      <c r="Q569" s="2505"/>
      <c r="R569" s="2505"/>
      <c r="S569" s="2505"/>
      <c r="T569" s="2505"/>
      <c r="U569" s="2505"/>
      <c r="V569" s="2505"/>
      <c r="W569" s="2505"/>
      <c r="X569" s="2505"/>
      <c r="Y569" s="2505"/>
      <c r="Z569" s="2505"/>
      <c r="AA569" s="2505"/>
      <c r="AB569" s="2505"/>
      <c r="AC569" s="2505"/>
      <c r="AD569" s="2505"/>
      <c r="AE569" s="2505"/>
      <c r="AF569" s="2505"/>
      <c r="AG569" s="2505"/>
      <c r="AH569" s="2505"/>
      <c r="AI569" s="2505"/>
      <c r="AJ569" s="2505"/>
      <c r="AK569" s="642"/>
      <c r="AL569" s="573"/>
      <c r="AM569" s="603"/>
      <c r="AN569" s="597"/>
    </row>
    <row r="570" spans="1:42" s="550" customFormat="1" ht="12.75" customHeight="1">
      <c r="A570" s="603"/>
      <c r="B570" s="2505"/>
      <c r="C570" s="2505"/>
      <c r="D570" s="2505"/>
      <c r="E570" s="2505"/>
      <c r="F570" s="2505"/>
      <c r="G570" s="2505"/>
      <c r="H570" s="2505"/>
      <c r="I570" s="2505"/>
      <c r="J570" s="2505"/>
      <c r="K570" s="2505"/>
      <c r="L570" s="2505"/>
      <c r="M570" s="2505"/>
      <c r="N570" s="2505"/>
      <c r="O570" s="2505"/>
      <c r="P570" s="2505"/>
      <c r="Q570" s="2505"/>
      <c r="R570" s="2505"/>
      <c r="S570" s="2505"/>
      <c r="T570" s="2505"/>
      <c r="U570" s="2505"/>
      <c r="V570" s="2505"/>
      <c r="W570" s="2505"/>
      <c r="X570" s="2505"/>
      <c r="Y570" s="2505"/>
      <c r="Z570" s="2505"/>
      <c r="AA570" s="2505"/>
      <c r="AB570" s="2505"/>
      <c r="AC570" s="2505"/>
      <c r="AD570" s="2505"/>
      <c r="AE570" s="2505"/>
      <c r="AF570" s="2505"/>
      <c r="AG570" s="2505"/>
      <c r="AH570" s="2505"/>
      <c r="AI570" s="2505"/>
      <c r="AJ570" s="2505"/>
      <c r="AK570" s="642"/>
      <c r="AL570" s="573"/>
      <c r="AM570" s="603"/>
      <c r="AN570" s="597"/>
    </row>
    <row r="571" spans="1:42" ht="12.75" customHeight="1">
      <c r="A571" s="603"/>
      <c r="B571" s="2505"/>
      <c r="C571" s="2505"/>
      <c r="D571" s="2505"/>
      <c r="E571" s="2505"/>
      <c r="F571" s="2505"/>
      <c r="G571" s="2505"/>
      <c r="H571" s="2505"/>
      <c r="I571" s="2505"/>
      <c r="J571" s="2505"/>
      <c r="K571" s="2505"/>
      <c r="L571" s="2505"/>
      <c r="M571" s="2505"/>
      <c r="N571" s="2505"/>
      <c r="O571" s="2505"/>
      <c r="P571" s="2505"/>
      <c r="Q571" s="2505"/>
      <c r="R571" s="2505"/>
      <c r="S571" s="2505"/>
      <c r="T571" s="2505"/>
      <c r="U571" s="2505"/>
      <c r="V571" s="2505"/>
      <c r="W571" s="2505"/>
      <c r="X571" s="2505"/>
      <c r="Y571" s="2505"/>
      <c r="Z571" s="2505"/>
      <c r="AA571" s="2505"/>
      <c r="AB571" s="2505"/>
      <c r="AC571" s="2505"/>
      <c r="AD571" s="2505"/>
      <c r="AE571" s="2505"/>
      <c r="AF571" s="2505"/>
      <c r="AG571" s="2505"/>
      <c r="AH571" s="2505"/>
      <c r="AI571" s="2505"/>
      <c r="AJ571" s="2505"/>
      <c r="AK571" s="642"/>
      <c r="AL571" s="573"/>
      <c r="AM571" s="603"/>
    </row>
    <row r="572" spans="1:42" s="550" customFormat="1" ht="12.75" customHeight="1">
      <c r="B572" s="2505"/>
      <c r="C572" s="2505"/>
      <c r="D572" s="2505"/>
      <c r="E572" s="2505"/>
      <c r="F572" s="2505"/>
      <c r="G572" s="2505"/>
      <c r="H572" s="2505"/>
      <c r="I572" s="2505"/>
      <c r="J572" s="2505"/>
      <c r="K572" s="2505"/>
      <c r="L572" s="2505"/>
      <c r="M572" s="2505"/>
      <c r="N572" s="2505"/>
      <c r="O572" s="2505"/>
      <c r="P572" s="2505"/>
      <c r="Q572" s="2505"/>
      <c r="R572" s="2505"/>
      <c r="S572" s="2505"/>
      <c r="T572" s="2505"/>
      <c r="U572" s="2505"/>
      <c r="V572" s="2505"/>
      <c r="W572" s="2505"/>
      <c r="X572" s="2505"/>
      <c r="Y572" s="2505"/>
      <c r="Z572" s="2505"/>
      <c r="AA572" s="2505"/>
      <c r="AB572" s="2505"/>
      <c r="AC572" s="2505"/>
      <c r="AD572" s="2505"/>
      <c r="AE572" s="2505"/>
      <c r="AF572" s="2505"/>
      <c r="AG572" s="2505"/>
      <c r="AH572" s="2505"/>
      <c r="AI572" s="2505"/>
      <c r="AJ572" s="250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0" t="s">
        <v>1338</v>
      </c>
      <c r="AG578" s="2450"/>
      <c r="AH578" s="2450"/>
      <c r="AI578" s="2450"/>
      <c r="AJ578" s="2450"/>
      <c r="AK578" s="2450"/>
      <c r="AL578" s="245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0" t="s">
        <v>1396</v>
      </c>
      <c r="AG585" s="2450"/>
      <c r="AH585" s="2450"/>
      <c r="AI585" s="2450"/>
      <c r="AJ585" s="2450"/>
      <c r="AK585" s="2450"/>
      <c r="AL585" s="245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0" t="s">
        <v>1378</v>
      </c>
      <c r="AG591" s="2450"/>
      <c r="AH591" s="2450"/>
      <c r="AI591" s="2450"/>
      <c r="AJ591" s="2450"/>
      <c r="AK591" s="2450"/>
      <c r="AL591" s="245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0" t="s">
        <v>1399</v>
      </c>
      <c r="AG597" s="2450"/>
      <c r="AH597" s="2450"/>
      <c r="AI597" s="2450"/>
      <c r="AJ597" s="2450"/>
      <c r="AK597" s="2450"/>
      <c r="AL597" s="245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6" t="s">
        <v>1184</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0" t="s">
        <v>1352</v>
      </c>
      <c r="AG603" s="2450"/>
      <c r="AH603" s="2450"/>
      <c r="AI603" s="2450"/>
      <c r="AJ603" s="2450"/>
      <c r="AK603" s="2450"/>
      <c r="AL603" s="245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34" t="s">
        <v>687</v>
      </c>
      <c r="I606" s="2534"/>
      <c r="J606" s="936"/>
      <c r="K606" s="936"/>
      <c r="L606" s="936"/>
      <c r="N606" s="22"/>
      <c r="O606" s="22"/>
      <c r="P606" s="22"/>
      <c r="Q606" s="1151" t="s">
        <v>2176</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5" t="s">
        <v>591</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8" t="s">
        <v>591</v>
      </c>
      <c r="C616" s="2478"/>
      <c r="D616" s="642"/>
      <c r="E616" s="2505" t="s">
        <v>1403</v>
      </c>
      <c r="F616" s="2505"/>
      <c r="G616" s="2505"/>
      <c r="H616" s="2505"/>
      <c r="I616" s="2505"/>
      <c r="J616" s="2505"/>
      <c r="K616" s="2505"/>
      <c r="L616" s="2505"/>
      <c r="M616" s="2505"/>
      <c r="N616" s="2505"/>
      <c r="O616" s="2505"/>
      <c r="P616" s="2505"/>
      <c r="Q616" s="2505"/>
      <c r="R616" s="2505"/>
      <c r="S616" s="2505"/>
      <c r="T616" s="2505"/>
      <c r="U616" s="2505"/>
      <c r="V616" s="2505"/>
      <c r="W616" s="2505"/>
      <c r="X616" s="2505"/>
      <c r="Y616" s="2505"/>
      <c r="Z616" s="2505"/>
      <c r="AA616" s="2505"/>
      <c r="AB616" s="2505"/>
      <c r="AC616" s="2505"/>
      <c r="AD616" s="2505"/>
      <c r="AE616" s="2505"/>
      <c r="AF616" s="2505"/>
      <c r="AG616" s="2505"/>
      <c r="AH616" s="642"/>
      <c r="AI616" s="642"/>
      <c r="AJ616" s="642"/>
      <c r="AK616" s="642"/>
      <c r="AL616" s="642"/>
      <c r="AN616" s="597"/>
    </row>
    <row r="617" spans="1:42" s="550" customFormat="1" ht="12.75" customHeight="1">
      <c r="B617" s="536"/>
      <c r="C617" s="933"/>
      <c r="D617" s="642"/>
      <c r="E617" s="2505"/>
      <c r="F617" s="2505"/>
      <c r="G617" s="2505"/>
      <c r="H617" s="2505"/>
      <c r="I617" s="2505"/>
      <c r="J617" s="2505"/>
      <c r="K617" s="2505"/>
      <c r="L617" s="2505"/>
      <c r="M617" s="2505"/>
      <c r="N617" s="2505"/>
      <c r="O617" s="2505"/>
      <c r="P617" s="2505"/>
      <c r="Q617" s="2505"/>
      <c r="R617" s="2505"/>
      <c r="S617" s="2505"/>
      <c r="T617" s="2505"/>
      <c r="U617" s="2505"/>
      <c r="V617" s="2505"/>
      <c r="W617" s="2505"/>
      <c r="X617" s="2505"/>
      <c r="Y617" s="2505"/>
      <c r="Z617" s="2505"/>
      <c r="AA617" s="2505"/>
      <c r="AB617" s="2505"/>
      <c r="AC617" s="2505"/>
      <c r="AD617" s="2505"/>
      <c r="AE617" s="2505"/>
      <c r="AF617" s="2505"/>
      <c r="AG617" s="2505"/>
      <c r="AH617" s="642"/>
      <c r="AI617" s="642"/>
      <c r="AJ617" s="642"/>
      <c r="AK617" s="642"/>
      <c r="AL617" s="642"/>
      <c r="AN617" s="597"/>
    </row>
    <row r="618" spans="1:42" s="550" customFormat="1" ht="12.75" customHeight="1">
      <c r="B618" s="536"/>
      <c r="C618" s="933"/>
      <c r="D618" s="642"/>
      <c r="E618" s="2505"/>
      <c r="F618" s="2505"/>
      <c r="G618" s="2505"/>
      <c r="H618" s="2505"/>
      <c r="I618" s="2505"/>
      <c r="J618" s="2505"/>
      <c r="K618" s="2505"/>
      <c r="L618" s="2505"/>
      <c r="M618" s="2505"/>
      <c r="N618" s="2505"/>
      <c r="O618" s="2505"/>
      <c r="P618" s="2505"/>
      <c r="Q618" s="2505"/>
      <c r="R618" s="2505"/>
      <c r="S618" s="2505"/>
      <c r="T618" s="2505"/>
      <c r="U618" s="2505"/>
      <c r="V618" s="2505"/>
      <c r="W618" s="2505"/>
      <c r="X618" s="2505"/>
      <c r="Y618" s="2505"/>
      <c r="Z618" s="2505"/>
      <c r="AA618" s="2505"/>
      <c r="AB618" s="2505"/>
      <c r="AC618" s="2505"/>
      <c r="AD618" s="2505"/>
      <c r="AE618" s="2505"/>
      <c r="AF618" s="2505"/>
      <c r="AG618" s="2505"/>
      <c r="AH618" s="642"/>
      <c r="AI618" s="642"/>
      <c r="AJ618" s="642"/>
      <c r="AK618" s="642"/>
      <c r="AL618" s="642"/>
      <c r="AN618" s="597"/>
    </row>
    <row r="619" spans="1:42" s="550" customFormat="1" ht="12.75" customHeight="1">
      <c r="B619" s="536"/>
      <c r="C619" s="933"/>
      <c r="D619" s="642"/>
      <c r="E619" s="2505"/>
      <c r="F619" s="2505"/>
      <c r="G619" s="2505"/>
      <c r="H619" s="2505"/>
      <c r="I619" s="2505"/>
      <c r="J619" s="2505"/>
      <c r="K619" s="2505"/>
      <c r="L619" s="2505"/>
      <c r="M619" s="2505"/>
      <c r="N619" s="2505"/>
      <c r="O619" s="2505"/>
      <c r="P619" s="2505"/>
      <c r="Q619" s="2505"/>
      <c r="R619" s="2505"/>
      <c r="S619" s="2505"/>
      <c r="T619" s="2505"/>
      <c r="U619" s="2505"/>
      <c r="V619" s="2505"/>
      <c r="W619" s="2505"/>
      <c r="X619" s="2505"/>
      <c r="Y619" s="2505"/>
      <c r="Z619" s="2505"/>
      <c r="AA619" s="2505"/>
      <c r="AB619" s="2505"/>
      <c r="AC619" s="2505"/>
      <c r="AD619" s="2505"/>
      <c r="AE619" s="2505"/>
      <c r="AF619" s="2505"/>
      <c r="AG619" s="250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5">
        <f>VLOOKUP($H$606,$AO$586:$AP$591,2,FALSE)+IF(R606=AO594,0,VLOOKUP($I$614,$AO$613:$AP$615,2,FALSE))</f>
        <v>7</v>
      </c>
      <c r="AK621" s="248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450" t="s">
        <v>1352</v>
      </c>
      <c r="AG625" s="2450"/>
      <c r="AH625" s="2450"/>
      <c r="AI625" s="2450"/>
      <c r="AJ625" s="2450"/>
      <c r="AK625" s="2450"/>
      <c r="AL625" s="2450"/>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8" t="s">
        <v>591</v>
      </c>
      <c r="Y634" s="247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0" t="s">
        <v>1408</v>
      </c>
      <c r="AG636" s="2450"/>
      <c r="AH636" s="2450"/>
      <c r="AI636" s="2450"/>
      <c r="AJ636" s="2450"/>
      <c r="AK636" s="2450"/>
      <c r="AL636" s="245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34" t="s">
        <v>687</v>
      </c>
      <c r="I638" s="253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5">
        <f>VLOOKUP($H$638,$AO$605:$AP$607,2,FALSE)</f>
        <v>3</v>
      </c>
      <c r="AK640" s="248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5" t="s">
        <v>2097</v>
      </c>
      <c r="F644" s="2505"/>
      <c r="G644" s="2505"/>
      <c r="H644" s="2505"/>
      <c r="I644" s="2505"/>
      <c r="J644" s="2505"/>
      <c r="K644" s="2505"/>
      <c r="L644" s="2505"/>
      <c r="M644" s="2505"/>
      <c r="N644" s="2505"/>
      <c r="O644" s="2505"/>
      <c r="P644" s="2505"/>
      <c r="Q644" s="2505"/>
      <c r="R644" s="2505"/>
      <c r="S644" s="2505"/>
      <c r="T644" s="2505"/>
      <c r="U644" s="2505"/>
      <c r="V644" s="2505"/>
      <c r="W644" s="2505"/>
      <c r="X644" s="2505"/>
      <c r="Y644" s="2505"/>
      <c r="Z644" s="2505"/>
      <c r="AA644" s="2505"/>
      <c r="AB644" s="2505"/>
      <c r="AC644" s="2505"/>
      <c r="AD644" s="2505"/>
      <c r="AE644" s="536"/>
      <c r="AF644" s="2450" t="s">
        <v>1352</v>
      </c>
      <c r="AG644" s="2450"/>
      <c r="AH644" s="2450"/>
      <c r="AI644" s="2450"/>
      <c r="AJ644" s="2450"/>
      <c r="AK644" s="2450"/>
      <c r="AL644" s="2450"/>
      <c r="AN644" s="597"/>
    </row>
    <row r="645" spans="1:42" s="550" customFormat="1" ht="12.75" customHeight="1">
      <c r="B645" s="536"/>
      <c r="C645" s="536"/>
      <c r="D645" s="663"/>
      <c r="E645" s="2505"/>
      <c r="F645" s="2505"/>
      <c r="G645" s="2505"/>
      <c r="H645" s="2505"/>
      <c r="I645" s="2505"/>
      <c r="J645" s="2505"/>
      <c r="K645" s="2505"/>
      <c r="L645" s="2505"/>
      <c r="M645" s="2505"/>
      <c r="N645" s="2505"/>
      <c r="O645" s="2505"/>
      <c r="P645" s="2505"/>
      <c r="Q645" s="2505"/>
      <c r="R645" s="2505"/>
      <c r="S645" s="2505"/>
      <c r="T645" s="2505"/>
      <c r="U645" s="2505"/>
      <c r="V645" s="2505"/>
      <c r="W645" s="2505"/>
      <c r="X645" s="2505"/>
      <c r="Y645" s="2505"/>
      <c r="Z645" s="2505"/>
      <c r="AA645" s="2505"/>
      <c r="AB645" s="2505"/>
      <c r="AC645" s="2505"/>
      <c r="AD645" s="250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0" t="s">
        <v>1408</v>
      </c>
      <c r="AG647" s="2450"/>
      <c r="AH647" s="2450"/>
      <c r="AI647" s="2450"/>
      <c r="AJ647" s="2450"/>
      <c r="AK647" s="2450"/>
      <c r="AL647" s="245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34" t="s">
        <v>687</v>
      </c>
      <c r="I650" s="253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5">
        <f>VLOOKUP(H650,AT605:AU607,2,FALSE)</f>
        <v>3</v>
      </c>
      <c r="AK652" s="248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5" t="s">
        <v>1418</v>
      </c>
      <c r="F657" s="2505"/>
      <c r="G657" s="2505"/>
      <c r="H657" s="2505"/>
      <c r="I657" s="2505"/>
      <c r="J657" s="2505"/>
      <c r="K657" s="2505"/>
      <c r="L657" s="2505"/>
      <c r="M657" s="2505"/>
      <c r="N657" s="2505"/>
      <c r="O657" s="2505"/>
      <c r="P657" s="2505"/>
      <c r="Q657" s="2505"/>
      <c r="R657" s="2505"/>
      <c r="S657" s="2505"/>
      <c r="T657" s="2505"/>
      <c r="U657" s="2505"/>
      <c r="V657" s="2505"/>
      <c r="W657" s="2505"/>
      <c r="X657" s="2505"/>
      <c r="Y657" s="2505"/>
      <c r="Z657" s="2505"/>
      <c r="AA657" s="2505"/>
      <c r="AB657" s="2505"/>
      <c r="AC657" s="2505"/>
      <c r="AD657" s="536"/>
      <c r="AE657" s="536"/>
      <c r="AF657" s="2450" t="s">
        <v>1378</v>
      </c>
      <c r="AG657" s="2450"/>
      <c r="AH657" s="2450"/>
      <c r="AI657" s="2450"/>
      <c r="AJ657" s="2450"/>
      <c r="AK657" s="2450"/>
      <c r="AL657" s="2450"/>
      <c r="AN657" s="597"/>
    </row>
    <row r="658" spans="1:42" s="550" customFormat="1" ht="12.75" customHeight="1">
      <c r="B658" s="536"/>
      <c r="C658" s="539"/>
      <c r="D658" s="536"/>
      <c r="E658" s="2505"/>
      <c r="F658" s="2505"/>
      <c r="G658" s="2505"/>
      <c r="H658" s="2505"/>
      <c r="I658" s="2505"/>
      <c r="J658" s="2505"/>
      <c r="K658" s="2505"/>
      <c r="L658" s="2505"/>
      <c r="M658" s="2505"/>
      <c r="N658" s="2505"/>
      <c r="O658" s="2505"/>
      <c r="P658" s="2505"/>
      <c r="Q658" s="2505"/>
      <c r="R658" s="2505"/>
      <c r="S658" s="2505"/>
      <c r="T658" s="2505"/>
      <c r="U658" s="2505"/>
      <c r="V658" s="2505"/>
      <c r="W658" s="2505"/>
      <c r="X658" s="2505"/>
      <c r="Y658" s="2505"/>
      <c r="Z658" s="2505"/>
      <c r="AA658" s="2505"/>
      <c r="AB658" s="2505"/>
      <c r="AC658" s="2505"/>
      <c r="AD658" s="536"/>
      <c r="AE658" s="536"/>
      <c r="AF658" s="536"/>
      <c r="AG658" s="536"/>
      <c r="AH658" s="536"/>
      <c r="AI658" s="536"/>
      <c r="AJ658" s="536"/>
      <c r="AK658" s="536"/>
      <c r="AL658" s="536"/>
      <c r="AN658" s="597"/>
    </row>
    <row r="659" spans="1:42" s="550" customFormat="1" ht="12.75" customHeight="1">
      <c r="B659" s="536"/>
      <c r="C659" s="539"/>
      <c r="D659" s="663"/>
      <c r="E659" s="2505"/>
      <c r="F659" s="2505"/>
      <c r="G659" s="2505"/>
      <c r="H659" s="2505"/>
      <c r="I659" s="2505"/>
      <c r="J659" s="2505"/>
      <c r="K659" s="2505"/>
      <c r="L659" s="2505"/>
      <c r="M659" s="2505"/>
      <c r="N659" s="2505"/>
      <c r="O659" s="2505"/>
      <c r="P659" s="2505"/>
      <c r="Q659" s="2505"/>
      <c r="R659" s="2505"/>
      <c r="S659" s="2505"/>
      <c r="T659" s="2505"/>
      <c r="U659" s="2505"/>
      <c r="V659" s="2505"/>
      <c r="W659" s="2505"/>
      <c r="X659" s="2505"/>
      <c r="Y659" s="2505"/>
      <c r="Z659" s="2505"/>
      <c r="AA659" s="2505"/>
      <c r="AB659" s="2505"/>
      <c r="AC659" s="250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5" t="s">
        <v>1419</v>
      </c>
      <c r="F661" s="2505"/>
      <c r="G661" s="2505"/>
      <c r="H661" s="2505"/>
      <c r="I661" s="2505"/>
      <c r="J661" s="2505"/>
      <c r="K661" s="2505"/>
      <c r="L661" s="2505"/>
      <c r="M661" s="2505"/>
      <c r="N661" s="2505"/>
      <c r="O661" s="2505"/>
      <c r="P661" s="2505"/>
      <c r="Q661" s="2505"/>
      <c r="R661" s="2505"/>
      <c r="S661" s="2505"/>
      <c r="T661" s="2505"/>
      <c r="U661" s="2505"/>
      <c r="V661" s="2505"/>
      <c r="W661" s="2505"/>
      <c r="X661" s="2505"/>
      <c r="Y661" s="2505"/>
      <c r="Z661" s="2505"/>
      <c r="AA661" s="2505"/>
      <c r="AB661" s="2505"/>
      <c r="AC661" s="2505"/>
      <c r="AD661" s="536"/>
      <c r="AE661" s="536"/>
      <c r="AF661" s="2450" t="s">
        <v>1399</v>
      </c>
      <c r="AG661" s="2450"/>
      <c r="AH661" s="2450"/>
      <c r="AI661" s="2450"/>
      <c r="AJ661" s="2450"/>
      <c r="AK661" s="2450"/>
      <c r="AL661" s="2450"/>
      <c r="AN661" s="597"/>
    </row>
    <row r="662" spans="1:42" s="550" customFormat="1" ht="12.75" customHeight="1">
      <c r="B662" s="536"/>
      <c r="C662" s="539"/>
      <c r="D662" s="536"/>
      <c r="E662" s="2505"/>
      <c r="F662" s="2505"/>
      <c r="G662" s="2505"/>
      <c r="H662" s="2505"/>
      <c r="I662" s="2505"/>
      <c r="J662" s="2505"/>
      <c r="K662" s="2505"/>
      <c r="L662" s="2505"/>
      <c r="M662" s="2505"/>
      <c r="N662" s="2505"/>
      <c r="O662" s="2505"/>
      <c r="P662" s="2505"/>
      <c r="Q662" s="2505"/>
      <c r="R662" s="2505"/>
      <c r="S662" s="2505"/>
      <c r="T662" s="2505"/>
      <c r="U662" s="2505"/>
      <c r="V662" s="2505"/>
      <c r="W662" s="2505"/>
      <c r="X662" s="2505"/>
      <c r="Y662" s="2505"/>
      <c r="Z662" s="2505"/>
      <c r="AA662" s="2505"/>
      <c r="AB662" s="2505"/>
      <c r="AC662" s="2505"/>
      <c r="AD662" s="536"/>
      <c r="AE662" s="536"/>
      <c r="AF662" s="536"/>
      <c r="AG662" s="536"/>
      <c r="AH662" s="536"/>
      <c r="AI662" s="536"/>
      <c r="AJ662" s="536"/>
      <c r="AK662" s="536"/>
      <c r="AL662" s="536"/>
      <c r="AN662" s="597"/>
    </row>
    <row r="663" spans="1:42" s="550" customFormat="1" ht="15" customHeight="1">
      <c r="B663" s="536"/>
      <c r="C663" s="539"/>
      <c r="D663" s="663"/>
      <c r="E663" s="2505"/>
      <c r="F663" s="2505"/>
      <c r="G663" s="2505"/>
      <c r="H663" s="2505"/>
      <c r="I663" s="2505"/>
      <c r="J663" s="2505"/>
      <c r="K663" s="2505"/>
      <c r="L663" s="2505"/>
      <c r="M663" s="2505"/>
      <c r="N663" s="2505"/>
      <c r="O663" s="2505"/>
      <c r="P663" s="2505"/>
      <c r="Q663" s="2505"/>
      <c r="R663" s="2505"/>
      <c r="S663" s="2505"/>
      <c r="T663" s="2505"/>
      <c r="U663" s="2505"/>
      <c r="V663" s="2505"/>
      <c r="W663" s="2505"/>
      <c r="X663" s="2505"/>
      <c r="Y663" s="2505"/>
      <c r="Z663" s="2505"/>
      <c r="AA663" s="2505"/>
      <c r="AB663" s="2505"/>
      <c r="AC663" s="250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5" t="s">
        <v>1420</v>
      </c>
      <c r="F665" s="2505"/>
      <c r="G665" s="2505"/>
      <c r="H665" s="2505"/>
      <c r="I665" s="2505"/>
      <c r="J665" s="2505"/>
      <c r="K665" s="2505"/>
      <c r="L665" s="2505"/>
      <c r="M665" s="2505"/>
      <c r="N665" s="2505"/>
      <c r="O665" s="2505"/>
      <c r="P665" s="2505"/>
      <c r="Q665" s="2505"/>
      <c r="R665" s="2505"/>
      <c r="S665" s="2505"/>
      <c r="T665" s="2505"/>
      <c r="U665" s="2505"/>
      <c r="V665" s="2505"/>
      <c r="W665" s="2505"/>
      <c r="X665" s="2505"/>
      <c r="Y665" s="2505"/>
      <c r="Z665" s="2505"/>
      <c r="AA665" s="2505"/>
      <c r="AB665" s="2505"/>
      <c r="AC665" s="2505"/>
      <c r="AD665" s="536"/>
      <c r="AE665" s="536"/>
      <c r="AF665" s="2450" t="s">
        <v>1352</v>
      </c>
      <c r="AG665" s="2450"/>
      <c r="AH665" s="2450"/>
      <c r="AI665" s="2450"/>
      <c r="AJ665" s="2450"/>
      <c r="AK665" s="2450"/>
      <c r="AL665" s="2450"/>
      <c r="AN665" s="597"/>
    </row>
    <row r="666" spans="1:42" s="550" customFormat="1" ht="12.75" customHeight="1">
      <c r="B666" s="536"/>
      <c r="C666" s="931"/>
      <c r="D666" s="536"/>
      <c r="E666" s="2505"/>
      <c r="F666" s="2505"/>
      <c r="G666" s="2505"/>
      <c r="H666" s="2505"/>
      <c r="I666" s="2505"/>
      <c r="J666" s="2505"/>
      <c r="K666" s="2505"/>
      <c r="L666" s="2505"/>
      <c r="M666" s="2505"/>
      <c r="N666" s="2505"/>
      <c r="O666" s="2505"/>
      <c r="P666" s="2505"/>
      <c r="Q666" s="2505"/>
      <c r="R666" s="2505"/>
      <c r="S666" s="2505"/>
      <c r="T666" s="2505"/>
      <c r="U666" s="2505"/>
      <c r="V666" s="2505"/>
      <c r="W666" s="2505"/>
      <c r="X666" s="2505"/>
      <c r="Y666" s="2505"/>
      <c r="Z666" s="2505"/>
      <c r="AA666" s="2505"/>
      <c r="AB666" s="2505"/>
      <c r="AC666" s="2505"/>
      <c r="AD666" s="536"/>
      <c r="AE666" s="2450"/>
      <c r="AF666" s="2450"/>
      <c r="AG666" s="2450"/>
      <c r="AH666" s="2450"/>
      <c r="AI666" s="2450"/>
      <c r="AJ666" s="2450"/>
      <c r="AK666" s="2450"/>
      <c r="AL666" s="594"/>
      <c r="AN666" s="597"/>
      <c r="AO666" s="550" t="s">
        <v>591</v>
      </c>
      <c r="AP666" s="673">
        <v>0</v>
      </c>
    </row>
    <row r="667" spans="1:42" s="550" customFormat="1" ht="12.75" customHeight="1">
      <c r="A667" s="679"/>
      <c r="B667" s="536"/>
      <c r="C667" s="536"/>
      <c r="D667" s="663"/>
      <c r="E667" s="2505"/>
      <c r="F667" s="2505"/>
      <c r="G667" s="2505"/>
      <c r="H667" s="2505"/>
      <c r="I667" s="2505"/>
      <c r="J667" s="2505"/>
      <c r="K667" s="2505"/>
      <c r="L667" s="2505"/>
      <c r="M667" s="2505"/>
      <c r="N667" s="2505"/>
      <c r="O667" s="2505"/>
      <c r="P667" s="2505"/>
      <c r="Q667" s="2505"/>
      <c r="R667" s="2505"/>
      <c r="S667" s="2505"/>
      <c r="T667" s="2505"/>
      <c r="U667" s="2505"/>
      <c r="V667" s="2505"/>
      <c r="W667" s="2505"/>
      <c r="X667" s="2505"/>
      <c r="Y667" s="2505"/>
      <c r="Z667" s="2505"/>
      <c r="AA667" s="2505"/>
      <c r="AB667" s="2505"/>
      <c r="AC667" s="2505"/>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5" t="s">
        <v>1421</v>
      </c>
      <c r="F669" s="2505"/>
      <c r="G669" s="2505"/>
      <c r="H669" s="2505"/>
      <c r="I669" s="2505"/>
      <c r="J669" s="2505"/>
      <c r="K669" s="2505"/>
      <c r="L669" s="2505"/>
      <c r="M669" s="2505"/>
      <c r="N669" s="2505"/>
      <c r="O669" s="2505"/>
      <c r="P669" s="2505"/>
      <c r="Q669" s="2505"/>
      <c r="R669" s="2505"/>
      <c r="S669" s="2505"/>
      <c r="T669" s="2505"/>
      <c r="U669" s="2505"/>
      <c r="V669" s="2505"/>
      <c r="W669" s="2505"/>
      <c r="X669" s="2505"/>
      <c r="Y669" s="2505"/>
      <c r="Z669" s="2505"/>
      <c r="AA669" s="2505"/>
      <c r="AB669" s="2505"/>
      <c r="AC669" s="2505"/>
      <c r="AD669" s="536"/>
      <c r="AE669" s="536"/>
      <c r="AF669" s="2450" t="s">
        <v>1399</v>
      </c>
      <c r="AG669" s="2450"/>
      <c r="AH669" s="2450"/>
      <c r="AI669" s="2450"/>
      <c r="AJ669" s="2450"/>
      <c r="AK669" s="2450"/>
      <c r="AL669" s="2450"/>
      <c r="AN669" s="597"/>
    </row>
    <row r="670" spans="1:42" s="550" customFormat="1" ht="12.75" customHeight="1">
      <c r="A670" s="670"/>
      <c r="B670" s="536"/>
      <c r="C670" s="947"/>
      <c r="D670" s="663"/>
      <c r="E670" s="2505"/>
      <c r="F670" s="2505"/>
      <c r="G670" s="2505"/>
      <c r="H670" s="2505"/>
      <c r="I670" s="2505"/>
      <c r="J670" s="2505"/>
      <c r="K670" s="2505"/>
      <c r="L670" s="2505"/>
      <c r="M670" s="2505"/>
      <c r="N670" s="2505"/>
      <c r="O670" s="2505"/>
      <c r="P670" s="2505"/>
      <c r="Q670" s="2505"/>
      <c r="R670" s="2505"/>
      <c r="S670" s="2505"/>
      <c r="T670" s="2505"/>
      <c r="U670" s="2505"/>
      <c r="V670" s="2505"/>
      <c r="W670" s="2505"/>
      <c r="X670" s="2505"/>
      <c r="Y670" s="2505"/>
      <c r="Z670" s="2505"/>
      <c r="AA670" s="2505"/>
      <c r="AB670" s="2505"/>
      <c r="AC670" s="250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5"/>
      <c r="F671" s="2505"/>
      <c r="G671" s="2505"/>
      <c r="H671" s="2505"/>
      <c r="I671" s="2505"/>
      <c r="J671" s="2505"/>
      <c r="K671" s="2505"/>
      <c r="L671" s="2505"/>
      <c r="M671" s="2505"/>
      <c r="N671" s="2505"/>
      <c r="O671" s="2505"/>
      <c r="P671" s="2505"/>
      <c r="Q671" s="2505"/>
      <c r="R671" s="2505"/>
      <c r="S671" s="2505"/>
      <c r="T671" s="2505"/>
      <c r="U671" s="2505"/>
      <c r="V671" s="2505"/>
      <c r="W671" s="2505"/>
      <c r="X671" s="2505"/>
      <c r="Y671" s="2505"/>
      <c r="Z671" s="2505"/>
      <c r="AA671" s="2505"/>
      <c r="AB671" s="2505"/>
      <c r="AC671" s="250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5" t="s">
        <v>1422</v>
      </c>
      <c r="F673" s="2505"/>
      <c r="G673" s="2505"/>
      <c r="H673" s="2505"/>
      <c r="I673" s="2505"/>
      <c r="J673" s="2505"/>
      <c r="K673" s="2505"/>
      <c r="L673" s="2505"/>
      <c r="M673" s="2505"/>
      <c r="N673" s="2505"/>
      <c r="O673" s="2505"/>
      <c r="P673" s="2505"/>
      <c r="Q673" s="2505"/>
      <c r="R673" s="2505"/>
      <c r="S673" s="2505"/>
      <c r="T673" s="2505"/>
      <c r="U673" s="2505"/>
      <c r="V673" s="2505"/>
      <c r="W673" s="2505"/>
      <c r="X673" s="2505"/>
      <c r="Y673" s="2505"/>
      <c r="Z673" s="2505"/>
      <c r="AA673" s="2505"/>
      <c r="AB673" s="2505"/>
      <c r="AC673" s="2505"/>
      <c r="AD673" s="536"/>
      <c r="AE673" s="536"/>
      <c r="AF673" s="2450" t="s">
        <v>1352</v>
      </c>
      <c r="AG673" s="2450"/>
      <c r="AH673" s="2450"/>
      <c r="AI673" s="2450"/>
      <c r="AJ673" s="2450"/>
      <c r="AK673" s="2450"/>
      <c r="AL673" s="2450"/>
      <c r="AM673" s="596"/>
      <c r="AN673" s="597"/>
    </row>
    <row r="674" spans="1:42" s="550" customFormat="1" ht="12.75" customHeight="1">
      <c r="B674" s="536"/>
      <c r="C674" s="931"/>
      <c r="D674" s="663"/>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536"/>
      <c r="AE674" s="536"/>
      <c r="AF674" s="536"/>
      <c r="AG674" s="536"/>
      <c r="AH674" s="536"/>
      <c r="AI674" s="536"/>
      <c r="AJ674" s="536"/>
      <c r="AK674" s="536"/>
      <c r="AL674" s="536"/>
      <c r="AM674" s="596"/>
      <c r="AN674" s="597"/>
    </row>
    <row r="675" spans="1:42" s="550" customFormat="1" ht="12.75" customHeight="1">
      <c r="B675" s="536"/>
      <c r="C675" s="931"/>
      <c r="D675" s="663"/>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5" t="s">
        <v>1423</v>
      </c>
      <c r="F677" s="2505"/>
      <c r="G677" s="2505"/>
      <c r="H677" s="2505"/>
      <c r="I677" s="2505"/>
      <c r="J677" s="2505"/>
      <c r="K677" s="2505"/>
      <c r="L677" s="2505"/>
      <c r="M677" s="2505"/>
      <c r="N677" s="2505"/>
      <c r="O677" s="2505"/>
      <c r="P677" s="2505"/>
      <c r="Q677" s="2505"/>
      <c r="R677" s="2505"/>
      <c r="S677" s="2505"/>
      <c r="T677" s="2505"/>
      <c r="U677" s="2505"/>
      <c r="V677" s="2505"/>
      <c r="W677" s="2505"/>
      <c r="X677" s="2505"/>
      <c r="Y677" s="2505"/>
      <c r="Z677" s="2505"/>
      <c r="AA677" s="2505"/>
      <c r="AB677" s="2505"/>
      <c r="AC677" s="2505"/>
      <c r="AD677" s="536"/>
      <c r="AE677" s="536"/>
      <c r="AF677" s="2450" t="s">
        <v>1408</v>
      </c>
      <c r="AG677" s="2450"/>
      <c r="AH677" s="2450"/>
      <c r="AI677" s="2450"/>
      <c r="AJ677" s="2450"/>
      <c r="AK677" s="2450"/>
      <c r="AL677" s="2450"/>
      <c r="AM677" s="596"/>
      <c r="AN677" s="597"/>
    </row>
    <row r="678" spans="1:42" s="550" customFormat="1" ht="12.75" customHeight="1">
      <c r="A678" s="679"/>
      <c r="B678" s="536"/>
      <c r="C678" s="931"/>
      <c r="D678" s="663"/>
      <c r="E678" s="2505"/>
      <c r="F678" s="2505"/>
      <c r="G678" s="2505"/>
      <c r="H678" s="2505"/>
      <c r="I678" s="2505"/>
      <c r="J678" s="2505"/>
      <c r="K678" s="2505"/>
      <c r="L678" s="2505"/>
      <c r="M678" s="2505"/>
      <c r="N678" s="2505"/>
      <c r="O678" s="2505"/>
      <c r="P678" s="2505"/>
      <c r="Q678" s="2505"/>
      <c r="R678" s="2505"/>
      <c r="S678" s="2505"/>
      <c r="T678" s="2505"/>
      <c r="U678" s="2505"/>
      <c r="V678" s="2505"/>
      <c r="W678" s="2505"/>
      <c r="X678" s="2505"/>
      <c r="Y678" s="2505"/>
      <c r="Z678" s="2505"/>
      <c r="AA678" s="2505"/>
      <c r="AB678" s="2505"/>
      <c r="AC678" s="250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5"/>
      <c r="F679" s="2505"/>
      <c r="G679" s="2505"/>
      <c r="H679" s="2505"/>
      <c r="I679" s="2505"/>
      <c r="J679" s="2505"/>
      <c r="K679" s="2505"/>
      <c r="L679" s="2505"/>
      <c r="M679" s="2505"/>
      <c r="N679" s="2505"/>
      <c r="O679" s="2505"/>
      <c r="P679" s="2505"/>
      <c r="Q679" s="2505"/>
      <c r="R679" s="2505"/>
      <c r="S679" s="2505"/>
      <c r="T679" s="2505"/>
      <c r="U679" s="2505"/>
      <c r="V679" s="2505"/>
      <c r="W679" s="2505"/>
      <c r="X679" s="2505"/>
      <c r="Y679" s="2505"/>
      <c r="Z679" s="2505"/>
      <c r="AA679" s="2505"/>
      <c r="AB679" s="2505"/>
      <c r="AC679" s="250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5" t="s">
        <v>1424</v>
      </c>
      <c r="F681" s="2505"/>
      <c r="G681" s="2505"/>
      <c r="H681" s="2505"/>
      <c r="I681" s="2505"/>
      <c r="J681" s="2505"/>
      <c r="K681" s="2505"/>
      <c r="L681" s="2505"/>
      <c r="M681" s="2505"/>
      <c r="N681" s="2505"/>
      <c r="O681" s="2505"/>
      <c r="P681" s="2505"/>
      <c r="Q681" s="2505"/>
      <c r="R681" s="2505"/>
      <c r="S681" s="2505"/>
      <c r="T681" s="2505"/>
      <c r="U681" s="2505"/>
      <c r="V681" s="2505"/>
      <c r="W681" s="2505"/>
      <c r="X681" s="2505"/>
      <c r="Y681" s="2505"/>
      <c r="Z681" s="2505"/>
      <c r="AA681" s="2505"/>
      <c r="AB681" s="2505"/>
      <c r="AC681" s="2505"/>
      <c r="AD681" s="536"/>
      <c r="AE681" s="536"/>
      <c r="AF681" s="2450" t="s">
        <v>1425</v>
      </c>
      <c r="AG681" s="2450"/>
      <c r="AH681" s="2450"/>
      <c r="AI681" s="2450"/>
      <c r="AJ681" s="2450"/>
      <c r="AK681" s="2450"/>
      <c r="AL681" s="2450"/>
      <c r="AM681" s="596"/>
      <c r="AN681" s="597"/>
      <c r="AO681" s="611" t="s">
        <v>687</v>
      </c>
      <c r="AP681" s="550">
        <v>3</v>
      </c>
    </row>
    <row r="682" spans="1:42" s="550" customFormat="1" ht="12.75" customHeight="1">
      <c r="A682" s="679"/>
      <c r="B682" s="536"/>
      <c r="C682" s="931"/>
      <c r="D682" s="663"/>
      <c r="E682" s="2505"/>
      <c r="F682" s="2505"/>
      <c r="G682" s="2505"/>
      <c r="H682" s="2505"/>
      <c r="I682" s="2505"/>
      <c r="J682" s="2505"/>
      <c r="K682" s="2505"/>
      <c r="L682" s="2505"/>
      <c r="M682" s="2505"/>
      <c r="N682" s="2505"/>
      <c r="O682" s="2505"/>
      <c r="P682" s="2505"/>
      <c r="Q682" s="2505"/>
      <c r="R682" s="2505"/>
      <c r="S682" s="2505"/>
      <c r="T682" s="2505"/>
      <c r="U682" s="2505"/>
      <c r="V682" s="2505"/>
      <c r="W682" s="2505"/>
      <c r="X682" s="2505"/>
      <c r="Y682" s="2505"/>
      <c r="Z682" s="2505"/>
      <c r="AA682" s="2505"/>
      <c r="AB682" s="2505"/>
      <c r="AC682" s="250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5"/>
      <c r="F683" s="2505"/>
      <c r="G683" s="2505"/>
      <c r="H683" s="2505"/>
      <c r="I683" s="2505"/>
      <c r="J683" s="2505"/>
      <c r="K683" s="2505"/>
      <c r="L683" s="2505"/>
      <c r="M683" s="2505"/>
      <c r="N683" s="2505"/>
      <c r="O683" s="2505"/>
      <c r="P683" s="2505"/>
      <c r="Q683" s="2505"/>
      <c r="R683" s="2505"/>
      <c r="S683" s="2505"/>
      <c r="T683" s="2505"/>
      <c r="U683" s="2505"/>
      <c r="V683" s="2505"/>
      <c r="W683" s="2505"/>
      <c r="X683" s="2505"/>
      <c r="Y683" s="2505"/>
      <c r="Z683" s="2505"/>
      <c r="AA683" s="2505"/>
      <c r="AB683" s="2505"/>
      <c r="AC683" s="250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34" t="s">
        <v>509</v>
      </c>
      <c r="I685" s="253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5">
        <f>VLOOKUP($H$685,$AO$633:$AP$640,2,FALSE)</f>
        <v>4</v>
      </c>
      <c r="AK687" s="248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45</v>
      </c>
    </row>
    <row r="691" spans="1:51" s="550" customFormat="1" ht="12.75" customHeight="1">
      <c r="A691" s="679"/>
      <c r="B691" s="536"/>
      <c r="C691" s="948"/>
      <c r="D691" s="663" t="s">
        <v>687</v>
      </c>
      <c r="E691" s="2541" t="s">
        <v>2189</v>
      </c>
      <c r="F691" s="2541"/>
      <c r="G691" s="2541"/>
      <c r="H691" s="2541"/>
      <c r="I691" s="2541"/>
      <c r="J691" s="2541"/>
      <c r="K691" s="2541"/>
      <c r="L691" s="2541"/>
      <c r="M691" s="2541"/>
      <c r="N691" s="2541"/>
      <c r="O691" s="2541"/>
      <c r="P691" s="2541"/>
      <c r="Q691" s="2541"/>
      <c r="R691" s="2541"/>
      <c r="S691" s="2541"/>
      <c r="T691" s="2541"/>
      <c r="U691" s="2541"/>
      <c r="V691" s="2541"/>
      <c r="W691" s="2541"/>
      <c r="X691" s="2541"/>
      <c r="Y691" s="2541"/>
      <c r="Z691" s="2541"/>
      <c r="AA691" s="2541"/>
      <c r="AB691" s="2541"/>
      <c r="AC691" s="536"/>
      <c r="AD691" s="536"/>
      <c r="AE691" s="536"/>
      <c r="AF691" s="2450" t="s">
        <v>1352</v>
      </c>
      <c r="AG691" s="2450"/>
      <c r="AH691" s="2450"/>
      <c r="AI691" s="2450"/>
      <c r="AJ691" s="2450"/>
      <c r="AK691" s="2450"/>
      <c r="AL691" s="2450"/>
      <c r="AN691" s="597"/>
      <c r="AW691" s="22" t="s">
        <v>2184</v>
      </c>
      <c r="AX691" s="550">
        <f>Application!DE753</f>
        <v>15</v>
      </c>
    </row>
    <row r="692" spans="1:51" s="550" customFormat="1" ht="12.75" customHeight="1">
      <c r="A692" s="679"/>
      <c r="B692" s="536"/>
      <c r="C692" s="948"/>
      <c r="D692" s="663"/>
      <c r="E692" s="2541"/>
      <c r="F692" s="2541"/>
      <c r="G692" s="2541"/>
      <c r="H692" s="2541"/>
      <c r="I692" s="2541"/>
      <c r="J692" s="2541"/>
      <c r="K692" s="2541"/>
      <c r="L692" s="2541"/>
      <c r="M692" s="2541"/>
      <c r="N692" s="2541"/>
      <c r="O692" s="2541"/>
      <c r="P692" s="2541"/>
      <c r="Q692" s="2541"/>
      <c r="R692" s="2541"/>
      <c r="S692" s="2541"/>
      <c r="T692" s="2541"/>
      <c r="U692" s="2541"/>
      <c r="V692" s="2541"/>
      <c r="W692" s="2541"/>
      <c r="X692" s="2541"/>
      <c r="Y692" s="2541"/>
      <c r="Z692" s="2541"/>
      <c r="AA692" s="2541"/>
      <c r="AB692" s="2541"/>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505" t="s">
        <v>2133</v>
      </c>
      <c r="F694" s="2505"/>
      <c r="G694" s="2505"/>
      <c r="H694" s="2505"/>
      <c r="I694" s="2505"/>
      <c r="J694" s="2505"/>
      <c r="K694" s="2505"/>
      <c r="L694" s="2505"/>
      <c r="M694" s="2505"/>
      <c r="N694" s="2505"/>
      <c r="O694" s="2505"/>
      <c r="P694" s="2505"/>
      <c r="Q694" s="2505"/>
      <c r="R694" s="2505"/>
      <c r="S694" s="2505"/>
      <c r="T694" s="2505"/>
      <c r="U694" s="2505"/>
      <c r="V694" s="2505"/>
      <c r="W694" s="2505"/>
      <c r="X694" s="2505"/>
      <c r="Y694" s="2505"/>
      <c r="Z694" s="2505"/>
      <c r="AA694" s="2505"/>
      <c r="AB694" s="2505"/>
      <c r="AC694" s="536"/>
      <c r="AD694" s="536"/>
      <c r="AE694" s="536"/>
      <c r="AF694" s="2450" t="s">
        <v>1352</v>
      </c>
      <c r="AG694" s="2450"/>
      <c r="AH694" s="2450"/>
      <c r="AI694" s="2450"/>
      <c r="AJ694" s="2450"/>
      <c r="AK694" s="2450"/>
      <c r="AL694" s="2450"/>
      <c r="AN694" s="597"/>
      <c r="AW694" s="22" t="s">
        <v>2187</v>
      </c>
      <c r="AX694" s="550">
        <f>AX691+AX692+AX693</f>
        <v>15</v>
      </c>
    </row>
    <row r="695" spans="1:51" s="550" customFormat="1" ht="12.75" customHeight="1">
      <c r="B695" s="536"/>
      <c r="C695" s="940"/>
      <c r="D695" s="663"/>
      <c r="E695" s="2505"/>
      <c r="F695" s="2505"/>
      <c r="G695" s="2505"/>
      <c r="H695" s="2505"/>
      <c r="I695" s="2505"/>
      <c r="J695" s="2505"/>
      <c r="K695" s="2505"/>
      <c r="L695" s="2505"/>
      <c r="M695" s="2505"/>
      <c r="N695" s="2505"/>
      <c r="O695" s="2505"/>
      <c r="P695" s="2505"/>
      <c r="Q695" s="2505"/>
      <c r="R695" s="2505"/>
      <c r="S695" s="2505"/>
      <c r="T695" s="2505"/>
      <c r="U695" s="2505"/>
      <c r="V695" s="2505"/>
      <c r="W695" s="2505"/>
      <c r="X695" s="2505"/>
      <c r="Y695" s="2505"/>
      <c r="Z695" s="2505"/>
      <c r="AA695" s="2505"/>
      <c r="AB695" s="2505"/>
      <c r="AC695" s="536"/>
      <c r="AD695" s="536"/>
      <c r="AE695" s="616"/>
      <c r="AF695" s="536"/>
      <c r="AG695" s="536"/>
      <c r="AH695" s="536"/>
      <c r="AI695" s="536"/>
      <c r="AJ695" s="536"/>
      <c r="AK695" s="536"/>
      <c r="AL695" s="536"/>
      <c r="AN695" s="597"/>
      <c r="AO695" s="2540" t="b">
        <f>IF(Application!D211="Special Needs",IF(AY695&gt;=0.25,TRUE,FALSE),IF(AX695&gt;=0.25,TRUE,FALSE))</f>
        <v>1</v>
      </c>
      <c r="AP695" s="2540"/>
      <c r="AW695" s="22" t="s">
        <v>2188</v>
      </c>
      <c r="AX695" s="550">
        <f>IFERROR(AX694/AX690,0)</f>
        <v>0.33333333333333331</v>
      </c>
      <c r="AY695" s="550">
        <f>IFERROR(AX694/(AX690-AX689),0)</f>
        <v>0.33333333333333331</v>
      </c>
    </row>
    <row r="696" spans="1:51" s="550" customFormat="1" ht="12.75" customHeight="1">
      <c r="B696" s="536"/>
      <c r="C696" s="940"/>
      <c r="E696" s="2505"/>
      <c r="F696" s="2505"/>
      <c r="G696" s="2505"/>
      <c r="H696" s="2505"/>
      <c r="I696" s="2505"/>
      <c r="J696" s="2505"/>
      <c r="K696" s="2505"/>
      <c r="L696" s="2505"/>
      <c r="M696" s="2505"/>
      <c r="N696" s="2505"/>
      <c r="O696" s="2505"/>
      <c r="P696" s="2505"/>
      <c r="Q696" s="2505"/>
      <c r="R696" s="2505"/>
      <c r="S696" s="2505"/>
      <c r="T696" s="2505"/>
      <c r="U696" s="2505"/>
      <c r="V696" s="2505"/>
      <c r="W696" s="2505"/>
      <c r="X696" s="2505"/>
      <c r="Y696" s="2505"/>
      <c r="Z696" s="2505"/>
      <c r="AA696" s="2505"/>
      <c r="AB696" s="2505"/>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5"/>
      <c r="F697" s="2505"/>
      <c r="G697" s="2505"/>
      <c r="H697" s="2505"/>
      <c r="I697" s="2505"/>
      <c r="J697" s="2505"/>
      <c r="K697" s="2505"/>
      <c r="L697" s="2505"/>
      <c r="M697" s="2505"/>
      <c r="N697" s="2505"/>
      <c r="O697" s="2505"/>
      <c r="P697" s="2505"/>
      <c r="Q697" s="2505"/>
      <c r="R697" s="2505"/>
      <c r="S697" s="2505"/>
      <c r="T697" s="2505"/>
      <c r="U697" s="2505"/>
      <c r="V697" s="2505"/>
      <c r="W697" s="2505"/>
      <c r="X697" s="2505"/>
      <c r="Y697" s="2505"/>
      <c r="Z697" s="2505"/>
      <c r="AA697" s="2505"/>
      <c r="AB697" s="250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505" t="s">
        <v>2134</v>
      </c>
      <c r="F699" s="2505"/>
      <c r="G699" s="2505"/>
      <c r="H699" s="2505"/>
      <c r="I699" s="2505"/>
      <c r="J699" s="2505"/>
      <c r="K699" s="2505"/>
      <c r="L699" s="2505"/>
      <c r="M699" s="2505"/>
      <c r="N699" s="2505"/>
      <c r="O699" s="2505"/>
      <c r="P699" s="2505"/>
      <c r="Q699" s="2505"/>
      <c r="R699" s="2505"/>
      <c r="S699" s="2505"/>
      <c r="T699" s="2505"/>
      <c r="U699" s="2505"/>
      <c r="V699" s="2505"/>
      <c r="W699" s="2505"/>
      <c r="X699" s="2505"/>
      <c r="Y699" s="2505"/>
      <c r="Z699" s="2505"/>
      <c r="AA699" s="2505"/>
      <c r="AB699" s="2505"/>
      <c r="AC699" s="536"/>
      <c r="AD699" s="536"/>
      <c r="AE699" s="536"/>
      <c r="AF699" s="2450" t="s">
        <v>1408</v>
      </c>
      <c r="AG699" s="2450"/>
      <c r="AH699" s="2450"/>
      <c r="AI699" s="2450"/>
      <c r="AJ699" s="2450"/>
      <c r="AK699" s="2450"/>
      <c r="AL699" s="2450"/>
      <c r="AN699" s="597"/>
      <c r="AO699" s="611" t="s">
        <v>509</v>
      </c>
      <c r="AP699" s="550">
        <v>1</v>
      </c>
    </row>
    <row r="700" spans="1:51" s="550" customFormat="1" ht="12" customHeight="1">
      <c r="B700" s="536"/>
      <c r="C700" s="931"/>
      <c r="E700" s="2505"/>
      <c r="F700" s="2505"/>
      <c r="G700" s="2505"/>
      <c r="H700" s="2505"/>
      <c r="I700" s="2505"/>
      <c r="J700" s="2505"/>
      <c r="K700" s="2505"/>
      <c r="L700" s="2505"/>
      <c r="M700" s="2505"/>
      <c r="N700" s="2505"/>
      <c r="O700" s="2505"/>
      <c r="P700" s="2505"/>
      <c r="Q700" s="2505"/>
      <c r="R700" s="2505"/>
      <c r="S700" s="2505"/>
      <c r="T700" s="2505"/>
      <c r="U700" s="2505"/>
      <c r="V700" s="2505"/>
      <c r="W700" s="2505"/>
      <c r="X700" s="2505"/>
      <c r="Y700" s="2505"/>
      <c r="Z700" s="2505"/>
      <c r="AA700" s="2505"/>
      <c r="AB700" s="2505"/>
      <c r="AC700" s="536"/>
      <c r="AD700" s="536"/>
      <c r="AE700" s="616"/>
      <c r="AF700" s="536"/>
      <c r="AG700" s="536"/>
      <c r="AH700" s="536"/>
      <c r="AI700" s="536"/>
      <c r="AJ700" s="536"/>
      <c r="AK700" s="536"/>
      <c r="AL700" s="536"/>
      <c r="AN700" s="597"/>
    </row>
    <row r="701" spans="1:51" s="550" customFormat="1" ht="12" customHeight="1">
      <c r="B701" s="536"/>
      <c r="C701" s="931"/>
      <c r="D701" s="536"/>
      <c r="E701" s="2505"/>
      <c r="F701" s="2505"/>
      <c r="G701" s="2505"/>
      <c r="H701" s="2505"/>
      <c r="I701" s="2505"/>
      <c r="J701" s="2505"/>
      <c r="K701" s="2505"/>
      <c r="L701" s="2505"/>
      <c r="M701" s="2505"/>
      <c r="N701" s="2505"/>
      <c r="O701" s="2505"/>
      <c r="P701" s="2505"/>
      <c r="Q701" s="2505"/>
      <c r="R701" s="2505"/>
      <c r="S701" s="2505"/>
      <c r="T701" s="2505"/>
      <c r="U701" s="2505"/>
      <c r="V701" s="2505"/>
      <c r="W701" s="2505"/>
      <c r="X701" s="2505"/>
      <c r="Y701" s="2505"/>
      <c r="Z701" s="2505"/>
      <c r="AA701" s="2505"/>
      <c r="AB701" s="2505"/>
      <c r="AC701" s="536"/>
      <c r="AD701" s="536"/>
      <c r="AE701" s="616"/>
      <c r="AF701" s="536"/>
      <c r="AG701" s="536"/>
      <c r="AH701" s="536"/>
      <c r="AI701" s="536"/>
      <c r="AJ701" s="536"/>
      <c r="AK701" s="536"/>
      <c r="AL701" s="536"/>
      <c r="AN701" s="597"/>
    </row>
    <row r="702" spans="1:51" s="550" customFormat="1" ht="12" customHeight="1">
      <c r="B702" s="536"/>
      <c r="C702" s="931"/>
      <c r="D702" s="536"/>
      <c r="E702" s="2505"/>
      <c r="F702" s="2505"/>
      <c r="G702" s="2505"/>
      <c r="H702" s="2505"/>
      <c r="I702" s="2505"/>
      <c r="J702" s="2505"/>
      <c r="K702" s="2505"/>
      <c r="L702" s="2505"/>
      <c r="M702" s="2505"/>
      <c r="N702" s="2505"/>
      <c r="O702" s="2505"/>
      <c r="P702" s="2505"/>
      <c r="Q702" s="2505"/>
      <c r="R702" s="2505"/>
      <c r="S702" s="2505"/>
      <c r="T702" s="2505"/>
      <c r="U702" s="2505"/>
      <c r="V702" s="2505"/>
      <c r="W702" s="2505"/>
      <c r="X702" s="2505"/>
      <c r="Y702" s="2505"/>
      <c r="Z702" s="2505"/>
      <c r="AA702" s="2505"/>
      <c r="AB702" s="2505"/>
      <c r="AC702" s="536"/>
      <c r="AD702" s="536"/>
      <c r="AE702" s="616"/>
      <c r="AF702" s="536"/>
      <c r="AG702" s="536"/>
      <c r="AH702" s="536"/>
      <c r="AI702" s="536"/>
      <c r="AJ702" s="536"/>
      <c r="AK702" s="536"/>
      <c r="AL702" s="536"/>
      <c r="AN702" s="597"/>
    </row>
    <row r="703" spans="1:51" s="570" customFormat="1" ht="13.05" customHeight="1">
      <c r="A703" s="550"/>
      <c r="B703" s="536"/>
      <c r="C703" s="931"/>
      <c r="D703" s="536"/>
      <c r="E703" s="2505"/>
      <c r="F703" s="2505"/>
      <c r="G703" s="2505"/>
      <c r="H703" s="2505"/>
      <c r="I703" s="2505"/>
      <c r="J703" s="2505"/>
      <c r="K703" s="2505"/>
      <c r="L703" s="2505"/>
      <c r="M703" s="2505"/>
      <c r="N703" s="2505"/>
      <c r="O703" s="2505"/>
      <c r="P703" s="2505"/>
      <c r="Q703" s="2505"/>
      <c r="R703" s="2505"/>
      <c r="S703" s="2505"/>
      <c r="T703" s="2505"/>
      <c r="U703" s="2505"/>
      <c r="V703" s="2505"/>
      <c r="W703" s="2505"/>
      <c r="X703" s="2505"/>
      <c r="Y703" s="2505"/>
      <c r="Z703" s="2505"/>
      <c r="AA703" s="2505"/>
      <c r="AB703" s="250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5" t="s">
        <v>1693</v>
      </c>
      <c r="F705" s="2505"/>
      <c r="G705" s="2505"/>
      <c r="H705" s="2505"/>
      <c r="I705" s="2505"/>
      <c r="J705" s="2505"/>
      <c r="K705" s="2505"/>
      <c r="L705" s="2505"/>
      <c r="M705" s="2505"/>
      <c r="N705" s="2505"/>
      <c r="O705" s="2505"/>
      <c r="P705" s="2505"/>
      <c r="Q705" s="2505"/>
      <c r="R705" s="2505"/>
      <c r="S705" s="2505"/>
      <c r="T705" s="2505"/>
      <c r="U705" s="2505"/>
      <c r="V705" s="2505"/>
      <c r="W705" s="2505"/>
      <c r="X705" s="2505"/>
      <c r="Y705" s="2505"/>
      <c r="Z705" s="2505"/>
      <c r="AA705" s="2505"/>
      <c r="AB705" s="2505"/>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505"/>
      <c r="F706" s="2505"/>
      <c r="G706" s="2505"/>
      <c r="H706" s="2505"/>
      <c r="I706" s="2505"/>
      <c r="J706" s="2505"/>
      <c r="K706" s="2505"/>
      <c r="L706" s="2505"/>
      <c r="M706" s="2505"/>
      <c r="N706" s="2505"/>
      <c r="O706" s="2505"/>
      <c r="P706" s="2505"/>
      <c r="Q706" s="2505"/>
      <c r="R706" s="2505"/>
      <c r="S706" s="2505"/>
      <c r="T706" s="2505"/>
      <c r="U706" s="2505"/>
      <c r="V706" s="2505"/>
      <c r="W706" s="2505"/>
      <c r="X706" s="2505"/>
      <c r="Y706" s="2505"/>
      <c r="Z706" s="2505"/>
      <c r="AA706" s="2505"/>
      <c r="AB706" s="250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5"/>
      <c r="F707" s="2505"/>
      <c r="G707" s="2505"/>
      <c r="H707" s="2505"/>
      <c r="I707" s="2505"/>
      <c r="J707" s="2505"/>
      <c r="K707" s="2505"/>
      <c r="L707" s="2505"/>
      <c r="M707" s="2505"/>
      <c r="N707" s="2505"/>
      <c r="O707" s="2505"/>
      <c r="P707" s="2505"/>
      <c r="Q707" s="2505"/>
      <c r="R707" s="2505"/>
      <c r="S707" s="2505"/>
      <c r="T707" s="2505"/>
      <c r="U707" s="2505"/>
      <c r="V707" s="2505"/>
      <c r="W707" s="2505"/>
      <c r="X707" s="2505"/>
      <c r="Y707" s="2505"/>
      <c r="Z707" s="2505"/>
      <c r="AA707" s="2505"/>
      <c r="AB707" s="250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34" t="s">
        <v>509</v>
      </c>
      <c r="I709" s="253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5">
        <f>VLOOKUP($H$709,$AO$703:$AP$706,2,FALSE)</f>
        <v>3</v>
      </c>
      <c r="AK711" s="248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2" t="s">
        <v>1695</v>
      </c>
      <c r="F715" s="2542"/>
      <c r="G715" s="2542"/>
      <c r="H715" s="2542"/>
      <c r="I715" s="2542"/>
      <c r="J715" s="2542"/>
      <c r="K715" s="2542"/>
      <c r="L715" s="2542"/>
      <c r="M715" s="2542"/>
      <c r="N715" s="2542"/>
      <c r="O715" s="2542"/>
      <c r="P715" s="2542"/>
      <c r="Q715" s="2542"/>
      <c r="R715" s="2542"/>
      <c r="S715" s="2542"/>
      <c r="T715" s="2542"/>
      <c r="U715" s="2542"/>
      <c r="V715" s="2542"/>
      <c r="W715" s="2542"/>
      <c r="X715" s="2542"/>
      <c r="Y715" s="2542"/>
      <c r="Z715" s="2542"/>
      <c r="AA715" s="2542"/>
      <c r="AB715" s="2542"/>
      <c r="AC715" s="536"/>
      <c r="AD715" s="536"/>
      <c r="AE715" s="536"/>
      <c r="AF715" s="2450" t="s">
        <v>1352</v>
      </c>
      <c r="AG715" s="2450"/>
      <c r="AH715" s="2450"/>
      <c r="AI715" s="2450"/>
      <c r="AJ715" s="2450"/>
      <c r="AK715" s="2450"/>
      <c r="AL715" s="2450"/>
      <c r="AM715" s="550"/>
      <c r="AN715" s="684"/>
      <c r="AP715" s="570" t="s">
        <v>1432</v>
      </c>
    </row>
    <row r="716" spans="1:43" s="570" customFormat="1" ht="11.85" customHeight="1">
      <c r="A716" s="550"/>
      <c r="B716" s="536"/>
      <c r="C716" s="933"/>
      <c r="D716" s="663"/>
      <c r="E716" s="2542"/>
      <c r="F716" s="2542"/>
      <c r="G716" s="2542"/>
      <c r="H716" s="2542"/>
      <c r="I716" s="2542"/>
      <c r="J716" s="2542"/>
      <c r="K716" s="2542"/>
      <c r="L716" s="2542"/>
      <c r="M716" s="2542"/>
      <c r="N716" s="2542"/>
      <c r="O716" s="2542"/>
      <c r="P716" s="2542"/>
      <c r="Q716" s="2542"/>
      <c r="R716" s="2542"/>
      <c r="S716" s="2542"/>
      <c r="T716" s="2542"/>
      <c r="U716" s="2542"/>
      <c r="V716" s="2542"/>
      <c r="W716" s="2542"/>
      <c r="X716" s="2542"/>
      <c r="Y716" s="2542"/>
      <c r="Z716" s="2542"/>
      <c r="AA716" s="2542"/>
      <c r="AB716" s="2542"/>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42"/>
      <c r="F717" s="2542"/>
      <c r="G717" s="2542"/>
      <c r="H717" s="2542"/>
      <c r="I717" s="2542"/>
      <c r="J717" s="2542"/>
      <c r="K717" s="2542"/>
      <c r="L717" s="2542"/>
      <c r="M717" s="2542"/>
      <c r="N717" s="2542"/>
      <c r="O717" s="2542"/>
      <c r="P717" s="2542"/>
      <c r="Q717" s="2542"/>
      <c r="R717" s="2542"/>
      <c r="S717" s="2542"/>
      <c r="T717" s="2542"/>
      <c r="U717" s="2542"/>
      <c r="V717" s="2542"/>
      <c r="W717" s="2542"/>
      <c r="X717" s="2542"/>
      <c r="Y717" s="2542"/>
      <c r="Z717" s="2542"/>
      <c r="AA717" s="2542"/>
      <c r="AB717" s="2542"/>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43" t="s">
        <v>1435</v>
      </c>
      <c r="F719" s="2543"/>
      <c r="G719" s="2543"/>
      <c r="H719" s="2543"/>
      <c r="I719" s="2543"/>
      <c r="J719" s="2543"/>
      <c r="K719" s="2543"/>
      <c r="L719" s="2543"/>
      <c r="M719" s="2543"/>
      <c r="N719" s="2543"/>
      <c r="O719" s="2543"/>
      <c r="P719" s="2543"/>
      <c r="Q719" s="2543"/>
      <c r="R719" s="2543"/>
      <c r="S719" s="2543"/>
      <c r="T719" s="2543"/>
      <c r="U719" s="2543"/>
      <c r="V719" s="2543"/>
      <c r="W719" s="2543"/>
      <c r="X719" s="2543"/>
      <c r="Y719" s="2543"/>
      <c r="Z719" s="2543"/>
      <c r="AA719" s="2543"/>
      <c r="AB719" s="2543"/>
      <c r="AC719" s="536"/>
      <c r="AD719" s="536"/>
      <c r="AE719" s="536"/>
      <c r="AF719" s="2450" t="s">
        <v>1408</v>
      </c>
      <c r="AG719" s="2450"/>
      <c r="AH719" s="2450"/>
      <c r="AI719" s="2450"/>
      <c r="AJ719" s="2450"/>
      <c r="AK719" s="2450"/>
      <c r="AL719" s="2450"/>
      <c r="AM719" s="550"/>
      <c r="AN719" s="685"/>
    </row>
    <row r="720" spans="1:43" s="570" customFormat="1" ht="12.75" customHeight="1">
      <c r="A720" s="550"/>
      <c r="B720" s="536"/>
      <c r="C720" s="933"/>
      <c r="D720" s="536"/>
      <c r="E720" s="2543"/>
      <c r="F720" s="2543"/>
      <c r="G720" s="2543"/>
      <c r="H720" s="2543"/>
      <c r="I720" s="2543"/>
      <c r="J720" s="2543"/>
      <c r="K720" s="2543"/>
      <c r="L720" s="2543"/>
      <c r="M720" s="2543"/>
      <c r="N720" s="2543"/>
      <c r="O720" s="2543"/>
      <c r="P720" s="2543"/>
      <c r="Q720" s="2543"/>
      <c r="R720" s="2543"/>
      <c r="S720" s="2543"/>
      <c r="T720" s="2543"/>
      <c r="U720" s="2543"/>
      <c r="V720" s="2543"/>
      <c r="W720" s="2543"/>
      <c r="X720" s="2543"/>
      <c r="Y720" s="2543"/>
      <c r="Z720" s="2543"/>
      <c r="AA720" s="2543"/>
      <c r="AB720" s="2543"/>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43"/>
      <c r="F721" s="2543"/>
      <c r="G721" s="2543"/>
      <c r="H721" s="2543"/>
      <c r="I721" s="2543"/>
      <c r="J721" s="2543"/>
      <c r="K721" s="2543"/>
      <c r="L721" s="2543"/>
      <c r="M721" s="2543"/>
      <c r="N721" s="2543"/>
      <c r="O721" s="2543"/>
      <c r="P721" s="2543"/>
      <c r="Q721" s="2543"/>
      <c r="R721" s="2543"/>
      <c r="S721" s="2543"/>
      <c r="T721" s="2543"/>
      <c r="U721" s="2543"/>
      <c r="V721" s="2543"/>
      <c r="W721" s="2543"/>
      <c r="X721" s="2543"/>
      <c r="Y721" s="2543"/>
      <c r="Z721" s="2543"/>
      <c r="AA721" s="2543"/>
      <c r="AB721" s="2543"/>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534" t="s">
        <v>591</v>
      </c>
      <c r="I723" s="253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5">
        <f>VLOOKUP($H$723,$AP$720:$AQ$722,2,FALSE)</f>
        <v>0</v>
      </c>
      <c r="AK725" s="2487"/>
      <c r="AL725" s="595"/>
      <c r="AM725" s="550"/>
      <c r="AN725" s="684"/>
      <c r="AP725" s="2485"/>
      <c r="AQ725" s="248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5" t="s">
        <v>1696</v>
      </c>
      <c r="F729" s="2505"/>
      <c r="G729" s="2505"/>
      <c r="H729" s="2505"/>
      <c r="I729" s="2505"/>
      <c r="J729" s="2505"/>
      <c r="K729" s="2505"/>
      <c r="L729" s="2505"/>
      <c r="M729" s="2505"/>
      <c r="N729" s="2505"/>
      <c r="O729" s="2505"/>
      <c r="P729" s="2505"/>
      <c r="Q729" s="2505"/>
      <c r="R729" s="2505"/>
      <c r="S729" s="2505"/>
      <c r="T729" s="2505"/>
      <c r="U729" s="2505"/>
      <c r="V729" s="2505"/>
      <c r="W729" s="2505"/>
      <c r="X729" s="2505"/>
      <c r="Y729" s="2505"/>
      <c r="Z729" s="2505"/>
      <c r="AA729" s="2505"/>
      <c r="AB729" s="2505"/>
      <c r="AC729" s="536"/>
      <c r="AD729" s="536"/>
      <c r="AE729" s="536"/>
      <c r="AF729" s="2450" t="s">
        <v>1352</v>
      </c>
      <c r="AG729" s="2450"/>
      <c r="AH729" s="2450"/>
      <c r="AI729" s="2450"/>
      <c r="AJ729" s="2450"/>
      <c r="AK729" s="2450"/>
      <c r="AL729" s="2450"/>
      <c r="AM729" s="550"/>
      <c r="AN729" s="684"/>
      <c r="AT729" s="14"/>
      <c r="AU729" s="14"/>
      <c r="AV729" s="14"/>
      <c r="AW729" s="14"/>
      <c r="AX729" s="14"/>
      <c r="AY729" s="14"/>
      <c r="AZ729" s="14"/>
    </row>
    <row r="730" spans="1:81" s="570" customFormat="1">
      <c r="A730" s="550"/>
      <c r="B730" s="536"/>
      <c r="C730" s="933"/>
      <c r="D730" s="663"/>
      <c r="E730" s="2505"/>
      <c r="F730" s="2505"/>
      <c r="G730" s="2505"/>
      <c r="H730" s="2505"/>
      <c r="I730" s="2505"/>
      <c r="J730" s="2505"/>
      <c r="K730" s="2505"/>
      <c r="L730" s="2505"/>
      <c r="M730" s="2505"/>
      <c r="N730" s="2505"/>
      <c r="O730" s="2505"/>
      <c r="P730" s="2505"/>
      <c r="Q730" s="2505"/>
      <c r="R730" s="2505"/>
      <c r="S730" s="2505"/>
      <c r="T730" s="2505"/>
      <c r="U730" s="2505"/>
      <c r="V730" s="2505"/>
      <c r="W730" s="2505"/>
      <c r="X730" s="2505"/>
      <c r="Y730" s="2505"/>
      <c r="Z730" s="2505"/>
      <c r="AA730" s="2505"/>
      <c r="AB730" s="250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5" t="s">
        <v>1439</v>
      </c>
      <c r="F732" s="2505"/>
      <c r="G732" s="2505"/>
      <c r="H732" s="2505"/>
      <c r="I732" s="2505"/>
      <c r="J732" s="2505"/>
      <c r="K732" s="2505"/>
      <c r="L732" s="2505"/>
      <c r="M732" s="2505"/>
      <c r="N732" s="2505"/>
      <c r="O732" s="2505"/>
      <c r="P732" s="2505"/>
      <c r="Q732" s="2505"/>
      <c r="R732" s="2505"/>
      <c r="S732" s="2505"/>
      <c r="T732" s="2505"/>
      <c r="U732" s="2505"/>
      <c r="V732" s="2505"/>
      <c r="W732" s="2505"/>
      <c r="X732" s="2505"/>
      <c r="Y732" s="2505"/>
      <c r="Z732" s="2505"/>
      <c r="AA732" s="2505"/>
      <c r="AB732" s="2505"/>
      <c r="AC732" s="536"/>
      <c r="AD732" s="536"/>
      <c r="AE732" s="536"/>
      <c r="AF732" s="2450" t="s">
        <v>1408</v>
      </c>
      <c r="AG732" s="2450"/>
      <c r="AH732" s="2450"/>
      <c r="AI732" s="2450"/>
      <c r="AJ732" s="2450"/>
      <c r="AK732" s="2450"/>
      <c r="AL732" s="2450"/>
      <c r="AM732" s="550"/>
      <c r="AN732" s="684"/>
      <c r="AT732" s="14"/>
      <c r="AU732" s="14"/>
      <c r="AV732" s="14"/>
      <c r="AW732" s="14"/>
      <c r="AX732" s="14"/>
      <c r="AY732" s="14"/>
      <c r="AZ732" s="14"/>
    </row>
    <row r="733" spans="1:81" s="570" customFormat="1">
      <c r="A733" s="550"/>
      <c r="B733" s="536"/>
      <c r="C733" s="933"/>
      <c r="D733" s="536"/>
      <c r="E733" s="2505"/>
      <c r="F733" s="2505"/>
      <c r="G733" s="2505"/>
      <c r="H733" s="2505"/>
      <c r="I733" s="2505"/>
      <c r="J733" s="2505"/>
      <c r="K733" s="2505"/>
      <c r="L733" s="2505"/>
      <c r="M733" s="2505"/>
      <c r="N733" s="2505"/>
      <c r="O733" s="2505"/>
      <c r="P733" s="2505"/>
      <c r="Q733" s="2505"/>
      <c r="R733" s="2505"/>
      <c r="S733" s="2505"/>
      <c r="T733" s="2505"/>
      <c r="U733" s="2505"/>
      <c r="V733" s="2505"/>
      <c r="W733" s="2505"/>
      <c r="X733" s="2505"/>
      <c r="Y733" s="2505"/>
      <c r="Z733" s="2505"/>
      <c r="AA733" s="2505"/>
      <c r="AB733" s="250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34" t="s">
        <v>591</v>
      </c>
      <c r="I735" s="253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5">
        <f>VLOOKUP($H$735,$AO$666:$AP$668,2,FALSE)</f>
        <v>0</v>
      </c>
      <c r="AK737" s="248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5" t="s">
        <v>1442</v>
      </c>
      <c r="F741" s="2505"/>
      <c r="G741" s="2505"/>
      <c r="H741" s="2505"/>
      <c r="I741" s="2505"/>
      <c r="J741" s="2505"/>
      <c r="K741" s="2505"/>
      <c r="L741" s="2505"/>
      <c r="M741" s="2505"/>
      <c r="N741" s="2505"/>
      <c r="O741" s="2505"/>
      <c r="P741" s="2505"/>
      <c r="Q741" s="2505"/>
      <c r="R741" s="2505"/>
      <c r="S741" s="2505"/>
      <c r="T741" s="2505"/>
      <c r="U741" s="2505"/>
      <c r="V741" s="2505"/>
      <c r="W741" s="2505"/>
      <c r="X741" s="2505"/>
      <c r="Y741" s="2505"/>
      <c r="Z741" s="2505"/>
      <c r="AA741" s="2505"/>
      <c r="AB741" s="2505"/>
      <c r="AC741" s="536"/>
      <c r="AD741" s="536"/>
      <c r="AE741" s="536"/>
      <c r="AF741" s="2450" t="s">
        <v>1352</v>
      </c>
      <c r="AG741" s="2450"/>
      <c r="AH741" s="2450"/>
      <c r="AI741" s="2450"/>
      <c r="AJ741" s="2450"/>
      <c r="AK741" s="2450"/>
      <c r="AL741" s="2450"/>
      <c r="AM741" s="550"/>
      <c r="AN741" s="684"/>
      <c r="AT741" s="14"/>
      <c r="AU741" s="14"/>
      <c r="AV741" s="14"/>
      <c r="AW741" s="14"/>
      <c r="AX741" s="14"/>
      <c r="AY741" s="14"/>
      <c r="AZ741" s="14"/>
    </row>
    <row r="742" spans="1:81" s="570" customFormat="1">
      <c r="A742" s="550"/>
      <c r="B742" s="536"/>
      <c r="C742" s="931"/>
      <c r="D742" s="663"/>
      <c r="E742" s="2505"/>
      <c r="F742" s="2505"/>
      <c r="G742" s="2505"/>
      <c r="H742" s="2505"/>
      <c r="I742" s="2505"/>
      <c r="J742" s="2505"/>
      <c r="K742" s="2505"/>
      <c r="L742" s="2505"/>
      <c r="M742" s="2505"/>
      <c r="N742" s="2505"/>
      <c r="O742" s="2505"/>
      <c r="P742" s="2505"/>
      <c r="Q742" s="2505"/>
      <c r="R742" s="2505"/>
      <c r="S742" s="2505"/>
      <c r="T742" s="2505"/>
      <c r="U742" s="2505"/>
      <c r="V742" s="2505"/>
      <c r="W742" s="2505"/>
      <c r="X742" s="2505"/>
      <c r="Y742" s="2505"/>
      <c r="Z742" s="2505"/>
      <c r="AA742" s="2505"/>
      <c r="AB742" s="250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5"/>
      <c r="F743" s="2505"/>
      <c r="G743" s="2505"/>
      <c r="H743" s="2505"/>
      <c r="I743" s="2505"/>
      <c r="J743" s="2505"/>
      <c r="K743" s="2505"/>
      <c r="L743" s="2505"/>
      <c r="M743" s="2505"/>
      <c r="N743" s="2505"/>
      <c r="O743" s="2505"/>
      <c r="P743" s="2505"/>
      <c r="Q743" s="2505"/>
      <c r="R743" s="2505"/>
      <c r="S743" s="2505"/>
      <c r="T743" s="2505"/>
      <c r="U743" s="2505"/>
      <c r="V743" s="2505"/>
      <c r="W743" s="2505"/>
      <c r="X743" s="2505"/>
      <c r="Y743" s="2505"/>
      <c r="Z743" s="2505"/>
      <c r="AA743" s="2505"/>
      <c r="AB743" s="250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5"/>
      <c r="F744" s="2505"/>
      <c r="G744" s="2505"/>
      <c r="H744" s="2505"/>
      <c r="I744" s="2505"/>
      <c r="J744" s="2505"/>
      <c r="K744" s="2505"/>
      <c r="L744" s="2505"/>
      <c r="M744" s="2505"/>
      <c r="N744" s="2505"/>
      <c r="O744" s="2505"/>
      <c r="P744" s="2505"/>
      <c r="Q744" s="2505"/>
      <c r="R744" s="2505"/>
      <c r="S744" s="2505"/>
      <c r="T744" s="2505"/>
      <c r="U744" s="2505"/>
      <c r="V744" s="2505"/>
      <c r="W744" s="2505"/>
      <c r="X744" s="2505"/>
      <c r="Y744" s="2505"/>
      <c r="Z744" s="2505"/>
      <c r="AA744" s="2505"/>
      <c r="AB744" s="250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5" t="s">
        <v>1443</v>
      </c>
      <c r="F746" s="2505"/>
      <c r="G746" s="2505"/>
      <c r="H746" s="2505"/>
      <c r="I746" s="2505"/>
      <c r="J746" s="2505"/>
      <c r="K746" s="2505"/>
      <c r="L746" s="2505"/>
      <c r="M746" s="2505"/>
      <c r="N746" s="2505"/>
      <c r="O746" s="2505"/>
      <c r="P746" s="2505"/>
      <c r="Q746" s="2505"/>
      <c r="R746" s="2505"/>
      <c r="S746" s="2505"/>
      <c r="T746" s="2505"/>
      <c r="U746" s="2505"/>
      <c r="V746" s="2505"/>
      <c r="W746" s="2505"/>
      <c r="X746" s="2505"/>
      <c r="Y746" s="2505"/>
      <c r="Z746" s="2505"/>
      <c r="AA746" s="2505"/>
      <c r="AB746" s="575"/>
      <c r="AC746" s="536"/>
      <c r="AD746" s="536"/>
      <c r="AE746" s="536"/>
      <c r="AF746" s="2450" t="s">
        <v>1408</v>
      </c>
      <c r="AG746" s="2450"/>
      <c r="AH746" s="2450"/>
      <c r="AI746" s="2450"/>
      <c r="AJ746" s="2450"/>
      <c r="AK746" s="2450"/>
      <c r="AL746" s="2450"/>
      <c r="AM746" s="550"/>
      <c r="AN746" s="684"/>
      <c r="AO746" s="30"/>
      <c r="AP746" s="14"/>
    </row>
    <row r="747" spans="1:81" s="570" customFormat="1">
      <c r="A747" s="550"/>
      <c r="B747" s="536"/>
      <c r="C747" s="931"/>
      <c r="D747" s="663"/>
      <c r="E747" s="2505"/>
      <c r="F747" s="2505"/>
      <c r="G747" s="2505"/>
      <c r="H747" s="2505"/>
      <c r="I747" s="2505"/>
      <c r="J747" s="2505"/>
      <c r="K747" s="2505"/>
      <c r="L747" s="2505"/>
      <c r="M747" s="2505"/>
      <c r="N747" s="2505"/>
      <c r="O747" s="2505"/>
      <c r="P747" s="2505"/>
      <c r="Q747" s="2505"/>
      <c r="R747" s="2505"/>
      <c r="S747" s="2505"/>
      <c r="T747" s="2505"/>
      <c r="U747" s="2505"/>
      <c r="V747" s="2505"/>
      <c r="W747" s="2505"/>
      <c r="X747" s="2505"/>
      <c r="Y747" s="2505"/>
      <c r="Z747" s="2505"/>
      <c r="AA747" s="250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5"/>
      <c r="F748" s="2505"/>
      <c r="G748" s="2505"/>
      <c r="H748" s="2505"/>
      <c r="I748" s="2505"/>
      <c r="J748" s="2505"/>
      <c r="K748" s="2505"/>
      <c r="L748" s="2505"/>
      <c r="M748" s="2505"/>
      <c r="N748" s="2505"/>
      <c r="O748" s="2505"/>
      <c r="P748" s="2505"/>
      <c r="Q748" s="2505"/>
      <c r="R748" s="2505"/>
      <c r="S748" s="2505"/>
      <c r="T748" s="2505"/>
      <c r="U748" s="2505"/>
      <c r="V748" s="2505"/>
      <c r="W748" s="2505"/>
      <c r="X748" s="2505"/>
      <c r="Y748" s="2505"/>
      <c r="Z748" s="2505"/>
      <c r="AA748" s="250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5"/>
      <c r="F749" s="2505"/>
      <c r="G749" s="2505"/>
      <c r="H749" s="2505"/>
      <c r="I749" s="2505"/>
      <c r="J749" s="2505"/>
      <c r="K749" s="2505"/>
      <c r="L749" s="2505"/>
      <c r="M749" s="2505"/>
      <c r="N749" s="2505"/>
      <c r="O749" s="2505"/>
      <c r="P749" s="2505"/>
      <c r="Q749" s="2505"/>
      <c r="R749" s="2505"/>
      <c r="S749" s="2505"/>
      <c r="T749" s="2505"/>
      <c r="U749" s="2505"/>
      <c r="V749" s="2505"/>
      <c r="W749" s="2505"/>
      <c r="X749" s="2505"/>
      <c r="Y749" s="2505"/>
      <c r="Z749" s="2505"/>
      <c r="AA749" s="250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34" t="s">
        <v>687</v>
      </c>
      <c r="I751" s="253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5">
        <f>VLOOKUP($H$751,$AO$680:$AP$682,2,FALSE)</f>
        <v>3</v>
      </c>
      <c r="AK753" s="248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5" t="s">
        <v>1445</v>
      </c>
      <c r="F757" s="2505"/>
      <c r="G757" s="2505"/>
      <c r="H757" s="2505"/>
      <c r="I757" s="2505"/>
      <c r="J757" s="2505"/>
      <c r="K757" s="2505"/>
      <c r="L757" s="2505"/>
      <c r="M757" s="2505"/>
      <c r="N757" s="2505"/>
      <c r="O757" s="2505"/>
      <c r="P757" s="2505"/>
      <c r="Q757" s="2505"/>
      <c r="R757" s="2505"/>
      <c r="S757" s="2505"/>
      <c r="T757" s="2505"/>
      <c r="U757" s="2505"/>
      <c r="V757" s="2505"/>
      <c r="W757" s="2505"/>
      <c r="X757" s="2505"/>
      <c r="Y757" s="2505"/>
      <c r="Z757" s="2505"/>
      <c r="AA757" s="2505"/>
      <c r="AB757" s="2505"/>
      <c r="AC757" s="536"/>
      <c r="AD757" s="536"/>
      <c r="AE757" s="536"/>
      <c r="AF757" s="2450" t="s">
        <v>1408</v>
      </c>
      <c r="AG757" s="2450"/>
      <c r="AH757" s="2450"/>
      <c r="AI757" s="2450"/>
      <c r="AJ757" s="2450"/>
      <c r="AK757" s="2450"/>
      <c r="AL757" s="245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5"/>
      <c r="F758" s="2505"/>
      <c r="G758" s="2505"/>
      <c r="H758" s="2505"/>
      <c r="I758" s="2505"/>
      <c r="J758" s="2505"/>
      <c r="K758" s="2505"/>
      <c r="L758" s="2505"/>
      <c r="M758" s="2505"/>
      <c r="N758" s="2505"/>
      <c r="O758" s="2505"/>
      <c r="P758" s="2505"/>
      <c r="Q758" s="2505"/>
      <c r="R758" s="2505"/>
      <c r="S758" s="2505"/>
      <c r="T758" s="2505"/>
      <c r="U758" s="2505"/>
      <c r="V758" s="2505"/>
      <c r="W758" s="2505"/>
      <c r="X758" s="2505"/>
      <c r="Y758" s="2505"/>
      <c r="Z758" s="2505"/>
      <c r="AA758" s="2505"/>
      <c r="AB758" s="250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5" t="s">
        <v>1446</v>
      </c>
      <c r="F760" s="2505"/>
      <c r="G760" s="2505"/>
      <c r="H760" s="2505"/>
      <c r="I760" s="2505"/>
      <c r="J760" s="2505"/>
      <c r="K760" s="2505"/>
      <c r="L760" s="2505"/>
      <c r="M760" s="2505"/>
      <c r="N760" s="2505"/>
      <c r="O760" s="2505"/>
      <c r="P760" s="2505"/>
      <c r="Q760" s="2505"/>
      <c r="R760" s="2505"/>
      <c r="S760" s="2505"/>
      <c r="T760" s="2505"/>
      <c r="U760" s="2505"/>
      <c r="V760" s="2505"/>
      <c r="W760" s="2505"/>
      <c r="X760" s="2505"/>
      <c r="Y760" s="2505"/>
      <c r="Z760" s="2505"/>
      <c r="AA760" s="2505"/>
      <c r="AB760" s="2505"/>
      <c r="AC760" s="536"/>
      <c r="AD760" s="536"/>
      <c r="AE760" s="536"/>
      <c r="AF760" s="2450" t="s">
        <v>1425</v>
      </c>
      <c r="AG760" s="2450"/>
      <c r="AH760" s="2450"/>
      <c r="AI760" s="2450"/>
      <c r="AJ760" s="2450"/>
      <c r="AK760" s="2450"/>
      <c r="AL760" s="245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5"/>
      <c r="F761" s="2505"/>
      <c r="G761" s="2505"/>
      <c r="H761" s="2505"/>
      <c r="I761" s="2505"/>
      <c r="J761" s="2505"/>
      <c r="K761" s="2505"/>
      <c r="L761" s="2505"/>
      <c r="M761" s="2505"/>
      <c r="N761" s="2505"/>
      <c r="O761" s="2505"/>
      <c r="P761" s="2505"/>
      <c r="Q761" s="2505"/>
      <c r="R761" s="2505"/>
      <c r="S761" s="2505"/>
      <c r="T761" s="2505"/>
      <c r="U761" s="2505"/>
      <c r="V761" s="2505"/>
      <c r="W761" s="2505"/>
      <c r="X761" s="2505"/>
      <c r="Y761" s="2505"/>
      <c r="Z761" s="2505"/>
      <c r="AA761" s="2505"/>
      <c r="AB761" s="250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34" t="s">
        <v>687</v>
      </c>
      <c r="I763" s="253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5">
        <f>VLOOKUP($H$763,$AO$697:$AP$699,2,FALSE)</f>
        <v>2</v>
      </c>
      <c r="AK765" s="248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8" customHeight="1">
      <c r="A769" s="550"/>
      <c r="B769" s="616"/>
      <c r="C769" s="940"/>
      <c r="D769" s="663" t="s">
        <v>687</v>
      </c>
      <c r="E769" s="2505" t="s">
        <v>1692</v>
      </c>
      <c r="F769" s="2505"/>
      <c r="G769" s="2505"/>
      <c r="H769" s="2505"/>
      <c r="I769" s="2505"/>
      <c r="J769" s="2505"/>
      <c r="K769" s="2505"/>
      <c r="L769" s="2505"/>
      <c r="M769" s="2505"/>
      <c r="N769" s="2505"/>
      <c r="O769" s="2505"/>
      <c r="P769" s="2505"/>
      <c r="Q769" s="2505"/>
      <c r="R769" s="2505"/>
      <c r="S769" s="2505"/>
      <c r="T769" s="2505"/>
      <c r="U769" s="2505"/>
      <c r="V769" s="2505"/>
      <c r="W769" s="2505"/>
      <c r="X769" s="2505"/>
      <c r="Y769" s="2505"/>
      <c r="Z769" s="2505"/>
      <c r="AA769" s="2505"/>
      <c r="AB769" s="2505"/>
      <c r="AC769" s="2505"/>
      <c r="AD769" s="2505"/>
      <c r="AE769" s="536"/>
      <c r="AF769" s="2450" t="s">
        <v>1408</v>
      </c>
      <c r="AG769" s="2450"/>
      <c r="AH769" s="2450"/>
      <c r="AI769" s="2450"/>
      <c r="AJ769" s="2450"/>
      <c r="AK769" s="2450"/>
      <c r="AL769" s="2450"/>
      <c r="AM769" s="613"/>
      <c r="AN769" s="684"/>
      <c r="AO769" s="550" t="s">
        <v>591</v>
      </c>
      <c r="AP769" s="673">
        <v>0</v>
      </c>
    </row>
    <row r="770" spans="1:81" s="570" customFormat="1" ht="13.8" customHeight="1">
      <c r="A770" s="550"/>
      <c r="B770" s="616"/>
      <c r="C770" s="940"/>
      <c r="D770" s="663"/>
      <c r="E770" s="2505"/>
      <c r="F770" s="2505"/>
      <c r="G770" s="2505"/>
      <c r="H770" s="2505"/>
      <c r="I770" s="2505"/>
      <c r="J770" s="2505"/>
      <c r="K770" s="2505"/>
      <c r="L770" s="2505"/>
      <c r="M770" s="2505"/>
      <c r="N770" s="2505"/>
      <c r="O770" s="2505"/>
      <c r="P770" s="2505"/>
      <c r="Q770" s="2505"/>
      <c r="R770" s="2505"/>
      <c r="S770" s="2505"/>
      <c r="T770" s="2505"/>
      <c r="U770" s="2505"/>
      <c r="V770" s="2505"/>
      <c r="W770" s="2505"/>
      <c r="X770" s="2505"/>
      <c r="Y770" s="2505"/>
      <c r="Z770" s="2505"/>
      <c r="AA770" s="2505"/>
      <c r="AB770" s="2505"/>
      <c r="AC770" s="2505"/>
      <c r="AD770" s="2505"/>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5"/>
      <c r="F771" s="2505"/>
      <c r="G771" s="2505"/>
      <c r="H771" s="2505"/>
      <c r="I771" s="2505"/>
      <c r="J771" s="2505"/>
      <c r="K771" s="2505"/>
      <c r="L771" s="2505"/>
      <c r="M771" s="2505"/>
      <c r="N771" s="2505"/>
      <c r="O771" s="2505"/>
      <c r="P771" s="2505"/>
      <c r="Q771" s="2505"/>
      <c r="R771" s="2505"/>
      <c r="S771" s="2505"/>
      <c r="T771" s="2505"/>
      <c r="U771" s="2505"/>
      <c r="V771" s="2505"/>
      <c r="W771" s="2505"/>
      <c r="X771" s="2505"/>
      <c r="Y771" s="2505"/>
      <c r="Z771" s="2505"/>
      <c r="AA771" s="2505"/>
      <c r="AB771" s="2505"/>
      <c r="AC771" s="2505"/>
      <c r="AD771" s="250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5"/>
      <c r="F772" s="2505"/>
      <c r="G772" s="2505"/>
      <c r="H772" s="2505"/>
      <c r="I772" s="2505"/>
      <c r="J772" s="2505"/>
      <c r="K772" s="2505"/>
      <c r="L772" s="2505"/>
      <c r="M772" s="2505"/>
      <c r="N772" s="2505"/>
      <c r="O772" s="2505"/>
      <c r="P772" s="2505"/>
      <c r="Q772" s="2505"/>
      <c r="R772" s="2505"/>
      <c r="S772" s="2505"/>
      <c r="T772" s="2505"/>
      <c r="U772" s="2505"/>
      <c r="V772" s="2505"/>
      <c r="W772" s="2505"/>
      <c r="X772" s="2505"/>
      <c r="Y772" s="2505"/>
      <c r="Z772" s="2505"/>
      <c r="AA772" s="2505"/>
      <c r="AB772" s="2505"/>
      <c r="AC772" s="2505"/>
      <c r="AD772" s="250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4" t="s">
        <v>1697</v>
      </c>
      <c r="F774" s="2544"/>
      <c r="G774" s="2544"/>
      <c r="H774" s="2544"/>
      <c r="I774" s="2544"/>
      <c r="J774" s="2544"/>
      <c r="K774" s="2544"/>
      <c r="L774" s="2544"/>
      <c r="M774" s="2544"/>
      <c r="N774" s="2544"/>
      <c r="O774" s="2544"/>
      <c r="P774" s="2544"/>
      <c r="Q774" s="2544"/>
      <c r="R774" s="2544"/>
      <c r="S774" s="2544"/>
      <c r="T774" s="2544"/>
      <c r="U774" s="2544"/>
      <c r="V774" s="2544"/>
      <c r="W774" s="2544"/>
      <c r="X774" s="2544"/>
      <c r="Y774" s="2544"/>
      <c r="Z774" s="2544"/>
      <c r="AA774" s="2544"/>
      <c r="AB774" s="2544"/>
      <c r="AC774" s="2544"/>
      <c r="AD774" s="2544"/>
      <c r="AE774" s="536"/>
      <c r="AF774" s="2450" t="s">
        <v>1352</v>
      </c>
      <c r="AG774" s="2450"/>
      <c r="AH774" s="2450"/>
      <c r="AI774" s="2450"/>
      <c r="AJ774" s="2450"/>
      <c r="AK774" s="2450"/>
      <c r="AL774" s="2450"/>
      <c r="AM774" s="613"/>
      <c r="AN774" s="597"/>
    </row>
    <row r="775" spans="1:81" s="550" customFormat="1" ht="12.75" customHeight="1">
      <c r="B775" s="616"/>
      <c r="C775" s="940"/>
      <c r="D775" s="663"/>
      <c r="E775" s="2544"/>
      <c r="F775" s="2544"/>
      <c r="G775" s="2544"/>
      <c r="H775" s="2544"/>
      <c r="I775" s="2544"/>
      <c r="J775" s="2544"/>
      <c r="K775" s="2544"/>
      <c r="L775" s="2544"/>
      <c r="M775" s="2544"/>
      <c r="N775" s="2544"/>
      <c r="O775" s="2544"/>
      <c r="P775" s="2544"/>
      <c r="Q775" s="2544"/>
      <c r="R775" s="2544"/>
      <c r="S775" s="2544"/>
      <c r="T775" s="2544"/>
      <c r="U775" s="2544"/>
      <c r="V775" s="2544"/>
      <c r="W775" s="2544"/>
      <c r="X775" s="2544"/>
      <c r="Y775" s="2544"/>
      <c r="Z775" s="2544"/>
      <c r="AA775" s="2544"/>
      <c r="AB775" s="2544"/>
      <c r="AC775" s="2544"/>
      <c r="AD775" s="2544"/>
      <c r="AE775" s="594"/>
      <c r="AF775" s="594"/>
      <c r="AG775" s="594"/>
      <c r="AH775" s="594"/>
      <c r="AI775" s="594"/>
      <c r="AJ775" s="594"/>
      <c r="AK775" s="594"/>
      <c r="AL775" s="594"/>
      <c r="AM775" s="613"/>
      <c r="AN775" s="597"/>
    </row>
    <row r="776" spans="1:81" s="550" customFormat="1" ht="12.75" customHeight="1">
      <c r="B776" s="616"/>
      <c r="C776" s="940"/>
      <c r="D776" s="663"/>
      <c r="E776" s="2544"/>
      <c r="F776" s="2544"/>
      <c r="G776" s="2544"/>
      <c r="H776" s="2544"/>
      <c r="I776" s="2544"/>
      <c r="J776" s="2544"/>
      <c r="K776" s="2544"/>
      <c r="L776" s="2544"/>
      <c r="M776" s="2544"/>
      <c r="N776" s="2544"/>
      <c r="O776" s="2544"/>
      <c r="P776" s="2544"/>
      <c r="Q776" s="2544"/>
      <c r="R776" s="2544"/>
      <c r="S776" s="2544"/>
      <c r="T776" s="2544"/>
      <c r="U776" s="2544"/>
      <c r="V776" s="2544"/>
      <c r="W776" s="2544"/>
      <c r="X776" s="2544"/>
      <c r="Y776" s="2544"/>
      <c r="Z776" s="2544"/>
      <c r="AA776" s="2544"/>
      <c r="AB776" s="2544"/>
      <c r="AC776" s="2544"/>
      <c r="AD776" s="2544"/>
      <c r="AE776" s="594"/>
      <c r="AF776" s="594"/>
      <c r="AG776" s="594"/>
      <c r="AH776" s="594"/>
      <c r="AI776" s="594"/>
      <c r="AJ776" s="594"/>
      <c r="AK776" s="594"/>
      <c r="AL776" s="594"/>
      <c r="AM776" s="613"/>
      <c r="AN776" s="597"/>
    </row>
    <row r="777" spans="1:81" s="550" customFormat="1" ht="12.75" customHeight="1">
      <c r="B777" s="616"/>
      <c r="C777" s="940"/>
      <c r="D777" s="663"/>
      <c r="E777" s="2544"/>
      <c r="F777" s="2544"/>
      <c r="G777" s="2544"/>
      <c r="H777" s="2544"/>
      <c r="I777" s="2544"/>
      <c r="J777" s="2544"/>
      <c r="K777" s="2544"/>
      <c r="L777" s="2544"/>
      <c r="M777" s="2544"/>
      <c r="N777" s="2544"/>
      <c r="O777" s="2544"/>
      <c r="P777" s="2544"/>
      <c r="Q777" s="2544"/>
      <c r="R777" s="2544"/>
      <c r="S777" s="2544"/>
      <c r="T777" s="2544"/>
      <c r="U777" s="2544"/>
      <c r="V777" s="2544"/>
      <c r="W777" s="2544"/>
      <c r="X777" s="2544"/>
      <c r="Y777" s="2544"/>
      <c r="Z777" s="2544"/>
      <c r="AA777" s="2544"/>
      <c r="AB777" s="2544"/>
      <c r="AC777" s="2544"/>
      <c r="AD777" s="254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34" t="s">
        <v>591</v>
      </c>
      <c r="I779" s="253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5">
        <f>VLOOKUP($H$779,$AO$769:$AP$771,2,FALSE)</f>
        <v>0</v>
      </c>
      <c r="AK781" s="248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8" customHeight="1">
      <c r="A785" s="550"/>
      <c r="B785" s="616"/>
      <c r="C785" s="940"/>
      <c r="D785" s="663" t="s">
        <v>687</v>
      </c>
      <c r="E785" s="2505" t="s">
        <v>2032</v>
      </c>
      <c r="F785" s="2505"/>
      <c r="G785" s="2505"/>
      <c r="H785" s="2505"/>
      <c r="I785" s="2505"/>
      <c r="J785" s="2505"/>
      <c r="K785" s="2505"/>
      <c r="L785" s="2505"/>
      <c r="M785" s="2505"/>
      <c r="N785" s="2505"/>
      <c r="O785" s="2505"/>
      <c r="P785" s="2505"/>
      <c r="Q785" s="2505"/>
      <c r="R785" s="2505"/>
      <c r="S785" s="2505"/>
      <c r="T785" s="2505"/>
      <c r="U785" s="2505"/>
      <c r="V785" s="2505"/>
      <c r="W785" s="2505"/>
      <c r="X785" s="2505"/>
      <c r="Y785" s="2505"/>
      <c r="Z785" s="2505"/>
      <c r="AA785" s="2505"/>
      <c r="AB785" s="2505"/>
      <c r="AC785" s="2505"/>
      <c r="AD785" s="2505"/>
      <c r="AE785" s="536"/>
      <c r="AF785" s="2450" t="s">
        <v>1352</v>
      </c>
      <c r="AG785" s="2450"/>
      <c r="AH785" s="2450"/>
      <c r="AI785" s="2450"/>
      <c r="AJ785" s="2450"/>
      <c r="AK785" s="2450"/>
      <c r="AL785" s="2450"/>
      <c r="AM785" s="613"/>
      <c r="AN785" s="684"/>
      <c r="AO785" s="611" t="s">
        <v>545</v>
      </c>
      <c r="AP785" s="550">
        <v>3</v>
      </c>
      <c r="AT785" s="674"/>
      <c r="AU785" s="674"/>
      <c r="AV785" s="674"/>
      <c r="AW785" s="674"/>
      <c r="AX785" s="674"/>
      <c r="AY785" s="674"/>
      <c r="AZ785" s="674"/>
    </row>
    <row r="786" spans="1:81" s="570" customFormat="1" ht="13.8" customHeight="1">
      <c r="A786" s="550"/>
      <c r="B786" s="616"/>
      <c r="C786" s="940"/>
      <c r="D786" s="663"/>
      <c r="E786" s="2505"/>
      <c r="F786" s="2505"/>
      <c r="G786" s="2505"/>
      <c r="H786" s="2505"/>
      <c r="I786" s="2505"/>
      <c r="J786" s="2505"/>
      <c r="K786" s="2505"/>
      <c r="L786" s="2505"/>
      <c r="M786" s="2505"/>
      <c r="N786" s="2505"/>
      <c r="O786" s="2505"/>
      <c r="P786" s="2505"/>
      <c r="Q786" s="2505"/>
      <c r="R786" s="2505"/>
      <c r="S786" s="2505"/>
      <c r="T786" s="2505"/>
      <c r="U786" s="2505"/>
      <c r="V786" s="2505"/>
      <c r="W786" s="2505"/>
      <c r="X786" s="2505"/>
      <c r="Y786" s="2505"/>
      <c r="Z786" s="2505"/>
      <c r="AA786" s="2505"/>
      <c r="AB786" s="2505"/>
      <c r="AC786" s="2505"/>
      <c r="AD786" s="250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5"/>
      <c r="F787" s="2505"/>
      <c r="G787" s="2505"/>
      <c r="H787" s="2505"/>
      <c r="I787" s="2505"/>
      <c r="J787" s="2505"/>
      <c r="K787" s="2505"/>
      <c r="L787" s="2505"/>
      <c r="M787" s="2505"/>
      <c r="N787" s="2505"/>
      <c r="O787" s="2505"/>
      <c r="P787" s="2505"/>
      <c r="Q787" s="2505"/>
      <c r="R787" s="2505"/>
      <c r="S787" s="2505"/>
      <c r="T787" s="2505"/>
      <c r="U787" s="2505"/>
      <c r="V787" s="2505"/>
      <c r="W787" s="2505"/>
      <c r="X787" s="2505"/>
      <c r="Y787" s="2505"/>
      <c r="Z787" s="2505"/>
      <c r="AA787" s="2505"/>
      <c r="AB787" s="2505"/>
      <c r="AC787" s="2505"/>
      <c r="AD787" s="250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5"/>
      <c r="F788" s="2505"/>
      <c r="G788" s="2505"/>
      <c r="H788" s="2505"/>
      <c r="I788" s="2505"/>
      <c r="J788" s="2505"/>
      <c r="K788" s="2505"/>
      <c r="L788" s="2505"/>
      <c r="M788" s="2505"/>
      <c r="N788" s="2505"/>
      <c r="O788" s="2505"/>
      <c r="P788" s="2505"/>
      <c r="Q788" s="2505"/>
      <c r="R788" s="2505"/>
      <c r="S788" s="2505"/>
      <c r="T788" s="2505"/>
      <c r="U788" s="2505"/>
      <c r="V788" s="2505"/>
      <c r="W788" s="2505"/>
      <c r="X788" s="2505"/>
      <c r="Y788" s="2505"/>
      <c r="Z788" s="2505"/>
      <c r="AA788" s="2505"/>
      <c r="AB788" s="2505"/>
      <c r="AC788" s="2505"/>
      <c r="AD788" s="250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34" t="s">
        <v>591</v>
      </c>
      <c r="I790" s="253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5">
        <f>VLOOKUP($H$790,$AO$784:$AP$785,2,FALSE)</f>
        <v>0</v>
      </c>
      <c r="AK792" s="248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5">
        <f>IF(($AJ$621+$AJ$640+$AJ$652+$AJ$687+$AJ$711+$AJ$725+$AJ$737+$AJ$753+$AJ$765+$AJ$781+AJ792)&gt;10,10,($AJ$621+$AJ$640+$AJ$652+$AJ$687+$AJ$711+$AJ$725+$AJ$737+$AJ$753+$AJ$765+$AJ$781+AJ792))</f>
        <v>10</v>
      </c>
      <c r="AL794" s="2486"/>
      <c r="AM794" s="248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8" t="s">
        <v>1568</v>
      </c>
      <c r="B797" s="2579"/>
      <c r="C797" s="2579"/>
      <c r="D797" s="2579"/>
      <c r="E797" s="2579"/>
      <c r="F797" s="2579"/>
      <c r="G797" s="2579"/>
      <c r="H797" s="2579"/>
      <c r="I797" s="2579"/>
      <c r="J797" s="2579"/>
      <c r="K797" s="2579"/>
      <c r="L797" s="2579"/>
      <c r="M797" s="2579"/>
      <c r="N797" s="2579"/>
      <c r="O797" s="2579"/>
      <c r="P797" s="2579"/>
      <c r="Q797" s="2579"/>
      <c r="R797" s="2579"/>
      <c r="S797" s="2579"/>
      <c r="T797" s="2579"/>
      <c r="U797" s="2579"/>
      <c r="V797" s="2579"/>
      <c r="W797" s="2579"/>
      <c r="X797" s="2579"/>
      <c r="Y797" s="2579"/>
      <c r="Z797" s="2579"/>
      <c r="AA797" s="2579"/>
      <c r="AB797" s="2579"/>
      <c r="AC797" s="2579"/>
      <c r="AD797" s="2579"/>
      <c r="AE797" s="2579"/>
      <c r="AF797" s="2579"/>
      <c r="AG797" s="2579"/>
      <c r="AH797" s="2579"/>
      <c r="AI797" s="2579"/>
      <c r="AJ797" s="2579"/>
      <c r="AK797" s="2579"/>
      <c r="AL797" s="2579"/>
      <c r="AM797" s="2579"/>
    </row>
    <row r="798" spans="1:81">
      <c r="A798" s="2580"/>
      <c r="B798" s="2580"/>
      <c r="C798" s="2580"/>
      <c r="D798" s="2580"/>
      <c r="E798" s="2580"/>
      <c r="F798" s="2580"/>
      <c r="G798" s="2580"/>
      <c r="H798" s="2580"/>
      <c r="I798" s="2580"/>
      <c r="J798" s="2580"/>
      <c r="K798" s="2580"/>
      <c r="L798" s="2580"/>
      <c r="M798" s="2580"/>
      <c r="N798" s="2580"/>
      <c r="O798" s="2580"/>
      <c r="P798" s="2580"/>
      <c r="Q798" s="2580"/>
      <c r="R798" s="2580"/>
      <c r="S798" s="2580"/>
      <c r="T798" s="2580"/>
      <c r="U798" s="2580"/>
      <c r="V798" s="2580"/>
      <c r="W798" s="2580"/>
      <c r="X798" s="2580"/>
      <c r="Y798" s="2580"/>
      <c r="Z798" s="2580"/>
      <c r="AA798" s="2580"/>
      <c r="AB798" s="2580"/>
      <c r="AC798" s="2580"/>
      <c r="AD798" s="2580"/>
      <c r="AE798" s="2580"/>
      <c r="AF798" s="2580"/>
      <c r="AG798" s="2580"/>
      <c r="AH798" s="2580"/>
      <c r="AI798" s="2580"/>
      <c r="AJ798" s="2580"/>
      <c r="AK798" s="2580"/>
      <c r="AL798" s="2580"/>
      <c r="AM798" s="258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6"/>
      <c r="B800" s="2526"/>
      <c r="C800" s="2526"/>
      <c r="D800" s="2526"/>
      <c r="E800" s="2526"/>
      <c r="F800" s="2526"/>
      <c r="G800" s="2526"/>
      <c r="H800" s="2526"/>
      <c r="I800" s="2526"/>
      <c r="J800" s="2526"/>
      <c r="K800" s="2526"/>
      <c r="L800" s="2526"/>
      <c r="M800" s="2526"/>
      <c r="N800" s="2526"/>
      <c r="O800" s="2526"/>
      <c r="P800" s="2526"/>
      <c r="Q800" s="2526"/>
      <c r="R800" s="2526"/>
      <c r="S800" s="2526"/>
      <c r="T800" s="2526"/>
      <c r="U800" s="2526"/>
      <c r="V800" s="2526"/>
      <c r="W800" s="2526"/>
      <c r="X800" s="2526"/>
      <c r="Y800" s="2526"/>
      <c r="Z800" s="2526"/>
      <c r="AA800" s="2526"/>
      <c r="AB800" s="2526"/>
      <c r="AC800" s="2526"/>
      <c r="AD800" s="2526"/>
      <c r="AE800" s="2526"/>
      <c r="AF800" s="2526"/>
      <c r="AG800" s="2526"/>
      <c r="AH800" s="2526"/>
      <c r="AI800" s="2526"/>
      <c r="AJ800" s="2526"/>
      <c r="AK800" s="2526"/>
      <c r="AL800" s="2526"/>
      <c r="AM800" s="2526"/>
      <c r="AP800" s="816"/>
      <c r="AQ800" s="816"/>
    </row>
    <row r="801" spans="1:81">
      <c r="A801" s="2526"/>
      <c r="B801" s="2526"/>
      <c r="C801" s="2526"/>
      <c r="D801" s="2526"/>
      <c r="E801" s="2526"/>
      <c r="F801" s="2526"/>
      <c r="G801" s="2526"/>
      <c r="H801" s="2526"/>
      <c r="I801" s="2526"/>
      <c r="J801" s="2526"/>
      <c r="K801" s="2526"/>
      <c r="L801" s="2526"/>
      <c r="M801" s="2526"/>
      <c r="N801" s="2526"/>
      <c r="O801" s="2526"/>
      <c r="P801" s="2526"/>
      <c r="Q801" s="2526"/>
      <c r="R801" s="2526"/>
      <c r="S801" s="2526"/>
      <c r="T801" s="2526"/>
      <c r="U801" s="2526"/>
      <c r="V801" s="2526"/>
      <c r="W801" s="2526"/>
      <c r="X801" s="2526"/>
      <c r="Y801" s="2526"/>
      <c r="Z801" s="2526"/>
      <c r="AA801" s="2526"/>
      <c r="AB801" s="2526"/>
      <c r="AC801" s="2526"/>
      <c r="AD801" s="2526"/>
      <c r="AE801" s="2526"/>
      <c r="AF801" s="2526"/>
      <c r="AG801" s="2526"/>
      <c r="AH801" s="2526"/>
      <c r="AI801" s="2526"/>
      <c r="AJ801" s="2526"/>
      <c r="AK801" s="2526"/>
      <c r="AL801" s="2526"/>
      <c r="AM801" s="252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81" t="s">
        <v>1569</v>
      </c>
      <c r="U802" s="2582"/>
      <c r="V802" s="2582"/>
      <c r="W802" s="2582"/>
      <c r="X802" s="2582"/>
      <c r="Y802" s="2583"/>
      <c r="Z802" s="2581" t="s">
        <v>1570</v>
      </c>
      <c r="AA802" s="2582"/>
      <c r="AB802" s="2582"/>
      <c r="AC802" s="2582"/>
      <c r="AD802" s="2582"/>
      <c r="AE802" s="2583"/>
      <c r="AF802" s="2581" t="s">
        <v>1571</v>
      </c>
      <c r="AG802" s="2582"/>
      <c r="AH802" s="2582"/>
      <c r="AI802" s="2582"/>
      <c r="AJ802" s="2582"/>
      <c r="AK802" s="258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4"/>
      <c r="U803" s="2585"/>
      <c r="V803" s="2585"/>
      <c r="W803" s="2585"/>
      <c r="X803" s="2585"/>
      <c r="Y803" s="2586"/>
      <c r="Z803" s="2584"/>
      <c r="AA803" s="2585"/>
      <c r="AB803" s="2585"/>
      <c r="AC803" s="2585"/>
      <c r="AD803" s="2585"/>
      <c r="AE803" s="2586"/>
      <c r="AF803" s="2584"/>
      <c r="AG803" s="2585"/>
      <c r="AH803" s="2585"/>
      <c r="AI803" s="2585"/>
      <c r="AJ803" s="2585"/>
      <c r="AK803" s="2586"/>
      <c r="AL803" s="818"/>
      <c r="AM803" s="596"/>
      <c r="AO803" s="816"/>
      <c r="AP803" s="816"/>
      <c r="AQ803" s="816"/>
    </row>
    <row r="804" spans="1:81">
      <c r="A804" s="819" t="s">
        <v>757</v>
      </c>
      <c r="B804" s="2561" t="s">
        <v>1304</v>
      </c>
      <c r="C804" s="2561"/>
      <c r="D804" s="2561"/>
      <c r="E804" s="2561"/>
      <c r="F804" s="2561"/>
      <c r="G804" s="2561"/>
      <c r="H804" s="2561"/>
      <c r="I804" s="2561"/>
      <c r="J804" s="2561"/>
      <c r="K804" s="2561"/>
      <c r="L804" s="2561"/>
      <c r="M804" s="2561"/>
      <c r="N804" s="2561"/>
      <c r="O804" s="2561"/>
      <c r="P804" s="2561"/>
      <c r="Q804" s="2561"/>
      <c r="R804" s="2561"/>
      <c r="S804" s="2562"/>
      <c r="T804" s="2563">
        <f>AK62</f>
        <v>0</v>
      </c>
      <c r="U804" s="2564"/>
      <c r="V804" s="2564"/>
      <c r="W804" s="2564"/>
      <c r="X804" s="2564"/>
      <c r="Y804" s="2565"/>
      <c r="Z804" s="2566">
        <v>20</v>
      </c>
      <c r="AA804" s="2564"/>
      <c r="AB804" s="2564"/>
      <c r="AC804" s="2564"/>
      <c r="AD804" s="2564"/>
      <c r="AE804" s="2565"/>
      <c r="AF804" s="2547">
        <f>IF(T804&gt;Z804,Z804,T804)</f>
        <v>0</v>
      </c>
      <c r="AG804" s="2547"/>
      <c r="AH804" s="2547"/>
      <c r="AI804" s="2547"/>
      <c r="AJ804" s="2547"/>
      <c r="AK804" s="2547"/>
      <c r="AL804" s="818"/>
      <c r="AM804" s="596"/>
      <c r="AO804" s="816"/>
      <c r="AP804" s="816"/>
      <c r="AQ804" s="816"/>
    </row>
    <row r="805" spans="1:81">
      <c r="A805" s="819" t="s">
        <v>1541</v>
      </c>
      <c r="B805" s="2561" t="s">
        <v>1313</v>
      </c>
      <c r="C805" s="2561"/>
      <c r="D805" s="2561"/>
      <c r="E805" s="2561"/>
      <c r="F805" s="2561"/>
      <c r="G805" s="2561"/>
      <c r="H805" s="2561"/>
      <c r="I805" s="2561"/>
      <c r="J805" s="2561"/>
      <c r="K805" s="2561"/>
      <c r="L805" s="2561"/>
      <c r="M805" s="2561"/>
      <c r="N805" s="2561"/>
      <c r="O805" s="2561"/>
      <c r="P805" s="2561"/>
      <c r="Q805" s="2561"/>
      <c r="R805" s="2561"/>
      <c r="S805" s="2562"/>
      <c r="T805" s="2563">
        <f>AK84</f>
        <v>10</v>
      </c>
      <c r="U805" s="2564"/>
      <c r="V805" s="2564"/>
      <c r="W805" s="2564"/>
      <c r="X805" s="2564"/>
      <c r="Y805" s="2565"/>
      <c r="Z805" s="2566">
        <v>10</v>
      </c>
      <c r="AA805" s="2564"/>
      <c r="AB805" s="2564"/>
      <c r="AC805" s="2564"/>
      <c r="AD805" s="2564"/>
      <c r="AE805" s="2565"/>
      <c r="AF805" s="2547">
        <f>IF(T805&gt;Z805,Z805,T805)</f>
        <v>10</v>
      </c>
      <c r="AG805" s="2547"/>
      <c r="AH805" s="2547"/>
      <c r="AI805" s="2547"/>
      <c r="AJ805" s="2547"/>
      <c r="AK805" s="2547"/>
      <c r="AL805" s="818"/>
      <c r="AM805" s="596"/>
      <c r="AO805" s="816"/>
      <c r="AP805" s="816"/>
      <c r="AQ805" s="816"/>
    </row>
    <row r="806" spans="1:81">
      <c r="A806" s="819" t="s">
        <v>1550</v>
      </c>
      <c r="B806" s="2561" t="s">
        <v>1323</v>
      </c>
      <c r="C806" s="2561"/>
      <c r="D806" s="2561"/>
      <c r="E806" s="2561"/>
      <c r="F806" s="2561"/>
      <c r="G806" s="2561"/>
      <c r="H806" s="2561"/>
      <c r="I806" s="2561"/>
      <c r="J806" s="2561"/>
      <c r="K806" s="2561"/>
      <c r="L806" s="2561"/>
      <c r="M806" s="2561"/>
      <c r="N806" s="2561"/>
      <c r="O806" s="2561"/>
      <c r="P806" s="2561"/>
      <c r="Q806" s="2561"/>
      <c r="R806" s="2561"/>
      <c r="S806" s="2562"/>
      <c r="T806" s="2563">
        <f ca="1">AK109</f>
        <v>20</v>
      </c>
      <c r="U806" s="2564"/>
      <c r="V806" s="2564"/>
      <c r="W806" s="2564"/>
      <c r="X806" s="2564"/>
      <c r="Y806" s="2565"/>
      <c r="Z806" s="2566">
        <v>20</v>
      </c>
      <c r="AA806" s="2564"/>
      <c r="AB806" s="2564"/>
      <c r="AC806" s="2564"/>
      <c r="AD806" s="2564"/>
      <c r="AE806" s="2565"/>
      <c r="AF806" s="2547">
        <f ca="1">IF(T806&gt;Z806,Z806,T806)</f>
        <v>20</v>
      </c>
      <c r="AG806" s="2547"/>
      <c r="AH806" s="2547"/>
      <c r="AI806" s="2547"/>
      <c r="AJ806" s="2547"/>
      <c r="AK806" s="2547"/>
      <c r="AL806" s="818"/>
      <c r="AM806" s="596"/>
      <c r="AO806" s="816"/>
      <c r="AP806" s="816"/>
      <c r="AQ806" s="816"/>
    </row>
    <row r="807" spans="1:81">
      <c r="A807" s="819" t="s">
        <v>1572</v>
      </c>
      <c r="B807" s="2561" t="s">
        <v>1333</v>
      </c>
      <c r="C807" s="2561"/>
      <c r="D807" s="2561"/>
      <c r="E807" s="2561"/>
      <c r="F807" s="2561"/>
      <c r="G807" s="2561"/>
      <c r="H807" s="2561"/>
      <c r="I807" s="2561"/>
      <c r="J807" s="2561"/>
      <c r="K807" s="2561"/>
      <c r="L807" s="2561"/>
      <c r="M807" s="2561"/>
      <c r="N807" s="2561"/>
      <c r="O807" s="2561"/>
      <c r="P807" s="2561"/>
      <c r="Q807" s="2561"/>
      <c r="R807" s="2561"/>
      <c r="S807" s="2562"/>
      <c r="T807" s="2563">
        <f>AK143</f>
        <v>10</v>
      </c>
      <c r="U807" s="2564"/>
      <c r="V807" s="2564"/>
      <c r="W807" s="2564"/>
      <c r="X807" s="2564"/>
      <c r="Y807" s="2565"/>
      <c r="Z807" s="2566">
        <v>10</v>
      </c>
      <c r="AA807" s="2564"/>
      <c r="AB807" s="2564"/>
      <c r="AC807" s="2564"/>
      <c r="AD807" s="2564"/>
      <c r="AE807" s="2565"/>
      <c r="AF807" s="2547">
        <f>IF(T807&gt;Z807,Z807,T807)</f>
        <v>10</v>
      </c>
      <c r="AG807" s="2547"/>
      <c r="AH807" s="2547"/>
      <c r="AI807" s="2547"/>
      <c r="AJ807" s="2547"/>
      <c r="AK807" s="2547"/>
      <c r="AL807" s="818"/>
      <c r="AM807" s="596"/>
      <c r="AO807" s="816"/>
      <c r="AP807" s="816"/>
      <c r="AQ807" s="816"/>
    </row>
    <row r="808" spans="1:81">
      <c r="A808" s="820" t="s">
        <v>1573</v>
      </c>
      <c r="B808" s="2561" t="s">
        <v>1574</v>
      </c>
      <c r="C808" s="2561"/>
      <c r="D808" s="2561"/>
      <c r="E808" s="2561"/>
      <c r="F808" s="2561"/>
      <c r="G808" s="2561"/>
      <c r="H808" s="2561"/>
      <c r="I808" s="2561"/>
      <c r="J808" s="2561"/>
      <c r="K808" s="2561"/>
      <c r="L808" s="2561"/>
      <c r="M808" s="2561"/>
      <c r="N808" s="2561"/>
      <c r="O808" s="2561"/>
      <c r="P808" s="2561"/>
      <c r="Q808" s="2561"/>
      <c r="R808" s="2561"/>
      <c r="S808" s="2562"/>
      <c r="T808" s="2587">
        <f>SUM(T809:Y810)</f>
        <v>10</v>
      </c>
      <c r="U808" s="2587"/>
      <c r="V808" s="2587"/>
      <c r="W808" s="2587"/>
      <c r="X808" s="2587"/>
      <c r="Y808" s="2587"/>
      <c r="Z808" s="2547">
        <v>10</v>
      </c>
      <c r="AA808" s="2547"/>
      <c r="AB808" s="2547"/>
      <c r="AC808" s="2547"/>
      <c r="AD808" s="2547"/>
      <c r="AE808" s="2547"/>
      <c r="AF808" s="2547">
        <f>IF(T808&gt;Z808,Z808,T808)</f>
        <v>10</v>
      </c>
      <c r="AG808" s="2547"/>
      <c r="AH808" s="2547"/>
      <c r="AI808" s="2547"/>
      <c r="AJ808" s="2547"/>
      <c r="AK808" s="2547"/>
      <c r="AL808" s="818"/>
      <c r="AM808" s="596"/>
    </row>
    <row r="809" spans="1:81">
      <c r="A809" s="535"/>
      <c r="B809" s="601"/>
      <c r="C809" s="2588" t="s">
        <v>1575</v>
      </c>
      <c r="D809" s="2588"/>
      <c r="E809" s="2588"/>
      <c r="F809" s="2588"/>
      <c r="G809" s="2588"/>
      <c r="H809" s="2588"/>
      <c r="I809" s="2588"/>
      <c r="J809" s="2588"/>
      <c r="K809" s="2588"/>
      <c r="L809" s="2588"/>
      <c r="M809" s="2588"/>
      <c r="N809" s="2588"/>
      <c r="O809" s="2588"/>
      <c r="P809" s="2588"/>
      <c r="Q809" s="2588"/>
      <c r="R809" s="2588"/>
      <c r="S809" s="2589"/>
      <c r="T809" s="2480">
        <f>AJ166</f>
        <v>7</v>
      </c>
      <c r="U809" s="2480"/>
      <c r="V809" s="2480"/>
      <c r="W809" s="2480"/>
      <c r="X809" s="2480"/>
      <c r="Y809" s="2480"/>
      <c r="Z809" s="2481">
        <v>7</v>
      </c>
      <c r="AA809" s="2481"/>
      <c r="AB809" s="2481"/>
      <c r="AC809" s="2481"/>
      <c r="AD809" s="2481"/>
      <c r="AE809" s="2481"/>
      <c r="AF809" s="2590"/>
      <c r="AG809" s="2590"/>
      <c r="AH809" s="2590"/>
      <c r="AI809" s="2590"/>
      <c r="AJ809" s="2590"/>
      <c r="AK809" s="2590"/>
      <c r="AL809" s="818"/>
      <c r="AM809" s="596"/>
    </row>
    <row r="810" spans="1:81">
      <c r="A810" s="600"/>
      <c r="B810" s="601"/>
      <c r="C810" s="2588" t="s">
        <v>1576</v>
      </c>
      <c r="D810" s="2588"/>
      <c r="E810" s="2588"/>
      <c r="F810" s="2588"/>
      <c r="G810" s="2588"/>
      <c r="H810" s="2588"/>
      <c r="I810" s="2588"/>
      <c r="J810" s="2588"/>
      <c r="K810" s="2588"/>
      <c r="L810" s="2588"/>
      <c r="M810" s="2588"/>
      <c r="N810" s="2588"/>
      <c r="O810" s="2588"/>
      <c r="P810" s="2588"/>
      <c r="Q810" s="2588"/>
      <c r="R810" s="2588"/>
      <c r="S810" s="2589"/>
      <c r="T810" s="2480">
        <f>AJ180</f>
        <v>3</v>
      </c>
      <c r="U810" s="2480"/>
      <c r="V810" s="2480"/>
      <c r="W810" s="2480"/>
      <c r="X810" s="2480"/>
      <c r="Y810" s="2480"/>
      <c r="Z810" s="2481">
        <v>3</v>
      </c>
      <c r="AA810" s="2481"/>
      <c r="AB810" s="2481"/>
      <c r="AC810" s="2481"/>
      <c r="AD810" s="2481"/>
      <c r="AE810" s="2481"/>
      <c r="AF810" s="2590"/>
      <c r="AG810" s="2590"/>
      <c r="AH810" s="2590"/>
      <c r="AI810" s="2590"/>
      <c r="AJ810" s="2590"/>
      <c r="AK810" s="2590"/>
      <c r="AL810" s="818"/>
      <c r="AM810" s="596"/>
      <c r="AO810" s="550"/>
    </row>
    <row r="811" spans="1:81">
      <c r="A811" s="820" t="s">
        <v>1361</v>
      </c>
      <c r="B811" s="2561" t="s">
        <v>1577</v>
      </c>
      <c r="C811" s="2561"/>
      <c r="D811" s="2561"/>
      <c r="E811" s="2561"/>
      <c r="F811" s="2561"/>
      <c r="G811" s="2561"/>
      <c r="H811" s="2561"/>
      <c r="I811" s="2561"/>
      <c r="J811" s="2561"/>
      <c r="K811" s="2561"/>
      <c r="L811" s="2561"/>
      <c r="M811" s="2561"/>
      <c r="N811" s="2561"/>
      <c r="O811" s="2561"/>
      <c r="P811" s="2561"/>
      <c r="Q811" s="2561"/>
      <c r="R811" s="2561"/>
      <c r="S811" s="2562"/>
      <c r="T811" s="2587">
        <f>AK191</f>
        <v>10</v>
      </c>
      <c r="U811" s="2587"/>
      <c r="V811" s="2587"/>
      <c r="W811" s="2587"/>
      <c r="X811" s="2587"/>
      <c r="Y811" s="2587"/>
      <c r="Z811" s="2547">
        <v>10</v>
      </c>
      <c r="AA811" s="2547"/>
      <c r="AB811" s="2547"/>
      <c r="AC811" s="2547"/>
      <c r="AD811" s="2547"/>
      <c r="AE811" s="2547"/>
      <c r="AF811" s="2547">
        <f>IF(T811&gt;Z811,Z811,T811)</f>
        <v>10</v>
      </c>
      <c r="AG811" s="2547"/>
      <c r="AH811" s="2547"/>
      <c r="AI811" s="2547"/>
      <c r="AJ811" s="2547"/>
      <c r="AK811" s="2547"/>
      <c r="AL811" s="818"/>
      <c r="AM811" s="596"/>
    </row>
    <row r="812" spans="1:81">
      <c r="A812" s="819" t="s">
        <v>1370</v>
      </c>
      <c r="B812" s="2561" t="s">
        <v>1371</v>
      </c>
      <c r="C812" s="2561"/>
      <c r="D812" s="2561"/>
      <c r="E812" s="2561"/>
      <c r="F812" s="2561"/>
      <c r="G812" s="2561"/>
      <c r="H812" s="2561"/>
      <c r="I812" s="2561"/>
      <c r="J812" s="2561"/>
      <c r="K812" s="2561"/>
      <c r="L812" s="2561"/>
      <c r="M812" s="2561"/>
      <c r="N812" s="2561"/>
      <c r="O812" s="2561"/>
      <c r="P812" s="2561"/>
      <c r="Q812" s="2561"/>
      <c r="R812" s="2561"/>
      <c r="S812" s="2562"/>
      <c r="T812" s="2587">
        <f>AK273</f>
        <v>8</v>
      </c>
      <c r="U812" s="2587"/>
      <c r="V812" s="2587"/>
      <c r="W812" s="2587"/>
      <c r="X812" s="2587"/>
      <c r="Y812" s="2587"/>
      <c r="Z812" s="2566">
        <v>8</v>
      </c>
      <c r="AA812" s="2564"/>
      <c r="AB812" s="2564"/>
      <c r="AC812" s="2564"/>
      <c r="AD812" s="2564"/>
      <c r="AE812" s="2565"/>
      <c r="AF812" s="2547">
        <f>IF(T812&gt;Z812,Z812,T812)</f>
        <v>8</v>
      </c>
      <c r="AG812" s="2547"/>
      <c r="AH812" s="2547"/>
      <c r="AI812" s="2547"/>
      <c r="AJ812" s="2547"/>
      <c r="AK812" s="2547"/>
      <c r="AL812" s="818"/>
      <c r="AM812" s="596"/>
    </row>
    <row r="813" spans="1:81" s="534" customFormat="1" hidden="1">
      <c r="A813" s="820" t="s">
        <v>589</v>
      </c>
      <c r="B813" s="2561" t="s">
        <v>1578</v>
      </c>
      <c r="C813" s="2561"/>
      <c r="D813" s="2561"/>
      <c r="E813" s="2561"/>
      <c r="F813" s="2561"/>
      <c r="G813" s="2561"/>
      <c r="H813" s="2561"/>
      <c r="I813" s="2561"/>
      <c r="J813" s="2561"/>
      <c r="K813" s="2561"/>
      <c r="L813" s="2561"/>
      <c r="M813" s="2561"/>
      <c r="N813" s="2561"/>
      <c r="O813" s="2561"/>
      <c r="P813" s="2561"/>
      <c r="Q813" s="2561"/>
      <c r="R813" s="2561"/>
      <c r="S813" s="2562"/>
      <c r="T813" s="2587">
        <f>IF(AK535&gt;5,5,AK535)</f>
        <v>0</v>
      </c>
      <c r="U813" s="2587"/>
      <c r="V813" s="2587"/>
      <c r="W813" s="2587"/>
      <c r="X813" s="2587"/>
      <c r="Y813" s="2587"/>
      <c r="Z813" s="2547">
        <v>5</v>
      </c>
      <c r="AA813" s="2547"/>
      <c r="AB813" s="2547"/>
      <c r="AC813" s="2547"/>
      <c r="AD813" s="2547"/>
      <c r="AE813" s="2547"/>
      <c r="AF813" s="2547">
        <f>IF(T813&gt;Z813,5,T813)</f>
        <v>0</v>
      </c>
      <c r="AG813" s="2547"/>
      <c r="AH813" s="2547"/>
      <c r="AI813" s="2547"/>
      <c r="AJ813" s="2547"/>
      <c r="AK813" s="254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61" t="s">
        <v>1579</v>
      </c>
      <c r="C814" s="2561"/>
      <c r="D814" s="2561"/>
      <c r="E814" s="2561"/>
      <c r="F814" s="2561"/>
      <c r="G814" s="2561"/>
      <c r="H814" s="2561"/>
      <c r="I814" s="2561"/>
      <c r="J814" s="2561"/>
      <c r="K814" s="2561"/>
      <c r="L814" s="2561"/>
      <c r="M814" s="2561"/>
      <c r="N814" s="2561"/>
      <c r="O814" s="2561"/>
      <c r="P814" s="2561"/>
      <c r="Q814" s="2561"/>
      <c r="R814" s="2561"/>
      <c r="S814" s="2562"/>
      <c r="T814" s="2587">
        <f>AK285</f>
        <v>10</v>
      </c>
      <c r="U814" s="2587"/>
      <c r="V814" s="2587"/>
      <c r="W814" s="2587"/>
      <c r="X814" s="2587"/>
      <c r="Y814" s="2587"/>
      <c r="Z814" s="2547">
        <v>10</v>
      </c>
      <c r="AA814" s="2547"/>
      <c r="AB814" s="2547"/>
      <c r="AC814" s="2547"/>
      <c r="AD814" s="2547"/>
      <c r="AE814" s="2547"/>
      <c r="AF814" s="2593">
        <f>IF(T814&gt;Z814,Z814,T814)</f>
        <v>10</v>
      </c>
      <c r="AG814" s="2594"/>
      <c r="AH814" s="2594"/>
      <c r="AI814" s="2594"/>
      <c r="AJ814" s="2594"/>
      <c r="AK814" s="259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61" t="s">
        <v>1381</v>
      </c>
      <c r="C815" s="2561"/>
      <c r="D815" s="2561"/>
      <c r="E815" s="2561"/>
      <c r="F815" s="2561"/>
      <c r="G815" s="2561"/>
      <c r="H815" s="2561"/>
      <c r="I815" s="2561"/>
      <c r="J815" s="2561"/>
      <c r="K815" s="2561"/>
      <c r="L815" s="2561"/>
      <c r="M815" s="2561"/>
      <c r="N815" s="2561"/>
      <c r="O815" s="2561"/>
      <c r="P815" s="2561"/>
      <c r="Q815" s="2561"/>
      <c r="R815" s="2561"/>
      <c r="S815" s="2562"/>
      <c r="T815" s="2587">
        <f>AK338</f>
        <v>9</v>
      </c>
      <c r="U815" s="2587"/>
      <c r="V815" s="2587"/>
      <c r="W815" s="2587"/>
      <c r="X815" s="2587"/>
      <c r="Y815" s="2587"/>
      <c r="Z815" s="2593">
        <v>10</v>
      </c>
      <c r="AA815" s="2594"/>
      <c r="AB815" s="2594"/>
      <c r="AC815" s="2594"/>
      <c r="AD815" s="2594"/>
      <c r="AE815" s="2595"/>
      <c r="AF815" s="2593">
        <f>IF(T815&gt;Z815,Z815,T815)</f>
        <v>9</v>
      </c>
      <c r="AG815" s="2594"/>
      <c r="AH815" s="2594"/>
      <c r="AI815" s="2594"/>
      <c r="AJ815" s="2594"/>
      <c r="AK815" s="259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0">
        <f>AK338</f>
        <v>9</v>
      </c>
      <c r="U816" s="2480"/>
      <c r="V816" s="2480"/>
      <c r="W816" s="2480"/>
      <c r="X816" s="2480"/>
      <c r="Y816" s="2480"/>
      <c r="Z816" s="2485">
        <v>20</v>
      </c>
      <c r="AA816" s="2486"/>
      <c r="AB816" s="2486"/>
      <c r="AC816" s="2486"/>
      <c r="AD816" s="2486"/>
      <c r="AE816" s="2487"/>
      <c r="AF816" s="2590"/>
      <c r="AG816" s="2590"/>
      <c r="AH816" s="2590"/>
      <c r="AI816" s="2590"/>
      <c r="AJ816" s="2590"/>
      <c r="AK816" s="259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61" t="s">
        <v>845</v>
      </c>
      <c r="C817" s="2561"/>
      <c r="D817" s="2561"/>
      <c r="E817" s="2561"/>
      <c r="F817" s="2561"/>
      <c r="G817" s="2561"/>
      <c r="H817" s="2561"/>
      <c r="I817" s="2561"/>
      <c r="J817" s="2561"/>
      <c r="K817" s="2561"/>
      <c r="L817" s="2561"/>
      <c r="M817" s="2561"/>
      <c r="N817" s="2561"/>
      <c r="O817" s="2561"/>
      <c r="P817" s="2561"/>
      <c r="Q817" s="2561"/>
      <c r="R817" s="2561"/>
      <c r="S817" s="2562"/>
      <c r="T817" s="2587">
        <f>AK469</f>
        <v>10</v>
      </c>
      <c r="U817" s="2587"/>
      <c r="V817" s="2587"/>
      <c r="W817" s="2587"/>
      <c r="X817" s="2587"/>
      <c r="Y817" s="2587"/>
      <c r="Z817" s="2593">
        <v>10</v>
      </c>
      <c r="AA817" s="2594"/>
      <c r="AB817" s="2594"/>
      <c r="AC817" s="2594"/>
      <c r="AD817" s="2594"/>
      <c r="AE817" s="2595"/>
      <c r="AF817" s="2547">
        <f>IF(T817&gt;Z817,Z817,T817)</f>
        <v>10</v>
      </c>
      <c r="AG817" s="2547"/>
      <c r="AH817" s="2547"/>
      <c r="AI817" s="2547"/>
      <c r="AJ817" s="2547"/>
      <c r="AK817" s="254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61" t="s">
        <v>1559</v>
      </c>
      <c r="C818" s="2561"/>
      <c r="D818" s="2561"/>
      <c r="E818" s="2561"/>
      <c r="F818" s="2561"/>
      <c r="G818" s="2561"/>
      <c r="H818" s="2561"/>
      <c r="I818" s="2561"/>
      <c r="J818" s="2561"/>
      <c r="K818" s="2561"/>
      <c r="L818" s="2561"/>
      <c r="M818" s="2561"/>
      <c r="N818" s="2561"/>
      <c r="O818" s="2561"/>
      <c r="P818" s="2561"/>
      <c r="Q818" s="2561"/>
      <c r="R818" s="2561"/>
      <c r="S818" s="2562"/>
      <c r="T818" s="2587">
        <f>AK559</f>
        <v>12</v>
      </c>
      <c r="U818" s="2587"/>
      <c r="V818" s="2587"/>
      <c r="W818" s="2587"/>
      <c r="X818" s="2587"/>
      <c r="Y818" s="2587"/>
      <c r="Z818" s="2593">
        <v>12</v>
      </c>
      <c r="AA818" s="2594"/>
      <c r="AB818" s="2594"/>
      <c r="AC818" s="2594"/>
      <c r="AD818" s="2594"/>
      <c r="AE818" s="2595"/>
      <c r="AF818" s="2547">
        <f>IF(T818&gt;Z818,Z818,T818)</f>
        <v>12</v>
      </c>
      <c r="AG818" s="2547"/>
      <c r="AH818" s="2547"/>
      <c r="AI818" s="2547"/>
      <c r="AJ818" s="2547"/>
      <c r="AK818" s="254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61" t="s">
        <v>1581</v>
      </c>
      <c r="C819" s="2561"/>
      <c r="D819" s="2561"/>
      <c r="E819" s="2561"/>
      <c r="F819" s="2561"/>
      <c r="G819" s="2561"/>
      <c r="H819" s="2561"/>
      <c r="I819" s="2561"/>
      <c r="J819" s="2561"/>
      <c r="K819" s="2561"/>
      <c r="L819" s="2561"/>
      <c r="M819" s="2561"/>
      <c r="N819" s="2561"/>
      <c r="O819" s="2561"/>
      <c r="P819" s="2561"/>
      <c r="Q819" s="2561"/>
      <c r="R819" s="2561"/>
      <c r="S819" s="2562"/>
      <c r="T819" s="2587">
        <f>AK794</f>
        <v>10</v>
      </c>
      <c r="U819" s="2587"/>
      <c r="V819" s="2587"/>
      <c r="W819" s="2587"/>
      <c r="X819" s="2587"/>
      <c r="Y819" s="2587"/>
      <c r="Z819" s="2593">
        <v>10</v>
      </c>
      <c r="AA819" s="2594"/>
      <c r="AB819" s="2594"/>
      <c r="AC819" s="2594"/>
      <c r="AD819" s="2594"/>
      <c r="AE819" s="2595"/>
      <c r="AF819" s="2547">
        <f>IF(T819&gt;Z819,Z819,T819)</f>
        <v>10</v>
      </c>
      <c r="AG819" s="2547"/>
      <c r="AH819" s="2547"/>
      <c r="AI819" s="2547"/>
      <c r="AJ819" s="2547"/>
      <c r="AK819" s="254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91" t="s">
        <v>1582</v>
      </c>
      <c r="B820" s="2561"/>
      <c r="C820" s="2561"/>
      <c r="D820" s="2561"/>
      <c r="E820" s="2561"/>
      <c r="F820" s="2561"/>
      <c r="G820" s="2561"/>
      <c r="H820" s="2561"/>
      <c r="I820" s="2561"/>
      <c r="J820" s="2561"/>
      <c r="K820" s="2561"/>
      <c r="L820" s="2561"/>
      <c r="M820" s="2561"/>
      <c r="N820" s="2561"/>
      <c r="O820" s="2561"/>
      <c r="P820" s="2561"/>
      <c r="Q820" s="2561"/>
      <c r="R820" s="2561"/>
      <c r="S820" s="2562"/>
      <c r="T820" s="2592"/>
      <c r="U820" s="2592"/>
      <c r="V820" s="2592"/>
      <c r="W820" s="2592"/>
      <c r="X820" s="2592"/>
      <c r="Y820" s="2592"/>
      <c r="Z820" s="2481" t="s">
        <v>1583</v>
      </c>
      <c r="AA820" s="2481"/>
      <c r="AB820" s="2481"/>
      <c r="AC820" s="2481"/>
      <c r="AD820" s="2481"/>
      <c r="AE820" s="2481"/>
      <c r="AF820" s="2593">
        <f>IF(T820&gt;0,T820,0)</f>
        <v>0</v>
      </c>
      <c r="AG820" s="2594"/>
      <c r="AH820" s="2594"/>
      <c r="AI820" s="2594"/>
      <c r="AJ820" s="2594"/>
      <c r="AK820" s="259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96" t="s">
        <v>1584</v>
      </c>
      <c r="B821" s="2597"/>
      <c r="C821" s="2597"/>
      <c r="D821" s="2597"/>
      <c r="E821" s="2597"/>
      <c r="F821" s="2597"/>
      <c r="G821" s="2597"/>
      <c r="H821" s="2597"/>
      <c r="I821" s="2597"/>
      <c r="J821" s="2597"/>
      <c r="K821" s="2597"/>
      <c r="L821" s="2597"/>
      <c r="M821" s="2597"/>
      <c r="N821" s="2597"/>
      <c r="O821" s="2597"/>
      <c r="P821" s="2597"/>
      <c r="Q821" s="2597"/>
      <c r="R821" s="2597"/>
      <c r="S821" s="2597"/>
      <c r="T821" s="2597"/>
      <c r="U821" s="2597"/>
      <c r="V821" s="2597"/>
      <c r="W821" s="2597"/>
      <c r="X821" s="2597"/>
      <c r="Y821" s="2597"/>
      <c r="Z821" s="2597"/>
      <c r="AA821" s="2597"/>
      <c r="AB821" s="2597"/>
      <c r="AC821" s="2597"/>
      <c r="AD821" s="2597"/>
      <c r="AE821" s="2598"/>
      <c r="AF821" s="2602">
        <f ca="1">SUM(AF804:AK819)-AF820</f>
        <v>119</v>
      </c>
      <c r="AG821" s="2603"/>
      <c r="AH821" s="2603"/>
      <c r="AI821" s="2603"/>
      <c r="AJ821" s="2603"/>
      <c r="AK821" s="260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99"/>
      <c r="B822" s="2600"/>
      <c r="C822" s="2600"/>
      <c r="D822" s="2600"/>
      <c r="E822" s="2600"/>
      <c r="F822" s="2600"/>
      <c r="G822" s="2600"/>
      <c r="H822" s="2600"/>
      <c r="I822" s="2600"/>
      <c r="J822" s="2600"/>
      <c r="K822" s="2600"/>
      <c r="L822" s="2600"/>
      <c r="M822" s="2600"/>
      <c r="N822" s="2600"/>
      <c r="O822" s="2600"/>
      <c r="P822" s="2600"/>
      <c r="Q822" s="2600"/>
      <c r="R822" s="2600"/>
      <c r="S822" s="2600"/>
      <c r="T822" s="2600"/>
      <c r="U822" s="2600"/>
      <c r="V822" s="2600"/>
      <c r="W822" s="2600"/>
      <c r="X822" s="2600"/>
      <c r="Y822" s="2600"/>
      <c r="Z822" s="2600"/>
      <c r="AA822" s="2600"/>
      <c r="AB822" s="2600"/>
      <c r="AC822" s="2600"/>
      <c r="AD822" s="2600"/>
      <c r="AE822" s="2601"/>
      <c r="AF822" s="2605"/>
      <c r="AG822" s="2606"/>
      <c r="AH822" s="2606"/>
      <c r="AI822" s="2606"/>
      <c r="AJ822" s="2606"/>
      <c r="AK822" s="260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2024-12-09T20:28:29Z</cp:lastPrinted>
  <dcterms:created xsi:type="dcterms:W3CDTF">2007-12-27T18:26:28Z</dcterms:created>
  <dcterms:modified xsi:type="dcterms:W3CDTF">2025-09-09T17:04:42Z</dcterms:modified>
</cp:coreProperties>
</file>