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Z:\2. ACTIVE PROJECTS\Greg Comanor - West Hills Apartments\CDLAC-CTCAC Folder\2025 CDLAC-CTCAC E-APP ROUND 3\"/>
    </mc:Choice>
  </mc:AlternateContent>
  <xr:revisionPtr revIDLastSave="0" documentId="13_ncr:1_{6A24E099-1C1F-4126-B107-129C50C5904A}" xr6:coauthVersionLast="47" xr6:coauthVersionMax="47" xr10:uidLastSave="{00000000-0000-0000-0000-000000000000}"/>
  <bookViews>
    <workbookView xWindow="-120" yWindow="-120" windowWidth="29040" windowHeight="15720"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4" l="1"/>
  <c r="F43" i="4"/>
  <c r="F79" i="4"/>
  <c r="E99" i="4"/>
  <c r="AO640" i="3"/>
  <c r="AM559" i="3"/>
  <c r="AM557" i="3"/>
  <c r="F86" i="4" l="1"/>
  <c r="F36" i="4"/>
  <c r="F31" i="4"/>
  <c r="F29" i="4"/>
  <c r="F45" i="4"/>
  <c r="F33" i="4"/>
  <c r="F32" i="4"/>
  <c r="C80" i="4"/>
  <c r="AO628" i="3"/>
  <c r="C60" i="7" s="1"/>
  <c r="AG449" i="3" l="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U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G66" i="13" s="1"/>
  <c r="E67" i="13"/>
  <c r="G67" i="13" s="1"/>
  <c r="E68" i="13"/>
  <c r="G68" i="13" s="1"/>
  <c r="E69" i="13"/>
  <c r="G69" i="13" s="1"/>
  <c r="B66" i="13"/>
  <c r="D66" i="13" s="1"/>
  <c r="B67" i="13"/>
  <c r="D67" i="13" s="1"/>
  <c r="B68" i="13"/>
  <c r="D68" i="13" s="1"/>
  <c r="B69" i="13"/>
  <c r="D69" i="13" s="1"/>
  <c r="A53" i="13"/>
  <c r="H36" i="13"/>
  <c r="E36" i="13"/>
  <c r="G36" i="13" s="1"/>
  <c r="B36" i="13"/>
  <c r="D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E91" i="13" s="1"/>
  <c r="G91" i="13" s="1"/>
  <c r="R84" i="4"/>
  <c r="B59" i="4"/>
  <c r="C80" i="11"/>
  <c r="C81" i="11"/>
  <c r="B80" i="11"/>
  <c r="B81" i="11"/>
  <c r="I96" i="13"/>
  <c r="J96" i="13"/>
  <c r="J81" i="13"/>
  <c r="I81" i="13"/>
  <c r="F81" i="13"/>
  <c r="C81" i="13"/>
  <c r="H80" i="13"/>
  <c r="B80" i="13"/>
  <c r="D80" i="13" s="1"/>
  <c r="R80" i="4"/>
  <c r="S80" i="4" s="1"/>
  <c r="E80" i="13" s="1"/>
  <c r="G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G99" i="13" s="1"/>
  <c r="G104" i="13" s="1"/>
  <c r="E95" i="13"/>
  <c r="G95" i="13" s="1"/>
  <c r="E94" i="13"/>
  <c r="G94" i="13" s="1"/>
  <c r="E93" i="13"/>
  <c r="G93" i="13" s="1"/>
  <c r="E92" i="13"/>
  <c r="G92" i="13" s="1"/>
  <c r="E90" i="13"/>
  <c r="G90" i="13" s="1"/>
  <c r="E89" i="13"/>
  <c r="G89" i="13" s="1"/>
  <c r="E87" i="13"/>
  <c r="G87" i="13" s="1"/>
  <c r="E85" i="13"/>
  <c r="G85" i="13" s="1"/>
  <c r="E84" i="13"/>
  <c r="G84" i="13" s="1"/>
  <c r="E65" i="13"/>
  <c r="G65" i="13" s="1"/>
  <c r="E53" i="13"/>
  <c r="G53" i="13" s="1"/>
  <c r="E52" i="13"/>
  <c r="G52" i="13" s="1"/>
  <c r="E51" i="13"/>
  <c r="G51" i="13" s="1"/>
  <c r="E50" i="13"/>
  <c r="G50" i="13" s="1"/>
  <c r="E49" i="13"/>
  <c r="G49" i="13" s="1"/>
  <c r="E48" i="13"/>
  <c r="G48" i="13" s="1"/>
  <c r="E47" i="13"/>
  <c r="G47" i="13" s="1"/>
  <c r="E46" i="13"/>
  <c r="G46" i="13" s="1"/>
  <c r="E45" i="13"/>
  <c r="G45" i="13" s="1"/>
  <c r="E41" i="13"/>
  <c r="G41" i="13" s="1"/>
  <c r="E40" i="13"/>
  <c r="G40" i="13" s="1"/>
  <c r="E37" i="13"/>
  <c r="G37" i="13" s="1"/>
  <c r="E35" i="13"/>
  <c r="G35" i="13" s="1"/>
  <c r="E34" i="13"/>
  <c r="G34" i="13" s="1"/>
  <c r="E31" i="13"/>
  <c r="G31" i="13" s="1"/>
  <c r="E29" i="13"/>
  <c r="G29" i="13" s="1"/>
  <c r="E27" i="13"/>
  <c r="E25" i="13"/>
  <c r="E23" i="13"/>
  <c r="E22" i="13"/>
  <c r="E21" i="13"/>
  <c r="E20" i="13"/>
  <c r="E19" i="13"/>
  <c r="E18" i="13"/>
  <c r="E17" i="13"/>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B75" i="13"/>
  <c r="D75" i="13" s="1"/>
  <c r="D77" i="13" s="1"/>
  <c r="B74" i="13"/>
  <c r="B73" i="13"/>
  <c r="B72" i="13"/>
  <c r="B65" i="13"/>
  <c r="D65" i="13" s="1"/>
  <c r="B61" i="13"/>
  <c r="B60" i="13"/>
  <c r="B59" i="13"/>
  <c r="B58" i="13"/>
  <c r="B57" i="13"/>
  <c r="B56" i="13"/>
  <c r="D56" i="13" s="1"/>
  <c r="D62"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B6" i="13"/>
  <c r="B7" i="13"/>
  <c r="C8" i="4"/>
  <c r="B8" i="13" s="1"/>
  <c r="B9" i="13"/>
  <c r="B10" i="13"/>
  <c r="B13" i="13"/>
  <c r="B14" i="13"/>
  <c r="B15" i="13"/>
  <c r="B4" i="13"/>
  <c r="D4" i="13" s="1"/>
  <c r="D8"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D11" i="13"/>
  <c r="C11" i="13"/>
  <c r="C8" i="13"/>
  <c r="T104" i="4"/>
  <c r="H104" i="13" s="1"/>
  <c r="R103" i="4"/>
  <c r="R102" i="4"/>
  <c r="R101" i="4"/>
  <c r="R99" i="4"/>
  <c r="R95" i="4"/>
  <c r="R94" i="4"/>
  <c r="R93" i="4"/>
  <c r="R92" i="4"/>
  <c r="R90" i="4"/>
  <c r="R89" i="4"/>
  <c r="R88" i="4"/>
  <c r="R87" i="4"/>
  <c r="R86" i="4"/>
  <c r="S86" i="4" s="1"/>
  <c r="R85" i="4"/>
  <c r="R83" i="4"/>
  <c r="R76" i="4"/>
  <c r="R75" i="4"/>
  <c r="R72" i="4"/>
  <c r="R73" i="4"/>
  <c r="R74" i="4"/>
  <c r="R69" i="4"/>
  <c r="R65" i="4"/>
  <c r="R61" i="4"/>
  <c r="R60" i="4"/>
  <c r="R59" i="4"/>
  <c r="R58" i="4"/>
  <c r="R57" i="4"/>
  <c r="R56" i="4"/>
  <c r="R53" i="4"/>
  <c r="R52" i="4"/>
  <c r="R51" i="4"/>
  <c r="R50" i="4"/>
  <c r="R49" i="4"/>
  <c r="R48" i="4"/>
  <c r="R47" i="4"/>
  <c r="R46" i="4"/>
  <c r="R45" i="4"/>
  <c r="R43" i="4"/>
  <c r="S43" i="4" s="1"/>
  <c r="E43" i="13" s="1"/>
  <c r="G43" i="13" s="1"/>
  <c r="R41" i="4"/>
  <c r="R40" i="4"/>
  <c r="R37" i="4"/>
  <c r="R35" i="4"/>
  <c r="R34" i="4"/>
  <c r="R33" i="4"/>
  <c r="S33" i="4" s="1"/>
  <c r="E33" i="13" s="1"/>
  <c r="G33" i="13" s="1"/>
  <c r="R32" i="4"/>
  <c r="S32" i="4" s="1"/>
  <c r="E32" i="13" s="1"/>
  <c r="G32" i="13" s="1"/>
  <c r="R31" i="4"/>
  <c r="R30" i="4"/>
  <c r="S30" i="4"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S42" i="4"/>
  <c r="E42"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S96" i="4" l="1"/>
  <c r="E96" i="13" s="1"/>
  <c r="D81" i="13"/>
  <c r="S81" i="4"/>
  <c r="E81" i="13" s="1"/>
  <c r="S38" i="4"/>
  <c r="E38" i="13" s="1"/>
  <c r="D70" i="13"/>
  <c r="D96" i="13"/>
  <c r="G54" i="13"/>
  <c r="D42" i="13"/>
  <c r="G42" i="13"/>
  <c r="G70" i="13"/>
  <c r="D54" i="13"/>
  <c r="E86" i="13"/>
  <c r="G86" i="13" s="1"/>
  <c r="G96" i="13" s="1"/>
  <c r="B26" i="4"/>
  <c r="D38" i="13"/>
  <c r="E30" i="13"/>
  <c r="G30" i="13" s="1"/>
  <c r="G38" i="13" s="1"/>
  <c r="E79" i="13"/>
  <c r="G79" i="13" s="1"/>
  <c r="G81" i="1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23" i="11"/>
  <c r="D19" i="11"/>
  <c r="D14" i="11"/>
  <c r="D7" i="11"/>
  <c r="R8" i="4"/>
  <c r="R96" i="4"/>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D63" i="13"/>
  <c r="D97" i="13" s="1"/>
  <c r="D105" i="13" s="1"/>
  <c r="G63" i="13"/>
  <c r="G97" i="13" s="1"/>
  <c r="G105" i="13" s="1"/>
  <c r="G107" i="13"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AZ1046" i="3"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105" i="4" l="1"/>
  <c r="S107" i="4" s="1"/>
  <c r="E97" i="13"/>
  <c r="AB266" i="20"/>
  <c r="AG268" i="20" s="1"/>
  <c r="AG270" i="20" s="1"/>
  <c r="AK273" i="20" s="1"/>
  <c r="T812" i="20" s="1"/>
  <c r="AF812" i="20" s="1"/>
  <c r="BE77" i="3" s="1"/>
  <c r="AC454" i="3"/>
  <c r="AB47" i="15"/>
  <c r="AB49" i="15" s="1"/>
  <c r="AB54" i="15" s="1"/>
  <c r="AB55" i="15" s="1"/>
  <c r="T805" i="20"/>
  <c r="AF805" i="20" s="1"/>
  <c r="BE72" i="3" s="1"/>
  <c r="N185" i="23"/>
  <c r="BE22" i="3"/>
  <c r="BA1056" i="3"/>
  <c r="AZ1051" i="3"/>
  <c r="H105" i="13"/>
  <c r="T107" i="4"/>
  <c r="H107" i="13" s="1"/>
  <c r="AD11" i="15" s="1"/>
  <c r="AD23" i="15" s="1"/>
  <c r="AD26" i="15" s="1"/>
  <c r="AD28" i="15" s="1"/>
  <c r="Q58" i="7"/>
  <c r="S53" i="7"/>
  <c r="G45" i="21"/>
  <c r="G47" i="21" s="1"/>
  <c r="E10" i="21" s="1"/>
  <c r="E11" i="21"/>
  <c r="Y26" i="15"/>
  <c r="Y28" i="15" s="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105" i="13" l="1"/>
  <c r="AC456" i="3"/>
  <c r="AJ1041" i="3"/>
  <c r="AJ1007" i="3"/>
  <c r="AJ1029" i="3"/>
  <c r="AJ1036" i="3"/>
  <c r="I15" i="21" s="1"/>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E62" i="7" s="1"/>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<sst xmlns="http://schemas.openxmlformats.org/spreadsheetml/2006/main" count="5015" uniqueCount="2741">
  <si>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</si>
  <si>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</si>
  <si>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</si>
  <si>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</si>
  <si>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</si>
  <si>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</si>
  <si>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</si>
  <si>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</si>
  <si>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</si>
  <si>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</si>
  <si>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</si>
  <si>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</si>
  <si>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</si>
  <si>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</si>
  <si>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</si>
  <si>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</si>
  <si>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</si>
  <si>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</si>
  <si>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</si>
  <si>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</si>
  <si>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</si>
  <si>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</si>
  <si>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</si>
  <si>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</si>
  <si>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</si>
  <si>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</si>
  <si>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</si>
  <si>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</si>
  <si>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</si>
  <si>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</si>
  <si>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</si>
  <si>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</si>
  <si>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</si>
  <si>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</si>
  <si>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</si>
  <si>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</si>
  <si>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</si>
  <si>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</si>
  <si>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</si>
  <si>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</si>
  <si>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</si>
  <si>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</si>
  <si>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</si>
  <si>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</si>
  <si>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</si>
  <si>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</si>
  <si>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</si>
  <si>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</si>
  <si>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</si>
  <si>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</si>
  <si>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</si>
  <si>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</si>
  <si>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</si>
  <si>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</si>
  <si>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</si>
  <si>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</si>
  <si>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</si>
  <si>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</si>
  <si>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</si>
  <si>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</si>
  <si>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</si>
  <si>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</si>
  <si>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</si>
  <si>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</si>
  <si>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</si>
  <si>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</si>
  <si>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</si>
  <si>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</si>
  <si>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</si>
  <si>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</si>
  <si>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</si>
  <si>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</si>
  <si>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</si>
  <si>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</si>
  <si>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</si>
  <si>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</si>
  <si>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</si>
  <si>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</si>
  <si>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</si>
  <si>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</si>
  <si>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</si>
  <si>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</si>
  <si>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</si>
  <si>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</si>
  <si>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</si>
  <si>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</si>
  <si>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</si>
  <si>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</si>
  <si>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</si>
  <si>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</si>
  <si>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</si>
  <si>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</si>
  <si>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</si>
  <si>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</si>
  <si>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</si>
  <si>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</si>
  <si>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</si>
  <si>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</si>
  <si>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</si>
  <si>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</si>
  <si>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</si>
  <si>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</si>
  <si>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</si>
  <si>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</si>
  <si>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</si>
  <si>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</si>
  <si>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</si>
  <si>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</si>
  <si>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</si>
  <si>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</si>
  <si>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</si>
  <si>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</si>
  <si>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</si>
  <si>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</si>
  <si>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</si>
  <si>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</si>
  <si>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</si>
  <si>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</si>
  <si>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</si>
  <si>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</si>
  <si>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</si>
  <si>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</si>
  <si>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</si>
  <si>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</si>
  <si>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</si>
  <si>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</si>
  <si>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</si>
  <si>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</si>
  <si>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</si>
  <si>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</si>
  <si>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</si>
  <si>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</si>
  <si>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</si>
  <si>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</si>
  <si>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</si>
  <si>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</si>
  <si>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</si>
  <si>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</si>
  <si>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</si>
  <si>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</si>
  <si>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</si>
  <si>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</si>
  <si>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</si>
  <si>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</si>
  <si>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</si>
  <si>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</si>
  <si>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</si>
  <si>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</si>
  <si>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</si>
  <si>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</si>
  <si>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</si>
  <si>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</si>
  <si>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</si>
  <si>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</si>
  <si>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</si>
  <si>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</si>
  <si>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</si>
  <si>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</si>
  <si>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</si>
  <si>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</si>
  <si>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</si>
  <si>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</si>
  <si>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</si>
  <si>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</si>
  <si>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</si>
  <si>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</si>
  <si>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</si>
  <si>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</si>
  <si>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</si>
  <si>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</si>
  <si>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</si>
  <si>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</si>
  <si>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</si>
  <si>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</si>
  <si>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</si>
  <si>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</si>
  <si>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</si>
  <si>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</si>
  <si>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</si>
  <si>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</si>
  <si>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</si>
  <si>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</si>
  <si>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</si>
  <si>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</si>
  <si>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</si>
  <si>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</si>
  <si>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</si>
  <si>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</si>
  <si>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</si>
  <si>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</si>
  <si>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</si>
  <si>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</si>
  <si>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</si>
  <si>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</si>
  <si>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</si>
  <si>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</si>
  <si>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</si>
  <si>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</si>
  <si>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</si>
  <si>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</si>
  <si>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</si>
  <si>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</si>
  <si>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</si>
  <si>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</si>
  <si>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</si>
  <si>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</si>
  <si>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</si>
  <si>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</si>
  <si>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</si>
  <si>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</si>
  <si>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</si>
  <si>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</si>
  <si>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</si>
  <si>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</si>
  <si>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</si>
  <si>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</si>
  <si>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</si>
  <si>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</si>
  <si>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</si>
  <si>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</si>
  <si>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</si>
  <si>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</si>
  <si>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</si>
  <si>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</si>
  <si>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</si>
  <si>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</si>
  <si>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</si>
  <si>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</si>
  <si>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</si>
  <si>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</si>
  <si>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</si>
  <si>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</si>
  <si>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</si>
  <si>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</si>
  <si>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</si>
  <si>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</si>
  <si>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</si>
  <si>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</si>
  <si>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</si>
  <si>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</si>
  <si>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</si>
  <si>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</si>
  <si>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</si>
  <si>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</si>
  <si>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</si>
  <si>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</si>
  <si>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</si>
  <si>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</si>
  <si>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</si>
  <si>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</si>
  <si>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</si>
  <si>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</si>
  <si>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</si>
  <si>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</si>
  <si>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</si>
  <si>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</si>
  <si>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</si>
  <si>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</si>
  <si>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</si>
  <si>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</si>
  <si>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</si>
  <si>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</si>
  <si>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</si>
  <si>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</si>
  <si>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</si>
  <si>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</si>
  <si>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</si>
  <si>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</si>
  <si>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</si>
  <si>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</si>
  <si>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</si>
  <si>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</si>
  <si>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</si>
  <si>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</si>
  <si>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</si>
  <si>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</si>
  <si>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</si>
  <si>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</si>
  <si>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</si>
  <si>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</si>
  <si>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</si>
  <si>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</si>
  <si>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</si>
  <si>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</si>
  <si>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</si>
  <si>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</si>
  <si>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</si>
  <si>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</si>
  <si>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</si>
  <si>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</si>
  <si>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</si>
  <si>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</si>
  <si>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</si>
  <si>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</si>
  <si>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</si>
  <si>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</si>
  <si>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</si>
  <si>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</si>
  <si>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</si>
  <si>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</si>
  <si>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</si>
  <si>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</si>
  <si>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</si>
  <si>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</si>
  <si>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</si>
  <si>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</si>
  <si>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</si>
  <si>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</si>
  <si>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</si>
  <si>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</si>
  <si>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</si>
  <si>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</si>
  <si>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</si>
  <si>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</si>
  <si>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</si>
  <si>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</si>
  <si>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</si>
  <si>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</si>
  <si>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</si>
  <si>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</si>
  <si>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</si>
  <si>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</si>
  <si>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</si>
  <si>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</si>
  <si>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</si>
  <si>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</si>
  <si>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</si>
  <si>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</si>
  <si>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</si>
  <si>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</si>
  <si>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</si>
  <si>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</si>
  <si>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</si>
  <si>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</si>
  <si>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</si>
  <si>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</si>
  <si>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</si>
  <si>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</si>
  <si>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</si>
  <si>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</si>
  <si>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</si>
  <si>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</si>
  <si>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</si>
  <si>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</si>
  <si>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</si>
  <si>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</si>
  <si>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</si>
  <si>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</si>
  <si>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</si>
  <si>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</si>
  <si>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</si>
  <si>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</si>
  <si>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</si>
  <si>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</si>
  <si>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</si>
  <si>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</si>
  <si>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</si>
  <si>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</si>
  <si>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</si>
  <si>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</si>
  <si>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</si>
  <si>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</si>
  <si>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</si>
  <si>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</si>
  <si>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</si>
  <si>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</si>
  <si>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</si>
  <si>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</si>
  <si>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</si>
  <si>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</si>
  <si>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</si>
  <si>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</si>
  <si>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</si>
  <si>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</si>
  <si>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</si>
  <si>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</si>
  <si>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</si>
  <si>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</si>
  <si>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</si>
  <si>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</si>
  <si>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</si>
  <si>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</si>
  <si>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</si>
  <si>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</si>
  <si>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</si>
  <si>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</si>
  <si>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</si>
  <si>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</si>
  <si>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</si>
  <si>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</si>
  <si>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</si>
  <si>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</si>
  <si>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</si>
  <si>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</si>
  <si>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</si>
  <si>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</si>
  <si>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</si>
  <si>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</si>
  <si>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</si>
  <si>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</si>
  <si>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</si>
  <si>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</si>
  <si>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</si>
  <si>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</si>
  <si>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</si>
  <si>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</si>
  <si>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</si>
  <si>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</si>
  <si>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</si>
  <si>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</si>
  <si>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</si>
  <si>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</si>
  <si>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</si>
  <si>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</si>
  <si>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</si>
  <si>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</si>
  <si>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</si>
  <si>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</si>
  <si>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</si>
  <si>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</si>
  <si>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</si>
  <si>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</si>
  <si>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</si>
  <si>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</si>
  <si>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</si>
  <si>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</si>
  <si>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</si>
  <si>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</si>
  <si>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</si>
  <si>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</si>
  <si>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</si>
  <si>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</si>
  <si>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</si>
  <si>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</si>
  <si>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</si>
  <si>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</si>
  <si>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</si>
  <si>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</si>
  <si>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</si>
  <si>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</si>
  <si>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</si>
  <si>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</si>
  <si>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</si>
  <si>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</si>
  <si>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</si>
  <si>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</si>
  <si>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</si>
  <si>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</si>
  <si>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</si>
  <si>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</si>
  <si>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</si>
  <si>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</si>
  <si>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</si>
  <si>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</si>
  <si>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</si>
  <si>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</si>
  <si>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</si>
  <si>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</si>
  <si>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</si>
  <si>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</si>
  <si>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</si>
  <si>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</si>
  <si>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</si>
  <si>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</si>
  <si>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</si>
  <si>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</si>
  <si>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</si>
  <si>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</si>
  <si>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</si>
  <si>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</si>
  <si>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</si>
  <si>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</si>
  <si>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</si>
  <si>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</si>
  <si>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</si>
  <si>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</si>
  <si>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</si>
  <si>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</si>
  <si>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</si>
  <si>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</si>
  <si>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</si>
  <si>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</si>
  <si>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</si>
  <si>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</si>
  <si>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</si>
  <si>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</si>
  <si>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</si>
  <si>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</si>
  <si>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</si>
  <si>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</si>
  <si>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</si>
  <si>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</si>
  <si>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</si>
  <si>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</si>
  <si>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</si>
  <si>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</si>
  <si>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</si>
  <si>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</si>
  <si>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</si>
  <si>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</si>
  <si>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</si>
  <si>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</si>
  <si>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</si>
  <si>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</si>
  <si>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</si>
  <si>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</si>
  <si>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</si>
  <si>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</si>
  <si>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</si>
  <si>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</si>
  <si>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</si>
  <si>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</si>
  <si>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</si>
  <si>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</si>
  <si>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</si>
  <si>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</si>
  <si>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</si>
  <si>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</si>
  <si>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</si>
  <si>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</si>
  <si>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</si>
  <si>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</si>
  <si>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</si>
  <si>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</si>
  <si>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</si>
  <si>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</si>
  <si>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</si>
  <si>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</si>
  <si>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</si>
  <si>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</si>
  <si>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</si>
  <si>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</si>
  <si>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</si>
  <si>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</si>
  <si>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</si>
  <si>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</si>
  <si>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</si>
  <si>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</si>
  <si>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</si>
  <si>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</si>
  <si>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</si>
  <si>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</si>
  <si>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</si>
  <si>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</si>
  <si>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</si>
  <si>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</si>
  <si>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</si>
  <si>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</si>
  <si>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</si>
  <si>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</si>
  <si>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</si>
  <si>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</si>
  <si>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</si>
  <si>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</si>
  <si>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</si>
  <si>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</si>
  <si>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</si>
  <si>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</si>
  <si>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</si>
  <si>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</si>
  <si>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</si>
  <si>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</si>
  <si>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</si>
  <si>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</si>
  <si>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</si>
  <si>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</si>
  <si>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</si>
  <si>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</si>
  <si>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</si>
  <si>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</si>
  <si>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</si>
  <si>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</si>
  <si>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</si>
  <si>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</si>
  <si>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</si>
  <si>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</si>
  <si>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</si>
  <si>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</si>
  <si>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</si>
  <si>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</si>
  <si>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</si>
  <si>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</si>
  <si>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</si>
  <si>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</si>
  <si>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</si>
  <si>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</si>
  <si>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</si>
  <si>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</si>
  <si>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</si>
  <si>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</si>
  <si>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</si>
  <si>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</si>
  <si>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</si>
  <si>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</si>
  <si>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</si>
  <si>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</si>
  <si>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</si>
  <si>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</si>
  <si>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</si>
  <si>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</si>
  <si>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</si>
  <si>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</si>
  <si>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</si>
  <si>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</si>
  <si>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</si>
  <si>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</si>
  <si>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</si>
  <si>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</si>
  <si>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</si>
  <si>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</si>
  <si>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</si>
  <si>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</si>
  <si>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</si>
  <si>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</si>
  <si>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</si>
  <si>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</si>
  <si>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</si>
  <si>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</si>
  <si>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</si>
  <si>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</si>
  <si>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</si>
  <si>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</si>
  <si>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</si>
  <si>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</si>
  <si>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</si>
  <si>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</si>
  <si>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</si>
  <si>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</si>
  <si>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</si>
  <si>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</si>
  <si>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</si>
  <si>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</si>
  <si>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</si>
  <si>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</si>
  <si>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</si>
  <si>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</si>
  <si>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</si>
  <si>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</si>
  <si>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</si>
  <si>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</si>
  <si>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</si>
  <si>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</si>
  <si>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</si>
  <si>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</si>
  <si>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</si>
  <si>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</si>
  <si>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</si>
  <si>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</si>
  <si>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</si>
  <si>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</si>
  <si>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</si>
  <si>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</si>
  <si>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</si>
  <si>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</si>
  <si>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</si>
  <si>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</si>
  <si>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</si>
  <si>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</si>
  <si>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</si>
  <si>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</si>
  <si>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</si>
  <si>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</si>
  <si>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</si>
  <si>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</si>
  <si>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</si>
  <si>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</si>
  <si>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</si>
  <si>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</si>
  <si>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</si>
  <si>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</si>
  <si>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</si>
  <si>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</si>
  <si>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</si>
  <si>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</si>
  <si>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</si>
  <si>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</si>
  <si>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</si>
  <si>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</si>
  <si>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</si>
  <si>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</si>
  <si>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</si>
  <si>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</si>
  <si>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</si>
  <si>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</si>
  <si>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</si>
  <si>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</si>
  <si>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</si>
  <si>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</si>
  <si>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</si>
  <si>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</si>
  <si>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</si>
  <si>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</si>
  <si>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</si>
  <si>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</si>
  <si>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</si>
  <si>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</si>
  <si>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</si>
  <si>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</si>
  <si>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</si>
  <si>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</si>
  <si>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</si>
  <si>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</si>
  <si>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</si>
  <si>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</si>
  <si>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</si>
  <si>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</si>
  <si>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</si>
  <si>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</si>
  <si>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</si>
  <si>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</si>
  <si>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</si>
  <si>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</si>
  <si>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</si>
  <si>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</si>
  <si>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</si>
  <si>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</si>
  <si>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</si>
  <si>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</si>
  <si>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</si>
  <si>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</si>
  <si>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</si>
  <si>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</si>
  <si>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</si>
  <si>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</si>
  <si>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</si>
  <si>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</si>
  <si>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</si>
  <si>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</si>
  <si>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</si>
  <si>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</si>
  <si>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</si>
  <si>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</si>
  <si>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</si>
  <si>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</si>
  <si>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</si>
  <si>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</si>
  <si>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</si>
  <si>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</si>
  <si>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</si>
  <si>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</si>
  <si>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</si>
  <si>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</si>
  <si>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</si>
  <si>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</si>
  <si>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</si>
  <si>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</si>
  <si>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</si>
  <si>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</si>
  <si>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</si>
  <si>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</si>
  <si>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</si>
  <si>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</si>
  <si>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</si>
  <si>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</si>
  <si>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</si>
  <si>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</si>
  <si>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</si>
  <si>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</si>
  <si>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</si>
  <si>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</si>
  <si>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</si>
  <si>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</si>
  <si>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</si>
  <si>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</si>
  <si>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</si>
  <si>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</si>
  <si>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</si>
  <si>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</si>
  <si>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</si>
  <si>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</si>
  <si>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</si>
  <si>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</si>
  <si>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</si>
  <si>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</si>
  <si>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</si>
  <si>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</si>
  <si>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</si>
  <si>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</si>
  <si>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</si>
  <si>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</si>
  <si>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</si>
  <si>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</si>
  <si>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</si>
  <si>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</si>
  <si>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</si>
  <si>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</si>
  <si>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</si>
  <si>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</si>
  <si>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</si>
  <si>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</si>
  <si>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</si>
  <si>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</si>
  <si>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</si>
  <si>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</si>
  <si>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</si>
  <si>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</si>
  <si>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</si>
  <si>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</si>
  <si>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</si>
  <si>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</si>
  <si>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</si>
  <si>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</si>
  <si>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</si>
  <si>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</si>
  <si>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</si>
  <si>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</si>
  <si>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</si>
  <si>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</si>
  <si>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</si>
  <si>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</si>
  <si>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</si>
  <si>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</si>
  <si>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</si>
  <si>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</si>
  <si>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</si>
  <si>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</si>
  <si>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</si>
  <si>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</si>
  <si>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</si>
  <si>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</si>
  <si>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</si>
  <si>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</si>
  <si>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</si>
  <si>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</si>
  <si>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</si>
  <si>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</si>
  <si>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</si>
  <si>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</si>
  <si>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</si>
  <si>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</si>
  <si>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</si>
  <si>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</si>
  <si>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</si>
  <si>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</si>
  <si>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</si>
  <si>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</si>
  <si>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</si>
  <si>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</si>
  <si>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</si>
  <si>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</si>
  <si>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</si>
  <si>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</si>
  <si>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</si>
  <si>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</si>
  <si>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</si>
  <si>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</si>
  <si>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</si>
  <si>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</si>
  <si>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</si>
  <si>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</si>
  <si>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</si>
  <si>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</si>
  <si>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</si>
  <si>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</si>
  <si>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</si>
  <si>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</si>
  <si>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</si>
  <si>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</si>
  <si>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</si>
  <si>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</si>
  <si>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</si>
  <si>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</si>
  <si>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</si>
  <si>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</si>
  <si>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</si>
  <si>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</si>
  <si>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</si>
  <si>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</si>
  <si>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</si>
  <si>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</si>
  <si>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</si>
  <si>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</si>
  <si>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</si>
  <si>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</si>
  <si>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</si>
  <si>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</si>
  <si>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</si>
  <si>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</si>
  <si>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</si>
  <si>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</si>
  <si>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</si>
  <si>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</si>
  <si>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</si>
  <si>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</si>
  <si>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</si>
  <si>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</si>
  <si>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</si>
  <si>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</si>
  <si>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</si>
  <si>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</si>
  <si>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</si>
  <si>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</si>
  <si>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</si>
  <si>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</si>
  <si>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</si>
  <si>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</si>
  <si>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</si>
  <si>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</si>
  <si>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</si>
  <si>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</si>
  <si>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</si>
  <si>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</si>
  <si>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</si>
  <si>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</si>
  <si>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</si>
  <si>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</si>
  <si>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</si>
  <si>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</si>
  <si>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</si>
  <si>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</si>
  <si>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</si>
  <si>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</si>
  <si>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</si>
  <si>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</si>
  <si>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</si>
  <si>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</si>
  <si>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</si>
  <si>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</si>
  <si>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</si>
  <si>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</si>
  <si>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</si>
  <si>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</si>
  <si>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</si>
  <si>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</si>
  <si>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</si>
  <si>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</si>
  <si>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</si>
  <si>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</si>
  <si>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</si>
  <si>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</si>
  <si>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</si>
  <si>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</si>
  <si>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</si>
  <si>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</si>
  <si>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</si>
  <si>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</si>
  <si>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</si>
  <si>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</si>
  <si>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</si>
  <si>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</si>
  <si>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</si>
  <si>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</si>
  <si>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</si>
  <si>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</si>
  <si>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</si>
  <si>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</si>
  <si>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</si>
  <si>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</si>
  <si>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</si>
  <si>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</si>
  <si>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</si>
  <si>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</si>
  <si>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</si>
  <si>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</si>
  <si>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</si>
  <si>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</si>
  <si>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</si>
  <si>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</si>
  <si>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</si>
  <si>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</si>
  <si>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</si>
  <si>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</si>
  <si>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</si>
  <si>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</si>
  <si>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</si>
  <si>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</si>
  <si>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</si>
  <si>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</si>
  <si>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</si>
  <si>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</si>
  <si>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</si>
  <si>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</si>
  <si>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</si>
  <si>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</si>
  <si>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</si>
  <si>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</si>
  <si>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</si>
  <si>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</si>
  <si>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</si>
  <si>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</si>
  <si>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</si>
  <si>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</si>
  <si>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</si>
  <si>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</si>
  <si>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</si>
  <si>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</si>
  <si>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</si>
  <si>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</si>
  <si>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</si>
  <si>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</si>
  <si>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</si>
  <si>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</si>
  <si>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</si>
  <si>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</si>
  <si>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</si>
  <si>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</si>
  <si>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</si>
  <si>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</si>
  <si>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</si>
  <si>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</si>
  <si>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</si>
  <si>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</si>
  <si>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</si>
  <si>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</si>
  <si>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</si>
  <si>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</si>
  <si>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</si>
  <si>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</si>
  <si>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</si>
  <si>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</si>
  <si>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</si>
  <si>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</si>
  <si>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</si>
  <si>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</si>
  <si>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</si>
  <si>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</si>
  <si>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</si>
  <si>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</si>
  <si>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</si>
  <si>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</si>
  <si>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</si>
  <si>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</si>
  <si>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</si>
  <si>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</si>
  <si>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</si>
  <si>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</si>
  <si>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</si>
  <si>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</si>
  <si>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</si>
  <si>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</si>
  <si>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</si>
  <si>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</si>
  <si>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</si>
  <si>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</si>
  <si>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</si>
  <si>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</si>
  <si>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</si>
  <si>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</si>
  <si>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</si>
  <si>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</si>
  <si>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</si>
  <si>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</si>
  <si>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</si>
  <si>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</si>
  <si>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</si>
  <si>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</si>
  <si>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</si>
  <si>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</si>
  <si>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</si>
  <si>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</si>
  <si>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</si>
  <si>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</si>
  <si>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</si>
  <si>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</si>
  <si>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</si>
  <si>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</si>
  <si>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</si>
  <si>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</si>
  <si>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</si>
  <si>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</si>
  <si>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</si>
  <si>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</si>
  <si>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</si>
  <si>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</si>
  <si>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</si>
  <si>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</si>
  <si>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</si>
  <si>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</si>
  <si>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</si>
  <si>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</si>
  <si>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</si>
  <si>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</si>
  <si>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</si>
  <si>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</si>
  <si>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</si>
  <si>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</si>
  <si>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</si>
  <si>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</si>
  <si>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</si>
  <si>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</si>
  <si>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</si>
  <si>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</si>
  <si>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</si>
  <si>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</si>
  <si>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</si>
  <si>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</si>
  <si>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</si>
  <si>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</si>
  <si>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</si>
  <si>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</si>
  <si>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</si>
  <si>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</si>
  <si>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</si>
  <si>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</si>
  <si>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</si>
  <si>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</si>
  <si>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</si>
  <si>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</si>
  <si>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</si>
  <si>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</si>
  <si>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</si>
  <si>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</si>
  <si>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</si>
  <si>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</si>
  <si>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</si>
  <si>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</si>
  <si>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</si>
  <si>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</si>
  <si>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</si>
  <si>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</si>
  <si>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</si>
  <si>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</si>
  <si>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</si>
  <si>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</si>
  <si>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</si>
  <si>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</si>
  <si>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</si>
  <si>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</si>
  <si>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</si>
  <si>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</si>
  <si>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</si>
  <si>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</si>
  <si>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</si>
  <si>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</si>
  <si>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</si>
  <si>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</si>
  <si>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</si>
  <si>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</si>
  <si>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</si>
  <si>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</si>
  <si>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</si>
  <si>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</si>
  <si>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</si>
  <si>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</si>
  <si>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</si>
  <si>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</si>
  <si>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</si>
  <si>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</si>
  <si>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</si>
  <si>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</si>
  <si>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</si>
  <si>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</si>
  <si>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</si>
  <si>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</si>
  <si>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</si>
  <si>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</si>
  <si>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</si>
  <si>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</si>
  <si>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</si>
  <si>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</si>
  <si>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</si>
  <si>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</si>
  <si>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</si>
  <si>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</si>
  <si>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</si>
  <si>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</si>
  <si>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</si>
  <si>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</si>
  <si>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</si>
  <si>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</si>
  <si>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</si>
  <si>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</si>
  <si>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</si>
  <si>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</si>
  <si>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</si>
  <si>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</si>
  <si>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</si>
  <si>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</si>
  <si>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</si>
  <si>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</si>
  <si>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</si>
  <si>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</si>
  <si>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</si>
  <si>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</si>
  <si>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</si>
  <si>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</si>
  <si>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</si>
  <si>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</si>
  <si>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</si>
  <si>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</si>
  <si>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</si>
  <si>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</si>
  <si>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</si>
  <si>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</si>
  <si>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</si>
  <si>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</si>
  <si>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</si>
  <si>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</si>
  <si>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</si>
  <si>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</si>
  <si>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</si>
  <si>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</si>
  <si>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</si>
  <si>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</si>
  <si>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</si>
  <si>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</si>
  <si>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</si>
  <si>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</si>
  <si>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</si>
  <si>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</si>
  <si>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</si>
  <si>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</si>
  <si>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</si>
  <si>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</si>
  <si>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</si>
  <si>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</si>
  <si>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</si>
  <si>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</si>
  <si>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</si>
  <si>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</si>
  <si>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</si>
  <si>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</si>
  <si>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</si>
  <si>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</si>
  <si>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</si>
  <si>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</si>
  <si>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</si>
  <si>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</si>
  <si>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</si>
  <si>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</si>
  <si>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</si>
  <si>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</si>
  <si>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</si>
  <si>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</si>
  <si>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</si>
  <si>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</si>
  <si>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</si>
  <si>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</si>
  <si>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</si>
  <si>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</si>
  <si>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</si>
  <si>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</si>
  <si>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</si>
  <si>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</si>
  <si>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</si>
  <si>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</si>
  <si>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</si>
  <si>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</si>
  <si>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</si>
  <si>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</si>
  <si>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</si>
  <si>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</si>
  <si>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</si>
  <si>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</si>
  <si>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</si>
  <si>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</si>
  <si>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</si>
  <si>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</si>
  <si>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</si>
  <si>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</si>
  <si>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</si>
  <si>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</si>
  <si>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</si>
  <si>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</si>
  <si>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</si>
  <si>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</si>
  <si>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</si>
  <si>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</si>
  <si>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</si>
  <si>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</si>
  <si>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</si>
  <si>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</si>
  <si>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</si>
  <si>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</si>
  <si>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</si>
  <si>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</si>
  <si>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</si>
  <si>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</si>
  <si>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</si>
  <si>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</si>
  <si>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</si>
  <si>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</si>
  <si>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</si>
  <si>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</si>
  <si>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</si>
  <si>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</si>
  <si>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</si>
  <si>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</si>
  <si>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</si>
  <si>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</si>
  <si>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</si>
  <si>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</si>
  <si>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</si>
  <si>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</si>
  <si>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</si>
  <si>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</si>
  <si>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</si>
  <si>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</si>
  <si>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</si>
  <si>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</si>
  <si>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</si>
  <si>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</si>
  <si>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</si>
  <si>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</si>
  <si>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</si>
  <si>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</si>
  <si>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</si>
  <si>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</si>
  <si>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</si>
  <si>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</si>
  <si>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</si>
  <si>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</si>
  <si>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</si>
  <si>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</si>
  <si>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</si>
  <si>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</si>
  <si>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</si>
  <si>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</si>
  <si>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</si>
  <si>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</si>
  <si>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</si>
  <si>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</si>
  <si>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</si>
  <si>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</si>
  <si>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</si>
  <si>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</si>
  <si>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</si>
  <si>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</si>
  <si>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</si>
  <si>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</si>
  <si>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</si>
  <si>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</si>
  <si>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</si>
  <si>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</si>
  <si>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</si>
  <si>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</si>
  <si>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</si>
  <si>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</si>
  <si>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</si>
  <si>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</si>
  <si>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</si>
  <si>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</si>
  <si>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</si>
  <si>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</si>
  <si>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</si>
  <si>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</si>
  <si>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</si>
  <si>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</si>
  <si>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</si>
  <si>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</si>
  <si>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</si>
  <si>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</si>
  <si>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</si>
  <si>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</si>
  <si>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</si>
  <si>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</si>
  <si>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</si>
  <si>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</si>
  <si>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</si>
  <si>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</si>
  <si>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</si>
  <si>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</si>
  <si>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</si>
  <si>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</si>
  <si>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</si>
  <si>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</si>
  <si>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</si>
  <si>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</si>
  <si>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</si>
  <si>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</si>
  <si>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</si>
  <si>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</si>
  <si>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</si>
  <si>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</si>
  <si>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</si>
  <si>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</si>
  <si>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</si>
  <si>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</si>
  <si>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</si>
  <si>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</si>
  <si>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</si>
  <si>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</si>
  <si>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</si>
  <si>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</si>
  <si>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</si>
  <si>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</si>
  <si>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</si>
  <si>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</si>
  <si>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</si>
  <si>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</si>
  <si>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</si>
  <si>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</si>
  <si>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</si>
  <si>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</si>
  <si>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</si>
  <si>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</si>
  <si>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</si>
  <si>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</si>
  <si>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</si>
  <si>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</si>
  <si>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</si>
  <si>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</si>
  <si>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</si>
  <si>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</si>
  <si>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</si>
  <si>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</si>
  <si>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</si>
  <si>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</si>
  <si>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</si>
  <si>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</si>
  <si>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</si>
  <si>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</si>
  <si>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</si>
  <si>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</si>
  <si>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</si>
  <si>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</si>
  <si>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</si>
  <si>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</si>
  <si>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</si>
  <si>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</si>
  <si>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</si>
  <si>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</si>
  <si>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</si>
  <si>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</si>
  <si>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</si>
  <si>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</si>
  <si>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</si>
  <si>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</si>
  <si>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</si>
  <si>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</si>
  <si>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</si>
  <si>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</si>
  <si>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</si>
  <si>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</si>
  <si>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</si>
  <si>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</si>
  <si>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</si>
  <si>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</si>
  <si>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</si>
  <si>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</si>
  <si>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</si>
  <si>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</si>
  <si>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</si>
  <si>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</si>
  <si>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</si>
  <si>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</si>
  <si>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</si>
  <si>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</si>
  <si>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</si>
  <si>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</si>
  <si>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</si>
  <si>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</si>
  <si>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</si>
  <si>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</si>
  <si>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</si>
  <si>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</si>
  <si>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</si>
  <si>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</si>
  <si>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</si>
  <si>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</si>
  <si>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</si>
  <si>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</si>
  <si>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</si>
  <si>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</si>
  <si>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</si>
  <si>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</si>
  <si>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</si>
  <si>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</si>
  <si>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</si>
  <si>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</si>
  <si>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</si>
  <si>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</si>
  <si>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</si>
  <si>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</si>
  <si>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</si>
  <si>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</si>
  <si>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</si>
  <si>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</si>
  <si>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</si>
  <si>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</si>
  <si>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</si>
  <si>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</si>
  <si>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</si>
  <si>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</si>
  <si>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</si>
  <si>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</si>
  <si>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</si>
  <si>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</si>
  <si>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</si>
  <si>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</si>
  <si>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</si>
  <si>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</si>
  <si>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</si>
  <si>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</si>
  <si>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</si>
  <si>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</si>
  <si>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</si>
  <si>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</si>
  <si>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</si>
  <si>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</si>
  <si>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</si>
  <si>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</si>
  <si>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</si>
  <si>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</si>
  <si>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</si>
  <si>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</si>
  <si>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</si>
  <si>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</si>
  <si>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</si>
  <si>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</si>
  <si>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</si>
  <si>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</si>
  <si>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</si>
  <si>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</si>
  <si>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</si>
  <si>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</si>
  <si>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</si>
  <si>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</si>
  <si>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</si>
  <si>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</si>
  <si>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</si>
  <si>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</si>
  <si>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</si>
  <si>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</si>
  <si>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</si>
  <si>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</si>
  <si>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</si>
  <si>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</si>
  <si>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</si>
  <si>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</si>
  <si>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</si>
  <si>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</si>
  <si>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</si>
  <si>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</si>
  <si>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</si>
  <si>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</si>
  <si>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</si>
  <si>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</si>
  <si>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</si>
  <si>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</si>
  <si>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</si>
  <si>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</si>
  <si>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</si>
  <si>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</si>
  <si>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</si>
  <si>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</si>
  <si>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</si>
  <si>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</si>
  <si>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</si>
  <si>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</si>
  <si>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</si>
  <si>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</si>
  <si>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</si>
  <si>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</si>
  <si>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</si>
  <si>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</si>
  <si>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</si>
  <si>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</si>
  <si>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</si>
  <si>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</si>
  <si>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</si>
  <si>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</si>
  <si>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</si>
  <si>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</si>
  <si>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</si>
  <si>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</si>
  <si>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</si>
  <si>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</si>
  <si>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</si>
  <si>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</si>
  <si>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</si>
  <si>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</si>
  <si>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</si>
  <si>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</si>
  <si>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</si>
  <si>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</si>
  <si>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</si>
  <si>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</si>
  <si>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</si>
  <si>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</si>
  <si>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</si>
  <si>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</si>
  <si>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</si>
  <si>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</si>
  <si>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</si>
  <si>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</si>
  <si>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</si>
  <si>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</si>
  <si>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</si>
  <si>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</si>
  <si>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</si>
  <si>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</si>
  <si>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</si>
  <si>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</si>
  <si>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</si>
  <si>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</si>
  <si>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</si>
  <si>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</si>
  <si>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</si>
  <si>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</si>
  <si>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</si>
  <si>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</si>
  <si>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</si>
  <si>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</si>
  <si>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</si>
  <si>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</si>
  <si>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</si>
  <si>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</si>
  <si>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</si>
  <si>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</si>
  <si>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</si>
  <si>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</si>
  <si>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</si>
  <si>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</si>
  <si>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</si>
  <si>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</si>
  <si>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</si>
  <si>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</si>
  <si>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</si>
  <si>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</si>
  <si>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</si>
  <si>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</si>
  <si>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</si>
  <si>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</si>
  <si>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</si>
  <si>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</si>
  <si>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</si>
  <si>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</si>
  <si>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</si>
  <si>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</si>
  <si>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</si>
  <si>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</si>
  <si>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</si>
  <si>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</si>
  <si>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</si>
  <si>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</si>
  <si>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</si>
  <si>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</si>
  <si>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</si>
  <si>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</si>
  <si>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</si>
  <si>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</si>
  <si>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</si>
  <si>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</si>
  <si>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</si>
  <si>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</si>
  <si>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</si>
  <si>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</si>
  <si>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</si>
  <si>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</si>
  <si>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</si>
  <si>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</si>
  <si>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</si>
  <si>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</si>
  <si>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</si>
  <si>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</si>
  <si>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</si>
  <si>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</si>
  <si>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</si>
  <si>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</si>
  <si>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</si>
  <si>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</si>
  <si>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</si>
  <si>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</si>
  <si>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</si>
  <si>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</si>
  <si>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</si>
  <si>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</si>
  <si>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</si>
  <si>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</si>
  <si>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</si>
  <si>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</si>
  <si>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</si>
  <si>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</si>
  <si>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</si>
  <si>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</si>
  <si>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</si>
  <si>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</si>
  <si>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</si>
  <si>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</si>
  <si>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</si>
  <si>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</si>
  <si>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</si>
  <si>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</si>
  <si>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</si>
  <si>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</si>
  <si>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</si>
  <si>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</si>
  <si>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</si>
  <si>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</si>
  <si>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</si>
  <si>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</si>
  <si>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</si>
  <si>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</si>
  <si>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</si>
  <si>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</si>
  <si>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</si>
  <si>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</si>
  <si>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</si>
  <si>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</si>
  <si>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</si>
  <si>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</si>
  <si>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</si>
  <si>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</si>
  <si>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</si>
  <si>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</si>
  <si>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</si>
  <si>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</si>
  <si>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</si>
  <si>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</si>
  <si>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</si>
  <si>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</si>
  <si>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</si>
  <si>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</si>
  <si>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</si>
  <si>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</si>
  <si>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</si>
  <si>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</si>
  <si>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</si>
  <si>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</si>
  <si>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</si>
  <si>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</si>
  <si>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</si>
  <si>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</si>
  <si>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</si>
  <si>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</si>
  <si>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</si>
  <si>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</si>
  <si>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</si>
  <si>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</si>
  <si>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</si>
  <si>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</si>
  <si>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</si>
  <si>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</si>
  <si>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</si>
  <si>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</si>
  <si>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</si>
  <si>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</si>
  <si>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</si>
  <si>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</si>
  <si>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</si>
  <si>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</si>
  <si>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</si>
  <si>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</si>
  <si>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</si>
  <si>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</si>
  <si>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</si>
  <si>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</si>
  <si>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</si>
  <si>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</si>
  <si>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</si>
  <si>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</si>
  <si>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</si>
  <si>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</si>
  <si>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</si>
  <si>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</si>
  <si>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</si>
  <si>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</si>
  <si>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</si>
  <si>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</si>
  <si>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</si>
  <si>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</si>
  <si>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</si>
  <si>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</si>
  <si>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</si>
  <si>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</si>
  <si>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</si>
  <si>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</si>
  <si>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</si>
  <si>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</si>
  <si>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</si>
  <si>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</si>
  <si>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</si>
  <si>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</si>
  <si>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</si>
  <si>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</si>
  <si>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</si>
  <si>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</si>
  <si>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</si>
  <si>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</si>
  <si>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</si>
  <si>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</si>
  <si>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</si>
  <si>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</si>
  <si>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</si>
  <si>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</si>
  <si>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</si>
  <si>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</si>
  <si>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</si>
  <si>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</si>
  <si>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</si>
  <si>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</si>
  <si>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</si>
  <si>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</si>
  <si>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</si>
  <si>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</si>
  <si>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</si>
  <si>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</si>
  <si>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</si>
  <si>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</si>
  <si>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</si>
  <si>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</si>
  <si>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</si>
  <si>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</si>
  <si>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</si>
  <si>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</si>
  <si>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</si>
  <si>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</si>
  <si>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</si>
  <si>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</si>
  <si>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</si>
  <si>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</si>
  <si>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</si>
  <si>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</si>
  <si>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</si>
  <si>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</si>
  <si>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</si>
  <si>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</si>
  <si>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</si>
  <si>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</si>
  <si>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</si>
  <si>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</si>
  <si>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</si>
  <si>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</si>
  <si>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</si>
  <si>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</si>
  <si>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</si>
  <si>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</si>
  <si>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</si>
  <si>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</si>
  <si>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</si>
  <si>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</si>
  <si>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</si>
  <si>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</si>
  <si>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</si>
  <si>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</si>
  <si>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</si>
  <si>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</si>
  <si>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</si>
  <si>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</si>
  <si>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</si>
  <si>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</si>
  <si>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</si>
  <si>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</si>
  <si>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</si>
  <si>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</si>
  <si>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</si>
  <si>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</si>
  <si>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</si>
  <si>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</si>
  <si>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</si>
  <si>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</si>
  <si>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</si>
  <si>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</si>
  <si>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</si>
  <si>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</si>
  <si>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</si>
  <si>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</si>
  <si>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</si>
  <si>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</si>
  <si>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</si>
  <si>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</si>
  <si>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</si>
  <si>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</si>
  <si>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</si>
  <si>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</si>
  <si>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</si>
  <si>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</si>
  <si>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</si>
  <si>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</si>
  <si>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</si>
  <si>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</si>
  <si>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</si>
  <si>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</si>
  <si>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</si>
  <si>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</si>
  <si>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</si>
  <si>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</si>
  <si>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</si>
  <si>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</si>
  <si>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</si>
  <si>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</si>
  <si>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</si>
  <si>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</si>
  <si>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</si>
  <si>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</si>
  <si>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</si>
  <si>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</si>
  <si>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</si>
  <si>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</si>
  <si>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</si>
  <si>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</si>
  <si>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</si>
  <si>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</si>
  <si>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</si>
  <si>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</si>
  <si>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</si>
  <si>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</si>
  <si>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</si>
  <si>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</si>
  <si>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</si>
  <si>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</si>
  <si>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</si>
  <si>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</si>
  <si>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</si>
  <si>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</si>
  <si>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</si>
  <si>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</si>
  <si>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</si>
  <si>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</si>
  <si>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</si>
  <si>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</si>
  <si>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</si>
  <si>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</si>
  <si>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</si>
  <si>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</si>
  <si>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</si>
  <si>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</si>
  <si>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</si>
  <si>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</si>
  <si>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</si>
  <si>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</si>
  <si>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</si>
  <si>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</si>
  <si>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</si>
  <si>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</si>
  <si>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</si>
  <si>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</si>
  <si>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</si>
  <si>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</si>
  <si>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</si>
  <si>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</si>
  <si>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</si>
  <si>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</si>
  <si>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</si>
  <si>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</si>
  <si>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</si>
  <si>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</si>
  <si>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</si>
  <si>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</si>
  <si>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</si>
  <si>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</si>
  <si>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</si>
  <si>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</si>
  <si>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</si>
  <si>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</si>
  <si>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</si>
  <si>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</si>
  <si>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</si>
  <si>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</si>
  <si>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</si>
  <si>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</si>
  <si>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</si>
  <si>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</si>
  <si>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</si>
  <si>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</si>
  <si>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</si>
  <si>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</si>
  <si>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</si>
  <si>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</si>
  <si>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</si>
  <si>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</si>
  <si>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</si>
  <si>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</si>
  <si>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</si>
  <si>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</si>
  <si>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</si>
  <si>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</si>
  <si>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</si>
  <si>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</si>
  <si>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</si>
  <si>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</si>
  <si>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</si>
  <si>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</si>
  <si>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</si>
  <si>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</si>
  <si>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</si>
  <si>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</si>
  <si>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</si>
  <si>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</si>
  <si>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</si>
  <si>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</si>
  <si>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</si>
  <si>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</si>
  <si>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</si>
  <si>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</si>
  <si>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</si>
  <si>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</si>
  <si>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</si>
  <si>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</si>
  <si>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</si>
  <si>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</si>
  <si>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</si>
  <si>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</si>
  <si>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</si>
  <si>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</si>
  <si>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</si>
  <si>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</si>
  <si>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</si>
  <si>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</si>
  <si>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</si>
  <si>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</si>
  <si>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</si>
  <si>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</si>
  <si>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</si>
  <si>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</si>
  <si>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</si>
  <si>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</si>
  <si>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</si>
  <si>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</si>
  <si>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</si>
  <si>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</si>
  <si>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</si>
  <si>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</si>
  <si>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</si>
  <si>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</si>
  <si>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</si>
  <si>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</si>
  <si>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</si>
  <si>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</si>
  <si>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</si>
  <si>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</si>
  <si>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</si>
  <si>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</si>
  <si>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</si>
  <si>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</si>
  <si>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</si>
  <si>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</si>
  <si>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</si>
  <si>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</si>
  <si>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</si>
  <si>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</si>
  <si>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</si>
  <si>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</si>
  <si>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</si>
  <si>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</si>
  <si>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</si>
  <si>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</si>
  <si>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</si>
  <si>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</si>
  <si>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</si>
  <si>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</si>
  <si>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</si>
  <si>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</si>
  <si>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</si>
  <si>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</si>
  <si>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</si>
  <si>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</si>
  <si>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</si>
  <si>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</si>
  <si>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</si>
  <si>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</si>
  <si>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</si>
  <si>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</si>
  <si>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</si>
  <si>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</si>
  <si>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</si>
  <si>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</si>
  <si>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</si>
  <si>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</si>
  <si>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</si>
  <si>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</si>
  <si>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</si>
  <si>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</si>
  <si>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</si>
  <si>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</si>
  <si>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</si>
  <si>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</si>
  <si>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</si>
  <si>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</si>
  <si>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</si>
  <si>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</si>
  <si>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</si>
  <si>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</si>
  <si>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</si>
  <si>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</si>
  <si>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</si>
  <si>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</si>
  <si>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</si>
  <si>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</si>
  <si>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</si>
  <si>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</si>
  <si>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</si>
  <si>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</si>
  <si>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</si>
  <si>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</si>
  <si>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</si>
  <si>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</si>
  <si>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</si>
  <si>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</si>
  <si>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</si>
  <si>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</si>
  <si>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</si>
  <si>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</si>
  <si>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</si>
  <si>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</si>
  <si>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</si>
  <si>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</si>
  <si>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</si>
  <si>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</si>
  <si>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</si>
  <si>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</si>
  <si>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</si>
  <si>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</si>
  <si>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</si>
  <si>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</si>
  <si>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</si>
  <si>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</si>
  <si>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</si>
  <si>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</si>
  <si>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</si>
  <si>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</si>
  <si>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</si>
  <si>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</si>
  <si>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</si>
  <si>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</si>
  <si>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</si>
  <si>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</si>
  <si>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</si>
  <si>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</si>
  <si>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</si>
  <si>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</si>
  <si>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</si>
  <si>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</si>
  <si>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</si>
  <si>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</si>
  <si>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</si>
  <si>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</si>
  <si>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</si>
  <si>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</si>
  <si>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</si>
  <si>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</si>
  <si>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</si>
  <si>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</si>
  <si>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</si>
  <si>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</si>
  <si>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</si>
  <si>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</si>
  <si>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</si>
  <si>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</si>
  <si>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</si>
  <si>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</si>
  <si>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</si>
  <si>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</si>
  <si>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</si>
  <si>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</si>
  <si>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</si>
  <si>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</si>
  <si>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</si>
  <si>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</si>
  <si>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</si>
  <si>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</si>
  <si>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</si>
  <si>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</si>
  <si>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</si>
  <si>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</si>
  <si>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</si>
  <si>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</si>
  <si>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</si>
  <si>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</si>
  <si>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</si>
  <si>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</si>
  <si>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</si>
  <si>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</si>
  <si>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</si>
  <si>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</si>
  <si>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</si>
  <si>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</si>
  <si>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</si>
  <si>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</si>
  <si>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</si>
  <si>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</si>
  <si>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</si>
  <si>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</si>
  <si>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</si>
  <si>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</si>
  <si>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</si>
  <si>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</si>
  <si>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</si>
  <si>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</si>
  <si>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</si>
  <si>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</si>
  <si>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</si>
  <si>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</si>
  <si>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</si>
  <si>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</si>
  <si>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</si>
  <si>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</si>
  <si>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</si>
  <si>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</si>
  <si>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</si>
  <si>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</si>
  <si>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</si>
  <si>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</si>
  <si>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</si>
  <si>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</si>
  <si>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</si>
  <si>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</si>
  <si>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</si>
  <si>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</si>
  <si>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</si>
  <si>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</si>
  <si>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</si>
  <si>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</si>
  <si>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</si>
  <si>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</si>
  <si>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</si>
  <si>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</si>
  <si>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</si>
  <si>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</si>
  <si>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</si>
  <si>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</si>
  <si>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</si>
  <si>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</si>
  <si>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</si>
  <si>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</si>
  <si>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</si>
  <si>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</si>
  <si>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</si>
  <si>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</si>
  <si>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</si>
  <si>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</si>
  <si>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</si>
  <si>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</si>
  <si>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</si>
  <si>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</si>
  <si>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</si>
  <si>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</si>
  <si>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</si>
  <si>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</si>
  <si>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</si>
  <si>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</si>
  <si>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</si>
  <si>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</si>
  <si>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</si>
  <si>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</si>
  <si>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</si>
  <si>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</si>
  <si>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</si>
  <si>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</si>
  <si>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</si>
  <si>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</si>
  <si>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</si>
  <si>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</si>
  <si>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</si>
  <si>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</si>
  <si>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</si>
  <si>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</si>
  <si>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</si>
  <si>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</si>
  <si>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</si>
  <si>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</si>
  <si>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</si>
  <si>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</si>
  <si>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</si>
  <si>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</si>
  <si>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</si>
  <si>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</si>
  <si>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</si>
  <si>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</si>
  <si>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</si>
  <si>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</si>
  <si>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</si>
  <si>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</si>
  <si>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</si>
  <si>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</si>
  <si>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</si>
  <si>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</si>
  <si>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</si>
  <si>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</si>
  <si>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</si>
  <si>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</si>
  <si>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</si>
  <si>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</si>
  <si>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</si>
  <si>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</si>
  <si>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</si>
  <si>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</si>
  <si>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</si>
  <si>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</si>
  <si>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</si>
  <si>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</si>
  <si>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</si>
  <si>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</si>
  <si>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</si>
  <si>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</si>
  <si>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</si>
  <si>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</si>
  <si>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</si>
  <si>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</si>
  <si>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</si>
  <si>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</si>
  <si>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</si>
  <si>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</si>
  <si>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</si>
  <si>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</si>
  <si>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</si>
  <si>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</si>
  <si>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</si>
  <si>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</si>
  <si>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</si>
  <si>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</si>
  <si>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</si>
  <si>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</si>
  <si>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</si>
  <si>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</si>
  <si>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</si>
  <si>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</si>
  <si>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</si>
  <si>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</si>
  <si>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</si>
  <si>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</si>
  <si>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</si>
  <si>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</si>
  <si>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</si>
  <si>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</si>
  <si>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</si>
  <si>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</si>
  <si>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</si>
  <si>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</si>
  <si>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</si>
  <si>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</si>
  <si>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</si>
  <si>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</si>
  <si>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</si>
  <si>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</si>
  <si>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</si>
  <si>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</si>
  <si>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</si>
  <si>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</si>
  <si>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</si>
  <si>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</si>
  <si>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</si>
  <si>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</si>
  <si>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</si>
  <si>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</si>
  <si>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</si>
  <si>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</si>
  <si>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</si>
  <si>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</si>
  <si>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</si>
  <si>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</si>
  <si>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</si>
  <si>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</si>
  <si>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</si>
  <si>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</si>
  <si>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</si>
  <si>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</si>
  <si>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</si>
  <si>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</si>
  <si>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</si>
  <si>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</si>
  <si>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</si>
  <si>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</si>
  <si>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</si>
  <si>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</si>
  <si>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</si>
  <si>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</si>
  <si>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</si>
  <si>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</si>
  <si>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</si>
  <si>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</si>
  <si>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</si>
  <si>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</si>
  <si>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</si>
  <si>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</si>
  <si>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</si>
  <si>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</si>
  <si>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</si>
  <si>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</si>
  <si>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</si>
  <si>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</si>
  <si>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</si>
  <si>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</si>
  <si>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</si>
  <si>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</si>
  <si>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</si>
  <si>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</si>
  <si>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</si>
  <si>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</si>
  <si>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</si>
  <si>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</si>
  <si>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</si>
  <si>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</si>
  <si>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</si>
  <si>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</si>
  <si>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</si>
  <si>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</si>
  <si>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</si>
  <si>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</si>
  <si>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</si>
  <si>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</si>
  <si>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</si>
  <si>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</si>
  <si>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</si>
  <si>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</si>
  <si>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</si>
  <si>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</si>
  <si>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</si>
  <si>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</si>
  <si>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</si>
  <si>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</si>
  <si>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</si>
  <si>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</si>
  <si>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</si>
  <si>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</si>
  <si>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</si>
  <si>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</si>
  <si>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</si>
  <si>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</si>
  <si>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</si>
  <si>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</si>
  <si>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</si>
  <si>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</si>
  <si>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</si>
  <si>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</si>
  <si>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</si>
  <si>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</si>
  <si>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</si>
  <si>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</si>
  <si>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</si>
  <si>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</si>
  <si>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</si>
  <si>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</si>
  <si>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</si>
  <si>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</si>
  <si>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</si>
  <si>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</si>
  <si>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</si>
  <si>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</si>
  <si>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</si>
  <si>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</si>
  <si>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</si>
  <si>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</si>
  <si>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</si>
  <si>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</si>
  <si>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</si>
  <si>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</si>
  <si>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</si>
  <si>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</si>
  <si>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</si>
  <si>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</si>
  <si>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</si>
  <si>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</si>
  <si>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</si>
  <si>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</si>
  <si>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</si>
  <si>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</si>
  <si>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</si>
  <si>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</si>
  <si>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</si>
  <si>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</si>
  <si>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</si>
  <si>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</si>
  <si>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</si>
  <si>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</si>
  <si>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</si>
  <si>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</si>
  <si>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</si>
  <si>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</si>
  <si>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</si>
  <si>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</si>
  <si>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</si>
  <si>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</si>
  <si>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</si>
  <si>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</si>
  <si>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</si>
  <si>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</si>
  <si>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</si>
  <si>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</si>
  <si>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</si>
  <si>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</si>
  <si>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</si>
  <si>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</si>
  <si>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</si>
  <si>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</si>
  <si>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</si>
  <si>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</si>
  <si>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</si>
  <si>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</si>
  <si>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</si>
  <si>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</si>
  <si>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</si>
  <si>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</si>
  <si>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</si>
  <si>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</si>
  <si>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</si>
  <si>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</si>
  <si>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</si>
  <si>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</si>
  <si>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</si>
  <si>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</si>
  <si>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</si>
  <si>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</si>
  <si>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</si>
  <si>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</si>
  <si>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</si>
  <si>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</si>
  <si>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</si>
  <si>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</si>
  <si>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</si>
  <si>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</si>
  <si>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</si>
  <si>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</si>
  <si>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</si>
  <si>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</si>
  <si>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</si>
  <si>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</si>
  <si>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</si>
  <si>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</si>
  <si>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</si>
  <si>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</si>
  <si>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</si>
  <si>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</si>
  <si>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</si>
  <si>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</si>
  <si>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</si>
  <si>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</si>
  <si>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</si>
  <si>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</si>
  <si>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</si>
  <si>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</si>
  <si>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</si>
  <si>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</si>
  <si>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</si>
  <si>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</si>
  <si>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</si>
  <si>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</si>
  <si>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</si>
  <si>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</si>
  <si>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</si>
  <si>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</si>
  <si>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</si>
  <si>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</si>
  <si>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</si>
  <si>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</si>
  <si>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</si>
  <si>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</si>
  <si>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</si>
  <si>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</si>
  <si>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</si>
  <si>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</si>
  <si>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</si>
  <si>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</si>
  <si>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</si>
  <si>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</si>
  <si>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</si>
  <si>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</si>
  <si>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</si>
  <si>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</si>
  <si>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</si>
  <si>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</si>
  <si>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</si>
  <si>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</si>
  <si>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</si>
  <si>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</si>
  <si>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</si>
  <si>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</si>
  <si>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</si>
  <si>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</si>
  <si>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</si>
  <si>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</si>
  <si>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</si>
  <si>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</si>
  <si>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</si>
  <si>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</si>
  <si>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</si>
  <si>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</si>
  <si>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</si>
  <si>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</si>
  <si>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</si>
  <si>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</si>
  <si>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</si>
  <si>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</si>
  <si>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</si>
  <si>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</si>
  <si>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</si>
  <si>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</si>
  <si>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</si>
  <si>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</si>
  <si>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</si>
  <si>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</si>
  <si>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</si>
  <si>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</si>
  <si>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</si>
  <si>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</si>
  <si>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</si>
  <si>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</si>
  <si>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</si>
  <si>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</si>
  <si>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</si>
  <si>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</si>
  <si>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</si>
  <si>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</si>
  <si>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</si>
  <si>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</si>
  <si>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</si>
  <si>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</si>
  <si>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</si>
  <si>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</si>
  <si>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</si>
  <si>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</si>
  <si>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</si>
  <si>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</si>
  <si>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</si>
  <si>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</si>
  <si>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</si>
  <si>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</si>
  <si>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</si>
  <si>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</si>
  <si>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</si>
  <si>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</si>
  <si>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</si>
  <si>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</si>
  <si>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</si>
  <si>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</si>
  <si>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</si>
  <si>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</si>
  <si>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</si>
  <si>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</si>
  <si>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</si>
  <si>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</si>
  <si>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Las Palmas Foundation</t>
  </si>
  <si>
    <t>West Hills Family Apartments</t>
  </si>
  <si>
    <t>Matthew W. Szabo</t>
  </si>
  <si>
    <t>200 N Main Street, Suite 1500</t>
  </si>
  <si>
    <t>213-473-7565</t>
  </si>
  <si>
    <t>matthew.szabo@lacity.org</t>
  </si>
  <si>
    <t>7566 Woodlake Avenue</t>
  </si>
  <si>
    <t>TR 21391</t>
  </si>
  <si>
    <t>2021-002-013</t>
  </si>
  <si>
    <t>40%/60%</t>
  </si>
  <si>
    <t>531 Encinitas Blvd, Suite 206</t>
  </si>
  <si>
    <t>Encinitas</t>
  </si>
  <si>
    <t>CA</t>
  </si>
  <si>
    <t>Noami Pines</t>
  </si>
  <si>
    <t>760-944-9050</t>
  </si>
  <si>
    <t>npines@laspalmashousing.com</t>
  </si>
  <si>
    <t>Managing GP</t>
  </si>
  <si>
    <t xml:space="preserve">531 Encinitas Blvd, Suite 206 </t>
  </si>
  <si>
    <t>Elysian West Hills, LLC</t>
  </si>
  <si>
    <t>Administrative GP</t>
  </si>
  <si>
    <t>584 1/2 N Larchmont Blvd</t>
  </si>
  <si>
    <t>Brian Mikail</t>
  </si>
  <si>
    <t>310-666-6860</t>
  </si>
  <si>
    <t>bmikail@capstoneequities.com</t>
  </si>
  <si>
    <t>Capstone Equities, LLC / Elysian Housing, LLC</t>
  </si>
  <si>
    <t>Sabelhaus &amp; Strain PC</t>
  </si>
  <si>
    <t>1724 10th Street, Suite 110</t>
  </si>
  <si>
    <t>Stephen A. Strain</t>
  </si>
  <si>
    <t>916-444-0286</t>
  </si>
  <si>
    <t>sstrain@sabelhauslaw.com</t>
  </si>
  <si>
    <t xml:space="preserve">Financial Consultant &amp; Attorney </t>
  </si>
  <si>
    <t>Encinitas, CA 92024</t>
  </si>
  <si>
    <t xml:space="preserve">KFA Architecture </t>
  </si>
  <si>
    <t>3573 Hayden Avenue</t>
  </si>
  <si>
    <t>Culver City, CA 90232</t>
  </si>
  <si>
    <t>John Arnold</t>
  </si>
  <si>
    <t>310-399-7975</t>
  </si>
  <si>
    <t>john@kfalosangeles.com</t>
  </si>
  <si>
    <t>Sacramento, CA 95811</t>
  </si>
  <si>
    <t>Steve Strain</t>
  </si>
  <si>
    <t>Dreyfuss Builders, LLC</t>
  </si>
  <si>
    <t>5616 Corryne Place</t>
  </si>
  <si>
    <t>Culver City, CA 90230</t>
  </si>
  <si>
    <t>Michael Jaborey</t>
  </si>
  <si>
    <t>310-645-9565</t>
  </si>
  <si>
    <t>michael.jaborey@dreyfussconstruction.com</t>
  </si>
  <si>
    <t>Herdlick Tax Credit, LLC</t>
  </si>
  <si>
    <t>12430 Tesson Ferry Road, Suite 350</t>
  </si>
  <si>
    <t>Saint Louis, MO 63128</t>
  </si>
  <si>
    <t>David Herdlick</t>
  </si>
  <si>
    <t>314-540-0890</t>
  </si>
  <si>
    <t>daveherdlick@herdlicktaxcreditllc.com</t>
  </si>
  <si>
    <t>Bernard E. Rea, CPA</t>
  </si>
  <si>
    <t>P.O. Box 492</t>
  </si>
  <si>
    <t>Aubrey, TX 76227</t>
  </si>
  <si>
    <t>Bernie Rea</t>
  </si>
  <si>
    <t>209-933-9113</t>
  </si>
  <si>
    <t>breacpa@aol.com</t>
  </si>
  <si>
    <t>R4 Capital</t>
  </si>
  <si>
    <t>895 Dove Street, Suite 450</t>
  </si>
  <si>
    <t>Newport Beach, CA 92660</t>
  </si>
  <si>
    <t>Cory Bannister</t>
  </si>
  <si>
    <t>949-438-1055</t>
  </si>
  <si>
    <t>cbannister@r4cap.com</t>
  </si>
  <si>
    <t xml:space="preserve">The Concord Group </t>
  </si>
  <si>
    <t>140 Newport Center Dr., Suite 210</t>
  </si>
  <si>
    <t>Michael Reynolds</t>
  </si>
  <si>
    <t>949-717-6450</t>
  </si>
  <si>
    <t>mdr@theconcordgroup.com</t>
  </si>
  <si>
    <t xml:space="preserve">California Municipal Finance Authority </t>
  </si>
  <si>
    <t>2111 Palomar Road, Suite 320</t>
  </si>
  <si>
    <t>Carlsbad, CA 92011</t>
  </si>
  <si>
    <t>Benjamin Barker</t>
  </si>
  <si>
    <t>760-930-1266</t>
  </si>
  <si>
    <t>bbarker@cmfa-ca.com</t>
  </si>
  <si>
    <t>Aperto Property Management</t>
  </si>
  <si>
    <t>2 Venture, Suite 545</t>
  </si>
  <si>
    <t>Irvine, CA 92618</t>
  </si>
  <si>
    <t>Ed Quigley</t>
  </si>
  <si>
    <t>949-873-0160</t>
  </si>
  <si>
    <t>equigley@apertopm.com</t>
  </si>
  <si>
    <t>Jill Ross Meer and Ron William Ross as Co-Trustees of the William G. Ross and Joy A. Ross Survivor's Trust</t>
  </si>
  <si>
    <t xml:space="preserve">Jill Ross Meer </t>
  </si>
  <si>
    <t>Ron William Ross</t>
  </si>
  <si>
    <t>Co-Trustee</t>
  </si>
  <si>
    <t>Los Angeles, CA 91304</t>
  </si>
  <si>
    <t>Secured by Fee Interest</t>
  </si>
  <si>
    <t>Inner City Infill Site</t>
  </si>
  <si>
    <t>Family Affordable</t>
  </si>
  <si>
    <t>A2-1</t>
  </si>
  <si>
    <t xml:space="preserve">A1-1 / Unlimited Density </t>
  </si>
  <si>
    <t>78'</t>
  </si>
  <si>
    <t xml:space="preserve">Citi-Tax Exempt Construction </t>
  </si>
  <si>
    <t>Citi-Taxable Construction</t>
  </si>
  <si>
    <t>Citi-Recycled Bond</t>
  </si>
  <si>
    <t>Deferred Costs</t>
  </si>
  <si>
    <t xml:space="preserve">LIHTC Equity </t>
  </si>
  <si>
    <t>3967 E Thousand Oaks Boulevard, Ste. A</t>
  </si>
  <si>
    <t>Westlake Village, CA 91362</t>
  </si>
  <si>
    <t>Mike Hemmens</t>
  </si>
  <si>
    <t>805-413-4160</t>
  </si>
  <si>
    <t>Tax-Exempt Construction Loan</t>
  </si>
  <si>
    <t>SOFR</t>
  </si>
  <si>
    <t>3967 E Thousand Oaks Blvd, Suite A</t>
  </si>
  <si>
    <t>Taxable Construction Loan</t>
  </si>
  <si>
    <t>3967 E Thousand Oaks Blvd</t>
  </si>
  <si>
    <t>Los Angeles, CA 90004</t>
  </si>
  <si>
    <t xml:space="preserve">Newport Beach, CA </t>
  </si>
  <si>
    <t xml:space="preserve">Tax Credit Equity </t>
  </si>
  <si>
    <t>Citi-Tax Exempt Permanent</t>
  </si>
  <si>
    <t>805-557-0933</t>
  </si>
  <si>
    <t>Tax Exempt Permanent</t>
  </si>
  <si>
    <t>584 1/2 N. Larchmont Blvd</t>
  </si>
  <si>
    <t>City of Los Angeles - Housing Authority of the City of Los Angeles</t>
  </si>
  <si>
    <t>Internet, Software, Phone</t>
  </si>
  <si>
    <t>Benefits + Other</t>
  </si>
  <si>
    <t>Tax-Exempt Recycled Bonds</t>
  </si>
  <si>
    <t>CMFA Recycled Bonds</t>
  </si>
  <si>
    <t>Other: Transaction Legal</t>
  </si>
  <si>
    <t>Fixed</t>
  </si>
  <si>
    <t>Above residual receipts line for cash flow</t>
  </si>
  <si>
    <t>Cash Flow From Operations</t>
  </si>
  <si>
    <t>Cash Flow During Lease Up</t>
  </si>
  <si>
    <t>None Per AHIP</t>
  </si>
  <si>
    <t>Existing // Unlimited</t>
  </si>
  <si>
    <t>LAHD Land Use Covenant per AHIP</t>
  </si>
  <si>
    <t>Provided</t>
  </si>
  <si>
    <t>Not Applicable</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</si>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</sst>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6" fontId="17" fillId="5" borderId="4" xfId="0" applyNumberFormat="1" applyFont="1" applyFill="1" applyBorder="1" applyAlignment="1" applyProtection="1">
      <alignment horizontal="left"/>
      <protection locked="0"/>
    </xf>
    <xf numFmtId="166" fontId="26" fillId="5" borderId="4" xfId="0" applyNumberFormat="1" applyFont="1" applyFill="1" applyBorder="1" applyAlignment="1" applyProtection="1">
      <alignment horizontal="left"/>
      <protection locked="0"/>
    </xf>
    <xf numFmtId="0" fontId="17"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0" fontId="17" fillId="0" borderId="0" xfId="543" applyAlignment="1">
      <alignment wrapText="1"/>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6" xfId="0" applyBorder="1" applyAlignment="1">
      <alignment horizontal="left"/>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6" fillId="2" borderId="11" xfId="0" applyFont="1" applyFill="1" applyBorder="1" applyAlignment="1">
      <alignment horizontal="center"/>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3" fillId="3" borderId="0" xfId="0" applyFont="1" applyFill="1" applyAlignment="1">
      <alignment horizontal="center" vertical="center"/>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6" fillId="5" borderId="4" xfId="0" applyFont="1" applyFill="1" applyBorder="1" applyAlignment="1" applyProtection="1">
      <alignment wrapText="1"/>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26" fillId="45" borderId="11" xfId="0" applyFont="1" applyFill="1"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17" fillId="0" borderId="11" xfId="0" applyFont="1" applyBorder="1" applyAlignment="1">
      <alignment horizontal="center"/>
    </xf>
    <xf numFmtId="0" fontId="26" fillId="0" borderId="3" xfId="0" applyFont="1" applyBorder="1" applyAlignment="1">
      <alignment horizontal="center"/>
    </xf>
    <xf numFmtId="0" fontId="26" fillId="0" borderId="5" xfId="0" applyFont="1" applyBorder="1" applyAlignment="1">
      <alignment horizontal="center"/>
    </xf>
    <xf numFmtId="0" fontId="17" fillId="0" borderId="11" xfId="543" applyBorder="1" applyAlignment="1">
      <alignment horizontal="center"/>
    </xf>
    <xf numFmtId="0" fontId="26"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7" fillId="0" borderId="4" xfId="0" applyFont="1" applyBorder="1" applyAlignment="1">
      <alignment horizontal="center"/>
    </xf>
    <xf numFmtId="168" fontId="0" fillId="5" borderId="11" xfId="0" applyNumberFormat="1" applyFill="1" applyBorder="1" applyAlignment="1" applyProtection="1">
      <alignment horizontal="right"/>
      <protection locked="0"/>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0" fillId="0" borderId="9" xfId="0" applyBorder="1" applyAlignment="1">
      <alignment horizontal="left"/>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1"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26" fillId="5" borderId="11" xfId="0" applyNumberFormat="1" applyFont="1" applyFill="1" applyBorder="1" applyAlignment="1" applyProtection="1">
      <alignment horizontal="center"/>
      <protection locked="0"/>
    </xf>
    <xf numFmtId="0" fontId="26" fillId="0" borderId="11" xfId="0" applyFont="1" applyBorder="1" applyAlignment="1">
      <alignment horizontal="center" vertical="top" wrapText="1"/>
    </xf>
    <xf numFmtId="0" fontId="24" fillId="0" borderId="0" xfId="0" applyFont="1" applyAlignment="1">
      <alignment horizontal="center" vertical="center"/>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17"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7" fillId="43" borderId="11" xfId="0" applyFon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0" fontId="17" fillId="0" borderId="3" xfId="0" applyFont="1" applyBorder="1"/>
    <xf numFmtId="0" fontId="17" fillId="0" borderId="4" xfId="0" applyFont="1" applyBorder="1"/>
    <xf numFmtId="0" fontId="17" fillId="0" borderId="5" xfId="0" applyFont="1" applyBorder="1"/>
    <xf numFmtId="0" fontId="24" fillId="0" borderId="2" xfId="0" applyFont="1" applyBorder="1" applyAlignment="1">
      <alignment horizontal="right"/>
    </xf>
    <xf numFmtId="0" fontId="24" fillId="0" borderId="7" xfId="0" applyFont="1" applyBorder="1" applyAlignment="1">
      <alignment horizontal="right"/>
    </xf>
    <xf numFmtId="168" fontId="0" fillId="5" borderId="11" xfId="0" applyNumberFormat="1" applyFill="1" applyBorder="1" applyAlignment="1" applyProtection="1">
      <alignment horizontal="center"/>
      <protection locked="0"/>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0" borderId="11" xfId="0" applyNumberFormat="1" applyBorder="1" applyAlignment="1">
      <alignment horizontal="right"/>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26" fillId="0" borderId="3" xfId="0" applyFont="1" applyBorder="1" applyAlignment="1">
      <alignment horizontal="left"/>
    </xf>
    <xf numFmtId="0" fontId="24" fillId="0" borderId="7" xfId="0" applyFont="1" applyBorder="1" applyAlignment="1">
      <alignment horizontal="center" wrapText="1"/>
    </xf>
    <xf numFmtId="171" fontId="17" fillId="0" borderId="0" xfId="543" applyNumberFormat="1" applyAlignment="1">
      <alignment horizontal="center"/>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14"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0" fillId="43" borderId="4" xfId="0" applyFill="1" applyBorder="1" applyAlignment="1" applyProtection="1">
      <alignment horizontal="center"/>
      <protection locked="0"/>
    </xf>
    <xf numFmtId="0" fontId="0" fillId="0" borderId="12" xfId="0" applyBorder="1" applyAlignment="1">
      <alignment horizontal="center"/>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horizontal="left" vertical="center" wrapText="1"/>
      <protection locked="0"/>
    </xf>
    <xf numFmtId="0" fontId="17" fillId="5" borderId="4" xfId="0" applyFont="1" applyFill="1" applyBorder="1" applyAlignment="1" applyProtection="1">
      <alignment wrapText="1"/>
      <protection locked="0"/>
    </xf>
    <xf numFmtId="0" fontId="17"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0" fontId="0" fillId="0" borderId="5" xfId="0" applyBorder="1" applyAlignment="1">
      <alignment horizontal="left"/>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71" fontId="17"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9" fontId="17" fillId="0" borderId="0" xfId="543" applyNumberFormat="1" applyAlignment="1">
      <alignment horizontal="center" vertic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68"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3" fontId="26" fillId="5" borderId="11" xfId="0" applyNumberFormat="1" applyFont="1" applyFill="1" applyBorder="1" applyAlignment="1" applyProtection="1">
      <alignment horizontal="center"/>
      <protection locked="0"/>
    </xf>
    <xf numFmtId="2" fontId="0" fillId="0" borderId="6" xfId="0" applyNumberFormat="1" applyBorder="1" applyAlignment="1">
      <alignment horizontal="center"/>
    </xf>
    <xf numFmtId="10" fontId="26" fillId="0" borderId="11" xfId="0" applyNumberFormat="1" applyFont="1" applyBorder="1" applyAlignment="1">
      <alignment horizontal="center"/>
    </xf>
    <xf numFmtId="168" fontId="17"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 fontId="26" fillId="5" borderId="11" xfId="0" quotePrefix="1" applyNumberFormat="1" applyFon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166" fontId="17" fillId="5" borderId="6" xfId="0" applyNumberFormat="1" applyFont="1" applyFill="1" applyBorder="1" applyAlignment="1" applyProtection="1">
      <alignment horizontal="left"/>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17"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6" fillId="0" borderId="4" xfId="0" applyFont="1" applyBorder="1" applyAlignment="1" applyProtection="1">
      <alignment horizontal="left"/>
      <protection locked="0"/>
    </xf>
    <xf numFmtId="0" fontId="17" fillId="0" borderId="6" xfId="0" applyFont="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5" borderId="6" xfId="0" applyFill="1" applyBorder="1" applyProtection="1">
      <protection locked="0"/>
    </xf>
    <xf numFmtId="14" fontId="26"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78" fontId="2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6" fillId="5" borderId="6" xfId="0" applyNumberFormat="1" applyFont="1" applyFill="1" applyBorder="1" applyAlignment="1" applyProtection="1">
      <alignment horizontal="right"/>
      <protection locked="0"/>
    </xf>
    <xf numFmtId="168" fontId="26" fillId="0" borderId="11" xfId="0" applyNumberFormat="1" applyFont="1" applyBorder="1" applyAlignment="1">
      <alignment horizontal="center"/>
    </xf>
    <xf numFmtId="3" fontId="26" fillId="0" borderId="11" xfId="0" applyNumberFormat="1" applyFont="1" applyBorder="1" applyAlignment="1">
      <alignment horizontal="center"/>
    </xf>
    <xf numFmtId="0" fontId="17"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0" fontId="24" fillId="0" borderId="9"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D29224AF-34F5-4336-BE5D-56ECC640D6DA}"/>
    <cellStyle name="20% - Accent1 11" xfId="8736" xr:uid="{8103D27E-7D71-4061-BAA7-C672BB923FB4}"/>
    <cellStyle name="20% - Accent1 2" xfId="2" xr:uid="{00000000-0005-0000-0000-000002000000}"/>
    <cellStyle name="20% - Accent1 2 10" xfId="8737" xr:uid="{8663E347-3302-4000-9008-36AA6FB68184}"/>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52B0245F-0964-439E-AD41-1B963CA11DBC}"/>
    <cellStyle name="20% - Accent1 2 2 2 2 2 3" xfId="11298" xr:uid="{0C8A2ABC-B290-45C3-9306-C7DA2C45E621}"/>
    <cellStyle name="20% - Accent1 2 2 2 2 3" xfId="4921" xr:uid="{00000000-0005-0000-0000-000008000000}"/>
    <cellStyle name="20% - Accent1 2 2 2 2 3 2" xfId="13371" xr:uid="{61D83F89-0CA5-4D9F-960F-EAEE035940D7}"/>
    <cellStyle name="20% - Accent1 2 2 2 2 4" xfId="9153" xr:uid="{B6096577-A4B9-49FF-B87E-233080952C46}"/>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98EC01D1-2006-453C-B772-6EBC0059594F}"/>
    <cellStyle name="20% - Accent1 2 2 2 3 2 3" xfId="11711" xr:uid="{F8CFA35E-3C98-4D31-AA4A-B9D60BE8DD15}"/>
    <cellStyle name="20% - Accent1 2 2 2 3 3" xfId="5334" xr:uid="{00000000-0005-0000-0000-00000C000000}"/>
    <cellStyle name="20% - Accent1 2 2 2 3 3 2" xfId="13784" xr:uid="{81DF692C-7888-411D-AE53-772D87E41CCD}"/>
    <cellStyle name="20% - Accent1 2 2 2 3 4" xfId="9566" xr:uid="{1FBEC5A8-72E5-4E33-B96B-3235DC7075AB}"/>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A5736E22-17BE-4284-8E8B-6507FF484281}"/>
    <cellStyle name="20% - Accent1 2 2 2 4 2 3" xfId="12124" xr:uid="{B55DBF34-CC36-4781-AD22-996000BDDF74}"/>
    <cellStyle name="20% - Accent1 2 2 2 4 3" xfId="5747" xr:uid="{00000000-0005-0000-0000-000010000000}"/>
    <cellStyle name="20% - Accent1 2 2 2 4 3 2" xfId="14197" xr:uid="{120BF34E-8990-4118-BD64-30D4C30C5905}"/>
    <cellStyle name="20% - Accent1 2 2 2 4 4" xfId="9979" xr:uid="{85C93FD5-575C-44B1-9A99-255F4851280E}"/>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EEBDBDAA-960A-4A80-A9C9-B55DAED6885F}"/>
    <cellStyle name="20% - Accent1 2 2 2 5 2 3" xfId="12537" xr:uid="{0D46B62D-9867-4C84-AE03-EBCD50E9F087}"/>
    <cellStyle name="20% - Accent1 2 2 2 5 3" xfId="6160" xr:uid="{00000000-0005-0000-0000-000014000000}"/>
    <cellStyle name="20% - Accent1 2 2 2 5 3 2" xfId="14610" xr:uid="{549351C8-226E-44BE-9001-775AE9D5EC3B}"/>
    <cellStyle name="20% - Accent1 2 2 2 5 4" xfId="10392" xr:uid="{E07798F8-B418-40BC-A93A-99A960A06DA2}"/>
    <cellStyle name="20% - Accent1 2 2 2 6" xfId="2267" xr:uid="{00000000-0005-0000-0000-000015000000}"/>
    <cellStyle name="20% - Accent1 2 2 2 6 2" xfId="6573" xr:uid="{00000000-0005-0000-0000-000016000000}"/>
    <cellStyle name="20% - Accent1 2 2 2 6 2 2" xfId="15023" xr:uid="{ABE10E04-05AB-4032-8D87-616E7C76B0CD}"/>
    <cellStyle name="20% - Accent1 2 2 2 6 3" xfId="10805" xr:uid="{19B9FB90-F6B5-4F5A-A25B-7F2E7CD37759}"/>
    <cellStyle name="20% - Accent1 2 2 2 7" xfId="4507" xr:uid="{00000000-0005-0000-0000-000017000000}"/>
    <cellStyle name="20% - Accent1 2 2 2 7 2" xfId="12957" xr:uid="{8D3EDD37-7FFE-470C-A166-BE1C172340B9}"/>
    <cellStyle name="20% - Accent1 2 2 2 8" xfId="8739" xr:uid="{3BBCC8AB-54A4-425E-BBD9-0A44191D21E9}"/>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7A29548D-5622-482C-9A66-C873F058F435}"/>
    <cellStyle name="20% - Accent1 2 2 3 2 3" xfId="11297" xr:uid="{2585A068-F5AC-4013-B4B9-E749D80D158F}"/>
    <cellStyle name="20% - Accent1 2 2 3 3" xfId="4920" xr:uid="{00000000-0005-0000-0000-00001B000000}"/>
    <cellStyle name="20% - Accent1 2 2 3 3 2" xfId="13370" xr:uid="{616B599C-2F0C-45AC-ACBE-D1AE1B84B959}"/>
    <cellStyle name="20% - Accent1 2 2 3 4" xfId="9152" xr:uid="{EB5296C7-DBD8-46D3-A53D-46CDA4A8417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9D9C8AEC-50F8-4844-AE4F-F102DE6ED392}"/>
    <cellStyle name="20% - Accent1 2 2 4 2 3" xfId="11710" xr:uid="{7377DC9A-E00C-4F79-B60F-937745EBC8D6}"/>
    <cellStyle name="20% - Accent1 2 2 4 3" xfId="5333" xr:uid="{00000000-0005-0000-0000-00001F000000}"/>
    <cellStyle name="20% - Accent1 2 2 4 3 2" xfId="13783" xr:uid="{76CFA4D6-032E-478B-9945-5FC17199603B}"/>
    <cellStyle name="20% - Accent1 2 2 4 4" xfId="9565" xr:uid="{4ED5B18A-F057-4EA8-ADFC-ABBF2B5D5895}"/>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BA8E17D7-1D6C-48BD-AE65-FA78BE566219}"/>
    <cellStyle name="20% - Accent1 2 2 5 2 3" xfId="12123" xr:uid="{0EB76DD7-0FFF-43A2-91AF-17E6404AEEC8}"/>
    <cellStyle name="20% - Accent1 2 2 5 3" xfId="5746" xr:uid="{00000000-0005-0000-0000-000023000000}"/>
    <cellStyle name="20% - Accent1 2 2 5 3 2" xfId="14196" xr:uid="{8B10A513-9971-42C9-8E3A-F24EF0971373}"/>
    <cellStyle name="20% - Accent1 2 2 5 4" xfId="9978" xr:uid="{5690F020-0C7A-4E93-899E-8E9936C8F9C4}"/>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B3F6026C-5118-4BEF-8FF2-C4B01E674CF4}"/>
    <cellStyle name="20% - Accent1 2 2 6 2 3" xfId="12536" xr:uid="{3802DE86-730B-4256-BDE1-EAB7F2C8E5FC}"/>
    <cellStyle name="20% - Accent1 2 2 6 3" xfId="6159" xr:uid="{00000000-0005-0000-0000-000027000000}"/>
    <cellStyle name="20% - Accent1 2 2 6 3 2" xfId="14609" xr:uid="{66CDB60E-7F1D-4AD5-8012-AA2F17E30AE6}"/>
    <cellStyle name="20% - Accent1 2 2 6 4" xfId="10391" xr:uid="{C2AD20D6-CD55-4AB3-84E4-7D1836EFB5B6}"/>
    <cellStyle name="20% - Accent1 2 2 7" xfId="2266" xr:uid="{00000000-0005-0000-0000-000028000000}"/>
    <cellStyle name="20% - Accent1 2 2 7 2" xfId="6572" xr:uid="{00000000-0005-0000-0000-000029000000}"/>
    <cellStyle name="20% - Accent1 2 2 7 2 2" xfId="15022" xr:uid="{414FCC27-167A-478B-9FA5-B3895959F452}"/>
    <cellStyle name="20% - Accent1 2 2 7 3" xfId="10804" xr:uid="{2F8A63D6-0909-4092-9FBB-198BECDA6CE9}"/>
    <cellStyle name="20% - Accent1 2 2 8" xfId="4506" xr:uid="{00000000-0005-0000-0000-00002A000000}"/>
    <cellStyle name="20% - Accent1 2 2 8 2" xfId="12956" xr:uid="{2781E8AD-D95D-47BE-82F2-0C93DA17DFC9}"/>
    <cellStyle name="20% - Accent1 2 2 9" xfId="8738" xr:uid="{76762F05-ADA2-436C-B3EB-C3E4C19FA541}"/>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752FAB5B-5771-485F-A0AC-1139288393F6}"/>
    <cellStyle name="20% - Accent1 2 3 2 2 3" xfId="11299" xr:uid="{14AA7CF4-05D0-494C-9AD3-55CEA467C3F1}"/>
    <cellStyle name="20% - Accent1 2 3 2 3" xfId="4922" xr:uid="{00000000-0005-0000-0000-00002F000000}"/>
    <cellStyle name="20% - Accent1 2 3 2 3 2" xfId="13372" xr:uid="{8C698718-91FB-471A-8DF8-4B16D6AACAE1}"/>
    <cellStyle name="20% - Accent1 2 3 2 4" xfId="9154" xr:uid="{CA6E4965-F827-4D73-94C0-3539894B279D}"/>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3E43FAD0-341D-4C90-B3EA-94A7E885AFFB}"/>
    <cellStyle name="20% - Accent1 2 3 3 2 3" xfId="11712" xr:uid="{7033018A-73E9-4FBC-8E95-F6CAEB48B8C8}"/>
    <cellStyle name="20% - Accent1 2 3 3 3" xfId="5335" xr:uid="{00000000-0005-0000-0000-000033000000}"/>
    <cellStyle name="20% - Accent1 2 3 3 3 2" xfId="13785" xr:uid="{3387E8DF-37BB-41EB-B993-641B49923677}"/>
    <cellStyle name="20% - Accent1 2 3 3 4" xfId="9567" xr:uid="{0535EC6D-65A3-48A8-A615-57C91E592668}"/>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4A0A704F-12CE-4CFF-90BB-1C701E082D53}"/>
    <cellStyle name="20% - Accent1 2 3 4 2 3" xfId="12125" xr:uid="{5E0B01FF-15D8-4A2C-9ACB-A38254989280}"/>
    <cellStyle name="20% - Accent1 2 3 4 3" xfId="5748" xr:uid="{00000000-0005-0000-0000-000037000000}"/>
    <cellStyle name="20% - Accent1 2 3 4 3 2" xfId="14198" xr:uid="{6F887063-182B-4D07-8E03-5D34A25AE4CB}"/>
    <cellStyle name="20% - Accent1 2 3 4 4" xfId="9980" xr:uid="{8F132DB1-FB29-4151-94CA-CFC806479E0B}"/>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353E4957-924F-4EAD-B1E2-250D5BE76BED}"/>
    <cellStyle name="20% - Accent1 2 3 5 2 3" xfId="12538" xr:uid="{69D80D81-06A7-4821-8440-819DFF242A92}"/>
    <cellStyle name="20% - Accent1 2 3 5 3" xfId="6161" xr:uid="{00000000-0005-0000-0000-00003B000000}"/>
    <cellStyle name="20% - Accent1 2 3 5 3 2" xfId="14611" xr:uid="{F0281165-96F5-4EC6-8274-99A6109666F6}"/>
    <cellStyle name="20% - Accent1 2 3 5 4" xfId="10393" xr:uid="{E5BF8919-ED1F-4F02-9FC7-B034873E78E4}"/>
    <cellStyle name="20% - Accent1 2 3 6" xfId="2268" xr:uid="{00000000-0005-0000-0000-00003C000000}"/>
    <cellStyle name="20% - Accent1 2 3 6 2" xfId="6574" xr:uid="{00000000-0005-0000-0000-00003D000000}"/>
    <cellStyle name="20% - Accent1 2 3 6 2 2" xfId="15024" xr:uid="{02FCCE11-5EF4-43FE-A9DF-2D5335AF2770}"/>
    <cellStyle name="20% - Accent1 2 3 6 3" xfId="10806" xr:uid="{BB5853D0-600B-4B33-831D-D216DC378BEF}"/>
    <cellStyle name="20% - Accent1 2 3 7" xfId="4508" xr:uid="{00000000-0005-0000-0000-00003E000000}"/>
    <cellStyle name="20% - Accent1 2 3 7 2" xfId="12958" xr:uid="{063C5E14-77F6-45D4-AC24-F5F034F439C8}"/>
    <cellStyle name="20% - Accent1 2 3 8" xfId="8740" xr:uid="{D7973104-18F5-4E4A-972A-AF7AE98308E5}"/>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5D3CBED6-0D8C-4EC2-A699-E03BD964E907}"/>
    <cellStyle name="20% - Accent1 2 4 2 3" xfId="11296" xr:uid="{1D18B9D5-0120-4552-B36B-5272BF223D4A}"/>
    <cellStyle name="20% - Accent1 2 4 3" xfId="4919" xr:uid="{00000000-0005-0000-0000-000042000000}"/>
    <cellStyle name="20% - Accent1 2 4 3 2" xfId="13369" xr:uid="{5FE61256-A0A0-4A6B-9107-68919F7DEB5F}"/>
    <cellStyle name="20% - Accent1 2 4 4" xfId="9151" xr:uid="{60DD4B56-92BB-4263-981B-49F691EA9F35}"/>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5EE8DDCF-405B-4A55-BCCB-FF1E92FCA819}"/>
    <cellStyle name="20% - Accent1 2 5 2 3" xfId="11709" xr:uid="{3D423871-B882-4383-81BF-08F248E5413C}"/>
    <cellStyle name="20% - Accent1 2 5 3" xfId="5332" xr:uid="{00000000-0005-0000-0000-000046000000}"/>
    <cellStyle name="20% - Accent1 2 5 3 2" xfId="13782" xr:uid="{CC60E1F2-5F0D-46E2-A24B-E5C8EA9AB82B}"/>
    <cellStyle name="20% - Accent1 2 5 4" xfId="9564" xr:uid="{0D2D39F9-081B-46B0-BA9F-67660D4109BF}"/>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0B7F22D6-86D3-4CC6-82EA-8262D29E4631}"/>
    <cellStyle name="20% - Accent1 2 6 2 3" xfId="12122" xr:uid="{B3F5EABB-5E63-4771-9669-21CD681C8D32}"/>
    <cellStyle name="20% - Accent1 2 6 3" xfId="5745" xr:uid="{00000000-0005-0000-0000-00004A000000}"/>
    <cellStyle name="20% - Accent1 2 6 3 2" xfId="14195" xr:uid="{E4E971F6-51AE-4502-8BE4-BF84573C157E}"/>
    <cellStyle name="20% - Accent1 2 6 4" xfId="9977" xr:uid="{B25740F6-2D1A-4EB5-A35A-34D4BB78C524}"/>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5D4CAC04-3B32-4127-9FAF-E1D9F83FC8A4}"/>
    <cellStyle name="20% - Accent1 2 7 2 3" xfId="12535" xr:uid="{01F020E7-550A-4972-B2E2-FC0AA677DE82}"/>
    <cellStyle name="20% - Accent1 2 7 3" xfId="6158" xr:uid="{00000000-0005-0000-0000-00004E000000}"/>
    <cellStyle name="20% - Accent1 2 7 3 2" xfId="14608" xr:uid="{7B85F980-6D7B-4896-B926-D8011F8AEC0C}"/>
    <cellStyle name="20% - Accent1 2 7 4" xfId="10390" xr:uid="{A5AF3ABC-A22D-4CC4-8A9E-E1A4B2DC37C3}"/>
    <cellStyle name="20% - Accent1 2 8" xfId="2265" xr:uid="{00000000-0005-0000-0000-00004F000000}"/>
    <cellStyle name="20% - Accent1 2 8 2" xfId="6571" xr:uid="{00000000-0005-0000-0000-000050000000}"/>
    <cellStyle name="20% - Accent1 2 8 2 2" xfId="15021" xr:uid="{5FE716D5-76B0-451C-83E2-00E77AC86D03}"/>
    <cellStyle name="20% - Accent1 2 8 3" xfId="10803" xr:uid="{8E0F8058-5C84-48AA-BBF9-72963A4A9DAB}"/>
    <cellStyle name="20% - Accent1 2 9" xfId="4505" xr:uid="{00000000-0005-0000-0000-000051000000}"/>
    <cellStyle name="20% - Accent1 2 9 2" xfId="12955" xr:uid="{7C85465A-286D-4BAA-B170-3258C7F63ADB}"/>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B5EDEE2E-3A7D-47BE-8DA6-04F3E7C13F38}"/>
    <cellStyle name="20% - Accent1 3 2 2 2 3" xfId="11301" xr:uid="{3DB00DDE-32AA-4AE7-AE1C-87707E33722C}"/>
    <cellStyle name="20% - Accent1 3 2 2 3" xfId="4924" xr:uid="{00000000-0005-0000-0000-000057000000}"/>
    <cellStyle name="20% - Accent1 3 2 2 3 2" xfId="13374" xr:uid="{F36A37AD-F02D-4DD8-80CD-A417EB72054B}"/>
    <cellStyle name="20% - Accent1 3 2 2 4" xfId="9156" xr:uid="{C136058A-D067-4FFF-A1C5-1E13248A5A5D}"/>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53754818-ABDA-4AE5-A7F6-6150283C13F4}"/>
    <cellStyle name="20% - Accent1 3 2 3 2 3" xfId="11714" xr:uid="{825B0045-F186-44A1-B9BF-C2E55CEB6951}"/>
    <cellStyle name="20% - Accent1 3 2 3 3" xfId="5337" xr:uid="{00000000-0005-0000-0000-00005B000000}"/>
    <cellStyle name="20% - Accent1 3 2 3 3 2" xfId="13787" xr:uid="{C84BD670-D102-41E3-B1F5-7E53A089AD02}"/>
    <cellStyle name="20% - Accent1 3 2 3 4" xfId="9569" xr:uid="{CEF42523-709A-4BCD-8FA9-4DF123F53167}"/>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7D4F3F67-C035-4411-8125-7FD6CB39593C}"/>
    <cellStyle name="20% - Accent1 3 2 4 2 3" xfId="12127" xr:uid="{42CCD217-3D03-43A1-BC94-69D0ABD8B513}"/>
    <cellStyle name="20% - Accent1 3 2 4 3" xfId="5750" xr:uid="{00000000-0005-0000-0000-00005F000000}"/>
    <cellStyle name="20% - Accent1 3 2 4 3 2" xfId="14200" xr:uid="{28067AD8-4FCF-4AC5-B984-5F8EF7E154B2}"/>
    <cellStyle name="20% - Accent1 3 2 4 4" xfId="9982" xr:uid="{256C8998-D486-4C06-8525-399597E018E0}"/>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5973B354-E1AF-44BC-BC5F-F1F7B1AC9BD3}"/>
    <cellStyle name="20% - Accent1 3 2 5 2 3" xfId="12540" xr:uid="{5E9190FC-33CA-4486-A60B-40F0F9ED4E76}"/>
    <cellStyle name="20% - Accent1 3 2 5 3" xfId="6163" xr:uid="{00000000-0005-0000-0000-000063000000}"/>
    <cellStyle name="20% - Accent1 3 2 5 3 2" xfId="14613" xr:uid="{BB6419CC-2FF7-4D25-873C-D01C10B2F099}"/>
    <cellStyle name="20% - Accent1 3 2 5 4" xfId="10395" xr:uid="{7460DF62-3AC3-47E8-B293-057E3DDDED26}"/>
    <cellStyle name="20% - Accent1 3 2 6" xfId="2270" xr:uid="{00000000-0005-0000-0000-000064000000}"/>
    <cellStyle name="20% - Accent1 3 2 6 2" xfId="6576" xr:uid="{00000000-0005-0000-0000-000065000000}"/>
    <cellStyle name="20% - Accent1 3 2 6 2 2" xfId="15026" xr:uid="{C9F5DA91-0877-44EF-B6EB-EAC13C1697C9}"/>
    <cellStyle name="20% - Accent1 3 2 6 3" xfId="10808" xr:uid="{90A5CB81-EAF9-4F14-9D04-8FB2778826AD}"/>
    <cellStyle name="20% - Accent1 3 2 7" xfId="4510" xr:uid="{00000000-0005-0000-0000-000066000000}"/>
    <cellStyle name="20% - Accent1 3 2 7 2" xfId="12960" xr:uid="{B2A1333B-352E-41AE-9B64-0DEA2ED38678}"/>
    <cellStyle name="20% - Accent1 3 2 8" xfId="8742" xr:uid="{9EE2E301-A8D8-442F-A18B-E1BB0B9F4A6F}"/>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22649368-9A47-4312-B528-039115B7BA34}"/>
    <cellStyle name="20% - Accent1 3 3 2 3" xfId="11300" xr:uid="{71557E0E-1200-4D69-AE2F-C73E48B6DECF}"/>
    <cellStyle name="20% - Accent1 3 3 3" xfId="4923" xr:uid="{00000000-0005-0000-0000-00006A000000}"/>
    <cellStyle name="20% - Accent1 3 3 3 2" xfId="13373" xr:uid="{AF152E43-18C0-4F35-9D36-97D980D0067A}"/>
    <cellStyle name="20% - Accent1 3 3 4" xfId="9155" xr:uid="{32090FEF-04E1-4A35-8203-D576F87C5996}"/>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8B0FF6A8-3BB3-4D97-ADBE-DF3057356DDD}"/>
    <cellStyle name="20% - Accent1 3 4 2 3" xfId="11713" xr:uid="{A28A8698-C0AA-4E75-AE8B-5D9DD2104BA8}"/>
    <cellStyle name="20% - Accent1 3 4 3" xfId="5336" xr:uid="{00000000-0005-0000-0000-00006E000000}"/>
    <cellStyle name="20% - Accent1 3 4 3 2" xfId="13786" xr:uid="{3E4E1476-A561-4E0F-8269-C9F8C03A5A3D}"/>
    <cellStyle name="20% - Accent1 3 4 4" xfId="9568" xr:uid="{0C7464D8-DA33-47C6-A5BB-16190C858E49}"/>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83A29CC7-DA7F-48CF-A596-6D80AC098A56}"/>
    <cellStyle name="20% - Accent1 3 5 2 3" xfId="12126" xr:uid="{77090F78-2B60-4946-872C-185148D47A5C}"/>
    <cellStyle name="20% - Accent1 3 5 3" xfId="5749" xr:uid="{00000000-0005-0000-0000-000072000000}"/>
    <cellStyle name="20% - Accent1 3 5 3 2" xfId="14199" xr:uid="{5601582F-DDD7-4EC5-B151-6BC311533391}"/>
    <cellStyle name="20% - Accent1 3 5 4" xfId="9981" xr:uid="{E41BF219-6454-41C3-87D9-E3A3C11E2C37}"/>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3D7AF1B9-991F-4051-B168-FF07F28D53B7}"/>
    <cellStyle name="20% - Accent1 3 6 2 3" xfId="12539" xr:uid="{0A6A89E2-6A05-4F32-9153-E50C54743760}"/>
    <cellStyle name="20% - Accent1 3 6 3" xfId="6162" xr:uid="{00000000-0005-0000-0000-000076000000}"/>
    <cellStyle name="20% - Accent1 3 6 3 2" xfId="14612" xr:uid="{1359C157-DE85-4822-A450-2A4429BD2A17}"/>
    <cellStyle name="20% - Accent1 3 6 4" xfId="10394" xr:uid="{975913AD-D8C9-4C07-9638-BAE25EB4E5C3}"/>
    <cellStyle name="20% - Accent1 3 7" xfId="2269" xr:uid="{00000000-0005-0000-0000-000077000000}"/>
    <cellStyle name="20% - Accent1 3 7 2" xfId="6575" xr:uid="{00000000-0005-0000-0000-000078000000}"/>
    <cellStyle name="20% - Accent1 3 7 2 2" xfId="15025" xr:uid="{2EF2683F-6670-4A68-A692-579196D1509A}"/>
    <cellStyle name="20% - Accent1 3 7 3" xfId="10807" xr:uid="{35820AB9-475E-42E0-B517-467162AFEEC7}"/>
    <cellStyle name="20% - Accent1 3 8" xfId="4509" xr:uid="{00000000-0005-0000-0000-000079000000}"/>
    <cellStyle name="20% - Accent1 3 8 2" xfId="12959" xr:uid="{87AD9DF2-C273-48E2-B8EF-B82063431580}"/>
    <cellStyle name="20% - Accent1 3 9" xfId="8741" xr:uid="{F6D4B35D-C11D-4C9E-90D5-E06A138F980B}"/>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A3DAF40B-3163-4818-B083-0D64F2C0E71C}"/>
    <cellStyle name="20% - Accent1 4 2 2 3" xfId="11302" xr:uid="{59B79F7D-9BE6-42B2-BDE3-3021EBF2F232}"/>
    <cellStyle name="20% - Accent1 4 2 3" xfId="4925" xr:uid="{00000000-0005-0000-0000-00007E000000}"/>
    <cellStyle name="20% - Accent1 4 2 3 2" xfId="13375" xr:uid="{9F1C1278-1661-4030-A55B-3E5B2AA732CA}"/>
    <cellStyle name="20% - Accent1 4 2 4" xfId="9157" xr:uid="{5AD5C2C0-CFDE-4094-BF8D-1D850A24A34D}"/>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C356C61E-62DD-4914-AAA4-443A58B1E775}"/>
    <cellStyle name="20% - Accent1 4 3 2 3" xfId="11715" xr:uid="{C91010DC-B9CD-42A9-AA80-C99787EA34AB}"/>
    <cellStyle name="20% - Accent1 4 3 3" xfId="5338" xr:uid="{00000000-0005-0000-0000-000082000000}"/>
    <cellStyle name="20% - Accent1 4 3 3 2" xfId="13788" xr:uid="{B06C3D9A-8365-4EF0-808C-D43A2F4DF6A5}"/>
    <cellStyle name="20% - Accent1 4 3 4" xfId="9570" xr:uid="{1864BE7F-2A71-4100-AE46-E98AB42732FC}"/>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1F6133BA-60FB-409F-B38F-739988CE8ACF}"/>
    <cellStyle name="20% - Accent1 4 4 2 3" xfId="12128" xr:uid="{D6DCCBD9-BCBC-4EA6-B0CB-B72ACAB3E1CD}"/>
    <cellStyle name="20% - Accent1 4 4 3" xfId="5751" xr:uid="{00000000-0005-0000-0000-000086000000}"/>
    <cellStyle name="20% - Accent1 4 4 3 2" xfId="14201" xr:uid="{4D4B29A6-7EAD-46C1-B159-3266DE558DCF}"/>
    <cellStyle name="20% - Accent1 4 4 4" xfId="9983" xr:uid="{196DC772-A8A3-4945-8FFD-AC04C2647848}"/>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B9A0C19C-0113-4A79-80AF-03C138B79C42}"/>
    <cellStyle name="20% - Accent1 4 5 2 3" xfId="12541" xr:uid="{E04E690E-85C7-46AA-8736-3B4CB6147269}"/>
    <cellStyle name="20% - Accent1 4 5 3" xfId="6164" xr:uid="{00000000-0005-0000-0000-00008A000000}"/>
    <cellStyle name="20% - Accent1 4 5 3 2" xfId="14614" xr:uid="{2207736E-E8DB-4689-9E60-4EC5663BEDB0}"/>
    <cellStyle name="20% - Accent1 4 5 4" xfId="10396" xr:uid="{1D7C7F99-69BF-4FA2-B5BC-93AADA0EFCC5}"/>
    <cellStyle name="20% - Accent1 4 6" xfId="2271" xr:uid="{00000000-0005-0000-0000-00008B000000}"/>
    <cellStyle name="20% - Accent1 4 6 2" xfId="6577" xr:uid="{00000000-0005-0000-0000-00008C000000}"/>
    <cellStyle name="20% - Accent1 4 6 2 2" xfId="15027" xr:uid="{52740415-E927-4361-89E9-34A1C35C8A56}"/>
    <cellStyle name="20% - Accent1 4 6 3" xfId="10809" xr:uid="{B2818822-0CF6-4502-89E0-868025451B11}"/>
    <cellStyle name="20% - Accent1 4 7" xfId="4511" xr:uid="{00000000-0005-0000-0000-00008D000000}"/>
    <cellStyle name="20% - Accent1 4 7 2" xfId="12961" xr:uid="{04480F8B-E3D5-468A-AB3D-B85E8A17E276}"/>
    <cellStyle name="20% - Accent1 4 8" xfId="8743" xr:uid="{5F35CEE8-4EB6-4654-A05F-33BB2F29A729}"/>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D05B6A74-597B-4D78-B494-398688DA0982}"/>
    <cellStyle name="20% - Accent1 5 2 3" xfId="11295" xr:uid="{E3B198CB-16CC-4038-A23B-26BA763712FE}"/>
    <cellStyle name="20% - Accent1 5 3" xfId="4918" xr:uid="{00000000-0005-0000-0000-000091000000}"/>
    <cellStyle name="20% - Accent1 5 3 2" xfId="13368" xr:uid="{7A5ACB25-9DB6-4C31-B04A-FD07F35A37FD}"/>
    <cellStyle name="20% - Accent1 5 4" xfId="9150" xr:uid="{8C12E143-D00B-4F2C-8357-3285DB82376A}"/>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985131F4-C142-4E63-A73C-CC9A74054067}"/>
    <cellStyle name="20% - Accent1 6 2 3" xfId="11708" xr:uid="{F0823A99-2740-4D6B-8A1A-E1F3F59213C2}"/>
    <cellStyle name="20% - Accent1 6 3" xfId="5331" xr:uid="{00000000-0005-0000-0000-000095000000}"/>
    <cellStyle name="20% - Accent1 6 3 2" xfId="13781" xr:uid="{1F1E28B0-B077-4AEA-95E2-1B1C2267EB36}"/>
    <cellStyle name="20% - Accent1 6 4" xfId="9563" xr:uid="{A546589D-6351-48C7-A720-C62D29498590}"/>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ADE0D292-BA7F-4F2C-94AB-907FCAEC8867}"/>
    <cellStyle name="20% - Accent1 7 2 3" xfId="12121" xr:uid="{CD0CC84F-918D-4A44-9B36-DF3C37E74479}"/>
    <cellStyle name="20% - Accent1 7 3" xfId="5744" xr:uid="{00000000-0005-0000-0000-000099000000}"/>
    <cellStyle name="20% - Accent1 7 3 2" xfId="14194" xr:uid="{ED6D81A2-C2CB-4BE4-9B79-9D4B53D41534}"/>
    <cellStyle name="20% - Accent1 7 4" xfId="9976" xr:uid="{738DA961-BCB0-4FAF-9887-71FCD52FE41F}"/>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9DF8D012-C9FC-4707-A624-21D46BEFAE1E}"/>
    <cellStyle name="20% - Accent1 8 2 3" xfId="12534" xr:uid="{25A14589-4248-4D17-8ADA-1809209CB324}"/>
    <cellStyle name="20% - Accent1 8 3" xfId="6157" xr:uid="{00000000-0005-0000-0000-00009D000000}"/>
    <cellStyle name="20% - Accent1 8 3 2" xfId="14607" xr:uid="{8ABBD6F6-0464-4DB7-B5E5-9558C6CC4701}"/>
    <cellStyle name="20% - Accent1 8 4" xfId="10389" xr:uid="{7C9F1E6C-6D1A-48B1-A974-EED1CC687882}"/>
    <cellStyle name="20% - Accent1 9" xfId="2264" xr:uid="{00000000-0005-0000-0000-00009E000000}"/>
    <cellStyle name="20% - Accent1 9 2" xfId="6570" xr:uid="{00000000-0005-0000-0000-00009F000000}"/>
    <cellStyle name="20% - Accent1 9 2 2" xfId="15020" xr:uid="{F03C3963-936B-4A8D-A275-72C439A930DB}"/>
    <cellStyle name="20% - Accent1 9 3" xfId="10802" xr:uid="{5140A143-02DD-4177-89A8-E63FBA5C7EC1}"/>
    <cellStyle name="20% - Accent2" xfId="9" builtinId="34" customBuiltin="1"/>
    <cellStyle name="20% - Accent2 10" xfId="4512" xr:uid="{00000000-0005-0000-0000-0000A1000000}"/>
    <cellStyle name="20% - Accent2 10 2" xfId="12962" xr:uid="{44D12284-D0A1-426D-971D-6162586571E3}"/>
    <cellStyle name="20% - Accent2 11" xfId="8744" xr:uid="{B64047D7-BE5A-4A1F-87BC-DA4B3824E9BF}"/>
    <cellStyle name="20% - Accent2 2" xfId="10" xr:uid="{00000000-0005-0000-0000-0000A2000000}"/>
    <cellStyle name="20% - Accent2 2 10" xfId="8745" xr:uid="{993544DD-1C4F-4A5B-86A2-072A7C41D993}"/>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22D7E32E-5EE1-496A-882A-096AA38F10D8}"/>
    <cellStyle name="20% - Accent2 2 2 2 2 2 3" xfId="11306" xr:uid="{5FF85293-5BDC-4305-B1EA-0E347C050E6D}"/>
    <cellStyle name="20% - Accent2 2 2 2 2 3" xfId="4929" xr:uid="{00000000-0005-0000-0000-0000A8000000}"/>
    <cellStyle name="20% - Accent2 2 2 2 2 3 2" xfId="13379" xr:uid="{1905042D-0683-4FE2-860F-7215BAB72734}"/>
    <cellStyle name="20% - Accent2 2 2 2 2 4" xfId="9161" xr:uid="{6EA0838D-CF81-4479-8DD8-EA7B1797DD08}"/>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75D58E51-9830-4B92-B67C-0442D1E3E21C}"/>
    <cellStyle name="20% - Accent2 2 2 2 3 2 3" xfId="11719" xr:uid="{D3BF2B02-CFD8-4ABF-9E4F-4456035EEFC4}"/>
    <cellStyle name="20% - Accent2 2 2 2 3 3" xfId="5342" xr:uid="{00000000-0005-0000-0000-0000AC000000}"/>
    <cellStyle name="20% - Accent2 2 2 2 3 3 2" xfId="13792" xr:uid="{FDCE74E2-2329-4601-8CE5-48B1202F0AF7}"/>
    <cellStyle name="20% - Accent2 2 2 2 3 4" xfId="9574" xr:uid="{4C3DD2E9-936B-42DE-8610-A63D040E4856}"/>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A9B456B4-23A4-459B-B5A6-CC16D035256F}"/>
    <cellStyle name="20% - Accent2 2 2 2 4 2 3" xfId="12132" xr:uid="{A83C5565-4F63-4C88-B734-C3C1D3682E2E}"/>
    <cellStyle name="20% - Accent2 2 2 2 4 3" xfId="5755" xr:uid="{00000000-0005-0000-0000-0000B0000000}"/>
    <cellStyle name="20% - Accent2 2 2 2 4 3 2" xfId="14205" xr:uid="{070BAC62-C228-4120-B957-2FE01265001F}"/>
    <cellStyle name="20% - Accent2 2 2 2 4 4" xfId="9987" xr:uid="{4F836870-39B4-402B-B512-0ECE3CB995E5}"/>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17703DF5-0EDC-493F-A2B5-33B229356448}"/>
    <cellStyle name="20% - Accent2 2 2 2 5 2 3" xfId="12545" xr:uid="{D57F4C42-D16D-4547-A7D2-5967D126B39E}"/>
    <cellStyle name="20% - Accent2 2 2 2 5 3" xfId="6168" xr:uid="{00000000-0005-0000-0000-0000B4000000}"/>
    <cellStyle name="20% - Accent2 2 2 2 5 3 2" xfId="14618" xr:uid="{1439883D-78EE-4291-A346-C5F09C80DE51}"/>
    <cellStyle name="20% - Accent2 2 2 2 5 4" xfId="10400" xr:uid="{F5068C28-948C-48F8-8A94-B9B318DC5C18}"/>
    <cellStyle name="20% - Accent2 2 2 2 6" xfId="2275" xr:uid="{00000000-0005-0000-0000-0000B5000000}"/>
    <cellStyle name="20% - Accent2 2 2 2 6 2" xfId="6581" xr:uid="{00000000-0005-0000-0000-0000B6000000}"/>
    <cellStyle name="20% - Accent2 2 2 2 6 2 2" xfId="15031" xr:uid="{3C332D9D-46C0-4E09-8D0F-726AC0A3C412}"/>
    <cellStyle name="20% - Accent2 2 2 2 6 3" xfId="10813" xr:uid="{A8B07DFC-C9B7-4A9F-8B9D-CF4A5BB40507}"/>
    <cellStyle name="20% - Accent2 2 2 2 7" xfId="4515" xr:uid="{00000000-0005-0000-0000-0000B7000000}"/>
    <cellStyle name="20% - Accent2 2 2 2 7 2" xfId="12965" xr:uid="{3FF12B39-4023-49DF-AEEA-B5C0FC37E66C}"/>
    <cellStyle name="20% - Accent2 2 2 2 8" xfId="8747" xr:uid="{73C863D1-14CA-4ED1-A2C7-D27D1E5C45F0}"/>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CB54F371-AD41-49B6-8CBC-FA23F1DA3E8A}"/>
    <cellStyle name="20% - Accent2 2 2 3 2 3" xfId="11305" xr:uid="{A62A2BE4-8D81-4530-891B-35EC9EDC9F85}"/>
    <cellStyle name="20% - Accent2 2 2 3 3" xfId="4928" xr:uid="{00000000-0005-0000-0000-0000BB000000}"/>
    <cellStyle name="20% - Accent2 2 2 3 3 2" xfId="13378" xr:uid="{CB27E87F-6630-4509-90C5-20DC2A8C4CD5}"/>
    <cellStyle name="20% - Accent2 2 2 3 4" xfId="9160" xr:uid="{E3579885-97FD-463E-9A77-7003DC04CE0D}"/>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FF51C218-9424-44ED-BD57-BDA149AD17AB}"/>
    <cellStyle name="20% - Accent2 2 2 4 2 3" xfId="11718" xr:uid="{CBA16763-7175-436D-8D01-2037D88E22A5}"/>
    <cellStyle name="20% - Accent2 2 2 4 3" xfId="5341" xr:uid="{00000000-0005-0000-0000-0000BF000000}"/>
    <cellStyle name="20% - Accent2 2 2 4 3 2" xfId="13791" xr:uid="{A4328057-9E92-4FA3-8C48-56863D4A26B1}"/>
    <cellStyle name="20% - Accent2 2 2 4 4" xfId="9573" xr:uid="{6DF5C33B-5299-444F-BEA6-1CF25A8BC8F0}"/>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69819D70-23F3-4883-94B0-4ED8CE09161A}"/>
    <cellStyle name="20% - Accent2 2 2 5 2 3" xfId="12131" xr:uid="{14158A24-E628-4A7D-9235-C3D658C5AF72}"/>
    <cellStyle name="20% - Accent2 2 2 5 3" xfId="5754" xr:uid="{00000000-0005-0000-0000-0000C3000000}"/>
    <cellStyle name="20% - Accent2 2 2 5 3 2" xfId="14204" xr:uid="{A3FD396A-D67A-4755-9DD0-7D17F2357B87}"/>
    <cellStyle name="20% - Accent2 2 2 5 4" xfId="9986" xr:uid="{2D887404-D819-404F-AF9B-B066997E68D7}"/>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A90FEB10-1066-49FD-957F-E916E2593448}"/>
    <cellStyle name="20% - Accent2 2 2 6 2 3" xfId="12544" xr:uid="{409C3497-9DD0-4A35-8A23-E87466E5B4C6}"/>
    <cellStyle name="20% - Accent2 2 2 6 3" xfId="6167" xr:uid="{00000000-0005-0000-0000-0000C7000000}"/>
    <cellStyle name="20% - Accent2 2 2 6 3 2" xfId="14617" xr:uid="{4C4E87D3-F57D-4241-AAA5-A4523FBF3C08}"/>
    <cellStyle name="20% - Accent2 2 2 6 4" xfId="10399" xr:uid="{05AEF416-F684-4951-AD3D-09F89B2A0584}"/>
    <cellStyle name="20% - Accent2 2 2 7" xfId="2274" xr:uid="{00000000-0005-0000-0000-0000C8000000}"/>
    <cellStyle name="20% - Accent2 2 2 7 2" xfId="6580" xr:uid="{00000000-0005-0000-0000-0000C9000000}"/>
    <cellStyle name="20% - Accent2 2 2 7 2 2" xfId="15030" xr:uid="{5945238F-4696-46EE-8359-08B21EBA2453}"/>
    <cellStyle name="20% - Accent2 2 2 7 3" xfId="10812" xr:uid="{0C9595A5-28E0-4212-B56F-FE6ADC578A4C}"/>
    <cellStyle name="20% - Accent2 2 2 8" xfId="4514" xr:uid="{00000000-0005-0000-0000-0000CA000000}"/>
    <cellStyle name="20% - Accent2 2 2 8 2" xfId="12964" xr:uid="{6A7D03AC-BCCB-49CA-B166-27F6B969D805}"/>
    <cellStyle name="20% - Accent2 2 2 9" xfId="8746" xr:uid="{77430E2D-703D-466F-99D8-8000F53C4231}"/>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A55A99BE-B4AC-490D-9CBD-3ADAD7E7FC54}"/>
    <cellStyle name="20% - Accent2 2 3 2 2 3" xfId="11307" xr:uid="{8056AA46-DA8F-4AD2-8F74-582174BB4EC9}"/>
    <cellStyle name="20% - Accent2 2 3 2 3" xfId="4930" xr:uid="{00000000-0005-0000-0000-0000CF000000}"/>
    <cellStyle name="20% - Accent2 2 3 2 3 2" xfId="13380" xr:uid="{9A5E4DFB-92F8-447F-B69C-B353EA3DC8E1}"/>
    <cellStyle name="20% - Accent2 2 3 2 4" xfId="9162" xr:uid="{E2F7DA8D-6C3C-4FBD-ABEA-4ECBC30747E5}"/>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9E8DAEF4-B0F9-4B73-8C3E-EF9915F6F561}"/>
    <cellStyle name="20% - Accent2 2 3 3 2 3" xfId="11720" xr:uid="{0C7E71EF-DD64-42DF-A7BD-39C76D0B48DF}"/>
    <cellStyle name="20% - Accent2 2 3 3 3" xfId="5343" xr:uid="{00000000-0005-0000-0000-0000D3000000}"/>
    <cellStyle name="20% - Accent2 2 3 3 3 2" xfId="13793" xr:uid="{DE8E116A-CFAA-40E8-A7A8-9A0C371B3CBA}"/>
    <cellStyle name="20% - Accent2 2 3 3 4" xfId="9575" xr:uid="{C1CB333A-B2FA-4CE3-B336-AEAF845C877E}"/>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C75CA2E6-06A6-4C5D-B16E-136775346354}"/>
    <cellStyle name="20% - Accent2 2 3 4 2 3" xfId="12133" xr:uid="{B5C35C67-133A-42FC-AF82-B3CFF9B273F1}"/>
    <cellStyle name="20% - Accent2 2 3 4 3" xfId="5756" xr:uid="{00000000-0005-0000-0000-0000D7000000}"/>
    <cellStyle name="20% - Accent2 2 3 4 3 2" xfId="14206" xr:uid="{7D2727F6-0A11-45BC-BEA1-AF32E61DBE65}"/>
    <cellStyle name="20% - Accent2 2 3 4 4" xfId="9988" xr:uid="{6B7D65BF-1D08-4E65-82D6-F640B5854505}"/>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DED52E6D-18AF-448C-88C0-F7A80C7EE755}"/>
    <cellStyle name="20% - Accent2 2 3 5 2 3" xfId="12546" xr:uid="{DDA359E0-CA69-4377-9C99-F8B04F55D283}"/>
    <cellStyle name="20% - Accent2 2 3 5 3" xfId="6169" xr:uid="{00000000-0005-0000-0000-0000DB000000}"/>
    <cellStyle name="20% - Accent2 2 3 5 3 2" xfId="14619" xr:uid="{2498FC99-9712-467B-A8F2-7CECECB987B5}"/>
    <cellStyle name="20% - Accent2 2 3 5 4" xfId="10401" xr:uid="{A94DAD47-DB02-48BE-9A65-4B8ECD05CFC6}"/>
    <cellStyle name="20% - Accent2 2 3 6" xfId="2276" xr:uid="{00000000-0005-0000-0000-0000DC000000}"/>
    <cellStyle name="20% - Accent2 2 3 6 2" xfId="6582" xr:uid="{00000000-0005-0000-0000-0000DD000000}"/>
    <cellStyle name="20% - Accent2 2 3 6 2 2" xfId="15032" xr:uid="{EC12230E-E8BF-47E3-B482-4EEB34844EF0}"/>
    <cellStyle name="20% - Accent2 2 3 6 3" xfId="10814" xr:uid="{ACAAB82E-FE01-4CEE-9330-95FFF5EA5F13}"/>
    <cellStyle name="20% - Accent2 2 3 7" xfId="4516" xr:uid="{00000000-0005-0000-0000-0000DE000000}"/>
    <cellStyle name="20% - Accent2 2 3 7 2" xfId="12966" xr:uid="{25A44E39-540B-4FDA-B4CF-7B4C2872B2E4}"/>
    <cellStyle name="20% - Accent2 2 3 8" xfId="8748" xr:uid="{7CB906FB-DFEC-4A60-91BE-C0BBFE19C211}"/>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C42F6E7A-9ACC-4CB6-A856-A0B0E3FE1D6B}"/>
    <cellStyle name="20% - Accent2 2 4 2 3" xfId="11304" xr:uid="{DD13873B-C075-45FC-9534-BD4778FF0BB1}"/>
    <cellStyle name="20% - Accent2 2 4 3" xfId="4927" xr:uid="{00000000-0005-0000-0000-0000E2000000}"/>
    <cellStyle name="20% - Accent2 2 4 3 2" xfId="13377" xr:uid="{39F53DD8-4AAD-4FBC-BB08-AE15A955D732}"/>
    <cellStyle name="20% - Accent2 2 4 4" xfId="9159" xr:uid="{D78316FC-73BA-4A5F-ADA3-DE869496F3E7}"/>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8A29A85F-1632-4134-AD27-A9F6A2013921}"/>
    <cellStyle name="20% - Accent2 2 5 2 3" xfId="11717" xr:uid="{CD15B614-950B-463E-9801-2D34AFD3ECD3}"/>
    <cellStyle name="20% - Accent2 2 5 3" xfId="5340" xr:uid="{00000000-0005-0000-0000-0000E6000000}"/>
    <cellStyle name="20% - Accent2 2 5 3 2" xfId="13790" xr:uid="{ECEFC7AE-B1FA-400F-8F12-4E03A58BAC78}"/>
    <cellStyle name="20% - Accent2 2 5 4" xfId="9572" xr:uid="{78C15261-78D6-4E0D-A8D1-9346F7555E31}"/>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F828E6D8-8CB6-423D-B6F0-E7494BDD704C}"/>
    <cellStyle name="20% - Accent2 2 6 2 3" xfId="12130" xr:uid="{0279063D-6D7B-4C22-B75C-F79E549EBA11}"/>
    <cellStyle name="20% - Accent2 2 6 3" xfId="5753" xr:uid="{00000000-0005-0000-0000-0000EA000000}"/>
    <cellStyle name="20% - Accent2 2 6 3 2" xfId="14203" xr:uid="{477AFBF0-C12E-4854-A2F8-AD742E2AA03A}"/>
    <cellStyle name="20% - Accent2 2 6 4" xfId="9985" xr:uid="{6F2E4B11-86A7-45CC-B71D-2132E1CC2296}"/>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4E9C27CD-79C6-4B00-B74C-95D573DDAA31}"/>
    <cellStyle name="20% - Accent2 2 7 2 3" xfId="12543" xr:uid="{8884A0C9-1DF9-4EE2-AB30-936B12B5CD3E}"/>
    <cellStyle name="20% - Accent2 2 7 3" xfId="6166" xr:uid="{00000000-0005-0000-0000-0000EE000000}"/>
    <cellStyle name="20% - Accent2 2 7 3 2" xfId="14616" xr:uid="{3A83EF2E-1EE2-476A-9F3E-0C0645EB035B}"/>
    <cellStyle name="20% - Accent2 2 7 4" xfId="10398" xr:uid="{8F853C18-3CC7-4DCA-AF87-D87E9DD4775A}"/>
    <cellStyle name="20% - Accent2 2 8" xfId="2273" xr:uid="{00000000-0005-0000-0000-0000EF000000}"/>
    <cellStyle name="20% - Accent2 2 8 2" xfId="6579" xr:uid="{00000000-0005-0000-0000-0000F0000000}"/>
    <cellStyle name="20% - Accent2 2 8 2 2" xfId="15029" xr:uid="{572946B8-B939-4EC5-9848-8F4FCA1CE9AA}"/>
    <cellStyle name="20% - Accent2 2 8 3" xfId="10811" xr:uid="{6D44782F-60CC-43CA-A4FF-F491BB67E435}"/>
    <cellStyle name="20% - Accent2 2 9" xfId="4513" xr:uid="{00000000-0005-0000-0000-0000F1000000}"/>
    <cellStyle name="20% - Accent2 2 9 2" xfId="12963" xr:uid="{A0BEA48D-A6AC-4AC5-BB21-3F92CFB9383E}"/>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A13B97DF-D4BF-495B-9889-6D481EE2B85C}"/>
    <cellStyle name="20% - Accent2 3 2 2 2 3" xfId="11309" xr:uid="{93AEA80A-9C53-4CAC-B7EC-74E1AC991414}"/>
    <cellStyle name="20% - Accent2 3 2 2 3" xfId="4932" xr:uid="{00000000-0005-0000-0000-0000F7000000}"/>
    <cellStyle name="20% - Accent2 3 2 2 3 2" xfId="13382" xr:uid="{A2BD8AC2-94BB-45EE-94BD-B179DF1D3F06}"/>
    <cellStyle name="20% - Accent2 3 2 2 4" xfId="9164" xr:uid="{01613324-A034-4CB0-ACFB-2B3DCDF625C9}"/>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907E03F2-13D5-4D56-B21E-E7EABBAD4169}"/>
    <cellStyle name="20% - Accent2 3 2 3 2 3" xfId="11722" xr:uid="{A4D5C15A-71D0-4D0E-B080-DC5E8101CACF}"/>
    <cellStyle name="20% - Accent2 3 2 3 3" xfId="5345" xr:uid="{00000000-0005-0000-0000-0000FB000000}"/>
    <cellStyle name="20% - Accent2 3 2 3 3 2" xfId="13795" xr:uid="{DFF07F98-C085-4CFD-8FEB-9015398E9B91}"/>
    <cellStyle name="20% - Accent2 3 2 3 4" xfId="9577" xr:uid="{044BDC05-D00D-4CAB-8693-FA63FE8C36E0}"/>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87F85AC8-AF1D-4F8E-AAD9-2EE7F3172407}"/>
    <cellStyle name="20% - Accent2 3 2 4 2 3" xfId="12135" xr:uid="{6F570CDA-058C-46B4-A539-9B56D5871F9C}"/>
    <cellStyle name="20% - Accent2 3 2 4 3" xfId="5758" xr:uid="{00000000-0005-0000-0000-0000FF000000}"/>
    <cellStyle name="20% - Accent2 3 2 4 3 2" xfId="14208" xr:uid="{BBC90EDA-743F-4A96-A0C5-5C97B1FFFDCF}"/>
    <cellStyle name="20% - Accent2 3 2 4 4" xfId="9990" xr:uid="{8F466836-DF64-4803-963E-ACA5E72E1433}"/>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2C2DA53F-B9B1-45C6-BE41-BB88502D671C}"/>
    <cellStyle name="20% - Accent2 3 2 5 2 3" xfId="12548" xr:uid="{DF5D9887-94A7-4D49-B53E-092A2CE491C7}"/>
    <cellStyle name="20% - Accent2 3 2 5 3" xfId="6171" xr:uid="{00000000-0005-0000-0000-000003010000}"/>
    <cellStyle name="20% - Accent2 3 2 5 3 2" xfId="14621" xr:uid="{7E46BAE5-0DBC-4DE5-A8C0-F0E606EF8BEA}"/>
    <cellStyle name="20% - Accent2 3 2 5 4" xfId="10403" xr:uid="{90E48B2B-6413-4379-9FAE-0D8E064CF15B}"/>
    <cellStyle name="20% - Accent2 3 2 6" xfId="2278" xr:uid="{00000000-0005-0000-0000-000004010000}"/>
    <cellStyle name="20% - Accent2 3 2 6 2" xfId="6584" xr:uid="{00000000-0005-0000-0000-000005010000}"/>
    <cellStyle name="20% - Accent2 3 2 6 2 2" xfId="15034" xr:uid="{8BEED3F9-1AF7-407A-9B11-BBB4E4EB4D0C}"/>
    <cellStyle name="20% - Accent2 3 2 6 3" xfId="10816" xr:uid="{54696747-EC58-44A6-B390-D10403D0E0DC}"/>
    <cellStyle name="20% - Accent2 3 2 7" xfId="4518" xr:uid="{00000000-0005-0000-0000-000006010000}"/>
    <cellStyle name="20% - Accent2 3 2 7 2" xfId="12968" xr:uid="{9F52AF5C-A916-450F-BFE4-B3D9DB9CBE26}"/>
    <cellStyle name="20% - Accent2 3 2 8" xfId="8750" xr:uid="{F4E21DCC-9FD6-4AE8-9496-285BCFCA1C54}"/>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A8E9B977-C512-4226-BD01-E22998AB24B2}"/>
    <cellStyle name="20% - Accent2 3 3 2 3" xfId="11308" xr:uid="{8BDC6E8C-01D2-4866-BA95-55518FCF67B3}"/>
    <cellStyle name="20% - Accent2 3 3 3" xfId="4931" xr:uid="{00000000-0005-0000-0000-00000A010000}"/>
    <cellStyle name="20% - Accent2 3 3 3 2" xfId="13381" xr:uid="{B1BE06C8-879C-4DDF-B859-5D2BC494A2C2}"/>
    <cellStyle name="20% - Accent2 3 3 4" xfId="9163" xr:uid="{92740E8D-7F21-4982-AF5A-9D0CD1B501B8}"/>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87052FC0-348E-4037-9718-B66179028D78}"/>
    <cellStyle name="20% - Accent2 3 4 2 3" xfId="11721" xr:uid="{CE18D213-F3A3-4C69-BF9C-94221453DE0A}"/>
    <cellStyle name="20% - Accent2 3 4 3" xfId="5344" xr:uid="{00000000-0005-0000-0000-00000E010000}"/>
    <cellStyle name="20% - Accent2 3 4 3 2" xfId="13794" xr:uid="{C472A853-5905-4873-A422-EC515CBFCA3E}"/>
    <cellStyle name="20% - Accent2 3 4 4" xfId="9576" xr:uid="{F5B4925C-C556-4D46-8AA4-5F5F93F0CADE}"/>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023EAA3D-63F0-46E0-B65A-1DB462BD84DF}"/>
    <cellStyle name="20% - Accent2 3 5 2 3" xfId="12134" xr:uid="{937BFF11-DC9C-4E04-BA67-85F1EA536D69}"/>
    <cellStyle name="20% - Accent2 3 5 3" xfId="5757" xr:uid="{00000000-0005-0000-0000-000012010000}"/>
    <cellStyle name="20% - Accent2 3 5 3 2" xfId="14207" xr:uid="{959411AC-EE38-41AA-AC6D-5CDBDEC4B85B}"/>
    <cellStyle name="20% - Accent2 3 5 4" xfId="9989" xr:uid="{8EDE9598-E1C1-44BF-8A41-8DCC86530E6F}"/>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438F6A80-11A8-4B7E-9DE9-D3424C48E438}"/>
    <cellStyle name="20% - Accent2 3 6 2 3" xfId="12547" xr:uid="{9BC7CA39-4A3F-4033-8CCD-A09FC66FD736}"/>
    <cellStyle name="20% - Accent2 3 6 3" xfId="6170" xr:uid="{00000000-0005-0000-0000-000016010000}"/>
    <cellStyle name="20% - Accent2 3 6 3 2" xfId="14620" xr:uid="{0A1EB2EC-D387-4646-A184-387C9562E67B}"/>
    <cellStyle name="20% - Accent2 3 6 4" xfId="10402" xr:uid="{8F68C52A-6270-4E6F-A671-D4651F2E2003}"/>
    <cellStyle name="20% - Accent2 3 7" xfId="2277" xr:uid="{00000000-0005-0000-0000-000017010000}"/>
    <cellStyle name="20% - Accent2 3 7 2" xfId="6583" xr:uid="{00000000-0005-0000-0000-000018010000}"/>
    <cellStyle name="20% - Accent2 3 7 2 2" xfId="15033" xr:uid="{4B194F7A-E549-4841-96BC-2D0794C375DA}"/>
    <cellStyle name="20% - Accent2 3 7 3" xfId="10815" xr:uid="{6849614B-AF8E-4AD7-879A-55D59C14905A}"/>
    <cellStyle name="20% - Accent2 3 8" xfId="4517" xr:uid="{00000000-0005-0000-0000-000019010000}"/>
    <cellStyle name="20% - Accent2 3 8 2" xfId="12967" xr:uid="{BD2798BD-68C1-443D-8B79-DC8D89AB2656}"/>
    <cellStyle name="20% - Accent2 3 9" xfId="8749" xr:uid="{1F0DF123-C40F-4BF0-9364-2D20F3092FC3}"/>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84A3400C-E59C-4299-91FA-9DCF60CEEA41}"/>
    <cellStyle name="20% - Accent2 4 2 2 3" xfId="11310" xr:uid="{CD2F0BEB-AD62-42B8-A484-A4173F06BB82}"/>
    <cellStyle name="20% - Accent2 4 2 3" xfId="4933" xr:uid="{00000000-0005-0000-0000-00001E010000}"/>
    <cellStyle name="20% - Accent2 4 2 3 2" xfId="13383" xr:uid="{98C58CFF-4D84-4194-B7B3-DB4945786008}"/>
    <cellStyle name="20% - Accent2 4 2 4" xfId="9165" xr:uid="{6FCA060B-4143-466F-8343-70612AED971B}"/>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AEC68EB4-EDD1-459D-9235-D01AAFA6E2E8}"/>
    <cellStyle name="20% - Accent2 4 3 2 3" xfId="11723" xr:uid="{CC4B1B92-2ACF-41E1-91EE-65BC73452BA8}"/>
    <cellStyle name="20% - Accent2 4 3 3" xfId="5346" xr:uid="{00000000-0005-0000-0000-000022010000}"/>
    <cellStyle name="20% - Accent2 4 3 3 2" xfId="13796" xr:uid="{8FFBA16F-855C-4915-9E38-731289DD50E6}"/>
    <cellStyle name="20% - Accent2 4 3 4" xfId="9578" xr:uid="{7C3487A5-7102-402E-B4BE-9422A6C9E7AF}"/>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8642CFEC-7CDB-4275-B64A-190A5EDFF4C4}"/>
    <cellStyle name="20% - Accent2 4 4 2 3" xfId="12136" xr:uid="{BC4BF31B-C4CC-4374-AA1C-011B047BB187}"/>
    <cellStyle name="20% - Accent2 4 4 3" xfId="5759" xr:uid="{00000000-0005-0000-0000-000026010000}"/>
    <cellStyle name="20% - Accent2 4 4 3 2" xfId="14209" xr:uid="{D779620D-4D3D-49B6-A83B-D65BD116B053}"/>
    <cellStyle name="20% - Accent2 4 4 4" xfId="9991" xr:uid="{7D144A66-8BD8-4CD4-82DE-F7AC2843A471}"/>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0F202B5A-DBBA-4E48-B76D-5AB27D99B2A7}"/>
    <cellStyle name="20% - Accent2 4 5 2 3" xfId="12549" xr:uid="{3B6CBB0A-039D-4937-9DFB-E4FF7366D8D7}"/>
    <cellStyle name="20% - Accent2 4 5 3" xfId="6172" xr:uid="{00000000-0005-0000-0000-00002A010000}"/>
    <cellStyle name="20% - Accent2 4 5 3 2" xfId="14622" xr:uid="{F61C7CEF-09F7-4FB8-A31A-FB88CE1AB38E}"/>
    <cellStyle name="20% - Accent2 4 5 4" xfId="10404" xr:uid="{C82DF5F9-7554-4C61-A21C-6D92DB32D645}"/>
    <cellStyle name="20% - Accent2 4 6" xfId="2279" xr:uid="{00000000-0005-0000-0000-00002B010000}"/>
    <cellStyle name="20% - Accent2 4 6 2" xfId="6585" xr:uid="{00000000-0005-0000-0000-00002C010000}"/>
    <cellStyle name="20% - Accent2 4 6 2 2" xfId="15035" xr:uid="{0C7D84C5-93FC-4D0B-AD24-DF46004BCD13}"/>
    <cellStyle name="20% - Accent2 4 6 3" xfId="10817" xr:uid="{875442F0-DF15-472D-A3D9-4B3E2AE9878D}"/>
    <cellStyle name="20% - Accent2 4 7" xfId="4519" xr:uid="{00000000-0005-0000-0000-00002D010000}"/>
    <cellStyle name="20% - Accent2 4 7 2" xfId="12969" xr:uid="{DEE3DE50-994D-4451-B797-F131AF6AC8CE}"/>
    <cellStyle name="20% - Accent2 4 8" xfId="8751" xr:uid="{C8E09E00-2A07-4163-A788-6775DF98AFA5}"/>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FA11A6A6-6CA1-4683-AC10-8454453BDC03}"/>
    <cellStyle name="20% - Accent2 5 2 3" xfId="11303" xr:uid="{CC666F74-6B6E-4D7A-9984-8DEA641766D3}"/>
    <cellStyle name="20% - Accent2 5 3" xfId="4926" xr:uid="{00000000-0005-0000-0000-000031010000}"/>
    <cellStyle name="20% - Accent2 5 3 2" xfId="13376" xr:uid="{9A3A8C0F-6A1F-4696-98B7-4A3DF2FDE3A1}"/>
    <cellStyle name="20% - Accent2 5 4" xfId="9158" xr:uid="{551E2FEF-6ACD-4DD0-840F-0EBCEAD4FFE8}"/>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1D0F2938-AFAC-4DB0-897F-8117CFB17504}"/>
    <cellStyle name="20% - Accent2 6 2 3" xfId="11716" xr:uid="{BE827692-1D1F-4AC3-81C6-58D9994D02CC}"/>
    <cellStyle name="20% - Accent2 6 3" xfId="5339" xr:uid="{00000000-0005-0000-0000-000035010000}"/>
    <cellStyle name="20% - Accent2 6 3 2" xfId="13789" xr:uid="{81E20464-F50D-4C85-B5AC-76C4CCCD8C2C}"/>
    <cellStyle name="20% - Accent2 6 4" xfId="9571" xr:uid="{578B4201-7982-401E-9FC4-2665AF540B50}"/>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28B91E3F-A617-44D9-BF82-01C8DAFB73F8}"/>
    <cellStyle name="20% - Accent2 7 2 3" xfId="12129" xr:uid="{1527615A-5B7F-408D-B042-BAA499C21AEF}"/>
    <cellStyle name="20% - Accent2 7 3" xfId="5752" xr:uid="{00000000-0005-0000-0000-000039010000}"/>
    <cellStyle name="20% - Accent2 7 3 2" xfId="14202" xr:uid="{9C50C84E-829E-4CC1-8E62-95F8E08757DA}"/>
    <cellStyle name="20% - Accent2 7 4" xfId="9984" xr:uid="{2400ABA4-4445-4808-B9E8-F38C8A3D5C00}"/>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7D9B8D44-2B45-4A09-82BD-3C000726F060}"/>
    <cellStyle name="20% - Accent2 8 2 3" xfId="12542" xr:uid="{A45DB098-4C19-47C2-B486-C5B57AEB1E6B}"/>
    <cellStyle name="20% - Accent2 8 3" xfId="6165" xr:uid="{00000000-0005-0000-0000-00003D010000}"/>
    <cellStyle name="20% - Accent2 8 3 2" xfId="14615" xr:uid="{1E852D94-0453-45BA-ABE5-D22A9BE37159}"/>
    <cellStyle name="20% - Accent2 8 4" xfId="10397" xr:uid="{E0948DBF-2CCC-4090-BA1E-20A8371E4E22}"/>
    <cellStyle name="20% - Accent2 9" xfId="2272" xr:uid="{00000000-0005-0000-0000-00003E010000}"/>
    <cellStyle name="20% - Accent2 9 2" xfId="6578" xr:uid="{00000000-0005-0000-0000-00003F010000}"/>
    <cellStyle name="20% - Accent2 9 2 2" xfId="15028" xr:uid="{1C4E6DCD-073F-45C2-BDC8-25F4D048B646}"/>
    <cellStyle name="20% - Accent2 9 3" xfId="10810" xr:uid="{88144525-63B9-4381-A39B-6DE8E8C55492}"/>
    <cellStyle name="20% - Accent3" xfId="17" builtinId="38" customBuiltin="1"/>
    <cellStyle name="20% - Accent3 10" xfId="4520" xr:uid="{00000000-0005-0000-0000-000041010000}"/>
    <cellStyle name="20% - Accent3 10 2" xfId="12970" xr:uid="{3AA8DBCA-3DD8-4D50-ABF0-B66FDEB76DBC}"/>
    <cellStyle name="20% - Accent3 11" xfId="8752" xr:uid="{DAAF9020-B44D-4C16-8C56-BFDC150E99BC}"/>
    <cellStyle name="20% - Accent3 2" xfId="18" xr:uid="{00000000-0005-0000-0000-000042010000}"/>
    <cellStyle name="20% - Accent3 2 10" xfId="8753" xr:uid="{F75EDDD8-EBC6-4CC6-896D-32DEF6E47EAD}"/>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0DFF2B9D-319B-47D3-B312-19B12F4E7F8D}"/>
    <cellStyle name="20% - Accent3 2 2 2 2 2 3" xfId="11314" xr:uid="{3C2BC9FC-1B37-44C2-B2A3-7DE95F0D8B5D}"/>
    <cellStyle name="20% - Accent3 2 2 2 2 3" xfId="4937" xr:uid="{00000000-0005-0000-0000-000048010000}"/>
    <cellStyle name="20% - Accent3 2 2 2 2 3 2" xfId="13387" xr:uid="{71A8542E-4127-45C5-A7E6-90BEA5917CAC}"/>
    <cellStyle name="20% - Accent3 2 2 2 2 4" xfId="9169" xr:uid="{8C6B6CDC-14D8-4005-A406-CD802A5F682D}"/>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DFC05327-843D-4E85-91DC-0FCBE8342AFB}"/>
    <cellStyle name="20% - Accent3 2 2 2 3 2 3" xfId="11727" xr:uid="{E20920E8-BBB9-49E5-B164-0BC971954406}"/>
    <cellStyle name="20% - Accent3 2 2 2 3 3" xfId="5350" xr:uid="{00000000-0005-0000-0000-00004C010000}"/>
    <cellStyle name="20% - Accent3 2 2 2 3 3 2" xfId="13800" xr:uid="{BFCF87C3-DF51-4DD0-A1EE-350AA66ECE52}"/>
    <cellStyle name="20% - Accent3 2 2 2 3 4" xfId="9582" xr:uid="{D75A1F9E-EA44-41BE-8CC0-DF623AA7AF72}"/>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C94E7150-B9CC-4C87-935B-F41C2CE73845}"/>
    <cellStyle name="20% - Accent3 2 2 2 4 2 3" xfId="12140" xr:uid="{F5D084AE-36B6-4AEA-9399-06693396D807}"/>
    <cellStyle name="20% - Accent3 2 2 2 4 3" xfId="5763" xr:uid="{00000000-0005-0000-0000-000050010000}"/>
    <cellStyle name="20% - Accent3 2 2 2 4 3 2" xfId="14213" xr:uid="{EED9E3BE-6451-4BFE-8EFC-7B4CF0448A4D}"/>
    <cellStyle name="20% - Accent3 2 2 2 4 4" xfId="9995" xr:uid="{3853272E-893E-4495-BA5E-E6BBBDB0EC6D}"/>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2EBE3906-D103-4436-8A67-43F911959E5D}"/>
    <cellStyle name="20% - Accent3 2 2 2 5 2 3" xfId="12553" xr:uid="{D78266A1-5773-4C02-B19F-DF9DF48E01ED}"/>
    <cellStyle name="20% - Accent3 2 2 2 5 3" xfId="6176" xr:uid="{00000000-0005-0000-0000-000054010000}"/>
    <cellStyle name="20% - Accent3 2 2 2 5 3 2" xfId="14626" xr:uid="{D1D22C05-5F74-4D6B-B17A-E51E20FFFA24}"/>
    <cellStyle name="20% - Accent3 2 2 2 5 4" xfId="10408" xr:uid="{08CBB5EE-CC55-4780-8CB1-6BB8667EEC36}"/>
    <cellStyle name="20% - Accent3 2 2 2 6" xfId="2283" xr:uid="{00000000-0005-0000-0000-000055010000}"/>
    <cellStyle name="20% - Accent3 2 2 2 6 2" xfId="6589" xr:uid="{00000000-0005-0000-0000-000056010000}"/>
    <cellStyle name="20% - Accent3 2 2 2 6 2 2" xfId="15039" xr:uid="{88A9F5C3-876C-4AE3-A43A-E8AFB13E786B}"/>
    <cellStyle name="20% - Accent3 2 2 2 6 3" xfId="10821" xr:uid="{B484D2B0-128B-4260-BA18-A5FD9F5B7555}"/>
    <cellStyle name="20% - Accent3 2 2 2 7" xfId="4523" xr:uid="{00000000-0005-0000-0000-000057010000}"/>
    <cellStyle name="20% - Accent3 2 2 2 7 2" xfId="12973" xr:uid="{2102C654-85E8-4B71-AED7-658B45EDB2DF}"/>
    <cellStyle name="20% - Accent3 2 2 2 8" xfId="8755" xr:uid="{3318C8ED-F671-4276-B759-409459BB48C5}"/>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FCE6A6DB-34C1-44C8-A00A-3AC5FD706825}"/>
    <cellStyle name="20% - Accent3 2 2 3 2 3" xfId="11313" xr:uid="{C3685D79-A315-43AD-B155-A164103523D8}"/>
    <cellStyle name="20% - Accent3 2 2 3 3" xfId="4936" xr:uid="{00000000-0005-0000-0000-00005B010000}"/>
    <cellStyle name="20% - Accent3 2 2 3 3 2" xfId="13386" xr:uid="{2E843278-9B4E-41E9-8BCE-F43150B95724}"/>
    <cellStyle name="20% - Accent3 2 2 3 4" xfId="9168" xr:uid="{DF78836C-EB41-4FA7-8873-C57A2B3B7B7F}"/>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68B58DEA-8C9E-4988-80F0-D8176289F7A1}"/>
    <cellStyle name="20% - Accent3 2 2 4 2 3" xfId="11726" xr:uid="{19D4A8C4-30BF-4A18-B928-8353E0C6EDFF}"/>
    <cellStyle name="20% - Accent3 2 2 4 3" xfId="5349" xr:uid="{00000000-0005-0000-0000-00005F010000}"/>
    <cellStyle name="20% - Accent3 2 2 4 3 2" xfId="13799" xr:uid="{F5E59C3E-1560-463C-8EE1-9E7EFD1E90EB}"/>
    <cellStyle name="20% - Accent3 2 2 4 4" xfId="9581" xr:uid="{3C02C23B-9021-4465-9BD6-833C9148CCCD}"/>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983DA503-D570-49C9-96B6-14D159B2BA16}"/>
    <cellStyle name="20% - Accent3 2 2 5 2 3" xfId="12139" xr:uid="{5B444E25-0529-4EF5-A28A-B06EB82EF835}"/>
    <cellStyle name="20% - Accent3 2 2 5 3" xfId="5762" xr:uid="{00000000-0005-0000-0000-000063010000}"/>
    <cellStyle name="20% - Accent3 2 2 5 3 2" xfId="14212" xr:uid="{A49CFE3A-225F-4FAC-9CE7-6549627246A2}"/>
    <cellStyle name="20% - Accent3 2 2 5 4" xfId="9994" xr:uid="{C821C933-963A-4E2B-873D-CFA3D53AD4B3}"/>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9CDD8B02-70F6-4895-8F5D-70F88C54D5C5}"/>
    <cellStyle name="20% - Accent3 2 2 6 2 3" xfId="12552" xr:uid="{D7B00AF4-9E76-40A1-ADAF-BD97AF662903}"/>
    <cellStyle name="20% - Accent3 2 2 6 3" xfId="6175" xr:uid="{00000000-0005-0000-0000-000067010000}"/>
    <cellStyle name="20% - Accent3 2 2 6 3 2" xfId="14625" xr:uid="{A21A53DD-2BED-4DFB-95BA-D2B4A7014136}"/>
    <cellStyle name="20% - Accent3 2 2 6 4" xfId="10407" xr:uid="{522D5D68-A736-461E-9A0E-770F759C5A88}"/>
    <cellStyle name="20% - Accent3 2 2 7" xfId="2282" xr:uid="{00000000-0005-0000-0000-000068010000}"/>
    <cellStyle name="20% - Accent3 2 2 7 2" xfId="6588" xr:uid="{00000000-0005-0000-0000-000069010000}"/>
    <cellStyle name="20% - Accent3 2 2 7 2 2" xfId="15038" xr:uid="{8808C9A0-3594-412B-A3B9-8CEDA98699A4}"/>
    <cellStyle name="20% - Accent3 2 2 7 3" xfId="10820" xr:uid="{D35F5CBB-00BB-4E58-8A05-9C97C9831CD2}"/>
    <cellStyle name="20% - Accent3 2 2 8" xfId="4522" xr:uid="{00000000-0005-0000-0000-00006A010000}"/>
    <cellStyle name="20% - Accent3 2 2 8 2" xfId="12972" xr:uid="{9F19B8AB-C818-4363-AF97-FE341F652B7C}"/>
    <cellStyle name="20% - Accent3 2 2 9" xfId="8754" xr:uid="{ED03D598-BCE3-4A86-B227-88E9BEB28DD5}"/>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E70D9495-6E6E-4155-8EBA-F8C971DC1EAF}"/>
    <cellStyle name="20% - Accent3 2 3 2 2 3" xfId="11315" xr:uid="{047FB8B4-DE31-4B03-BDE3-86677108E526}"/>
    <cellStyle name="20% - Accent3 2 3 2 3" xfId="4938" xr:uid="{00000000-0005-0000-0000-00006F010000}"/>
    <cellStyle name="20% - Accent3 2 3 2 3 2" xfId="13388" xr:uid="{3CAAB760-F850-4339-A69F-87256FC2FFD9}"/>
    <cellStyle name="20% - Accent3 2 3 2 4" xfId="9170" xr:uid="{0F79BEA7-C8FC-4A4A-A3A2-7A8AC8C2A906}"/>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2B95BA78-FF67-4750-AC98-4259D5975AD1}"/>
    <cellStyle name="20% - Accent3 2 3 3 2 3" xfId="11728" xr:uid="{23D66EC8-A500-452E-8BA3-5C4F47EDC100}"/>
    <cellStyle name="20% - Accent3 2 3 3 3" xfId="5351" xr:uid="{00000000-0005-0000-0000-000073010000}"/>
    <cellStyle name="20% - Accent3 2 3 3 3 2" xfId="13801" xr:uid="{0B0B24E1-FA38-4397-9FE7-07952714E565}"/>
    <cellStyle name="20% - Accent3 2 3 3 4" xfId="9583" xr:uid="{0BA90CE5-FB68-48F1-A45B-338A00E7375B}"/>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51F76FD1-F96B-49A6-81DA-43BDCD94DA19}"/>
    <cellStyle name="20% - Accent3 2 3 4 2 3" xfId="12141" xr:uid="{94B50C8E-633F-4142-8FBC-EA2A4A391AF4}"/>
    <cellStyle name="20% - Accent3 2 3 4 3" xfId="5764" xr:uid="{00000000-0005-0000-0000-000077010000}"/>
    <cellStyle name="20% - Accent3 2 3 4 3 2" xfId="14214" xr:uid="{4A77413F-A0C9-4B77-9547-B833DAEF6488}"/>
    <cellStyle name="20% - Accent3 2 3 4 4" xfId="9996" xr:uid="{224B62AA-3310-4173-9CBB-6307CE645A0B}"/>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EE22B324-7C05-4291-898C-22B0D448DF3A}"/>
    <cellStyle name="20% - Accent3 2 3 5 2 3" xfId="12554" xr:uid="{8BD459CE-62A0-480F-BA60-181EBD52EBA8}"/>
    <cellStyle name="20% - Accent3 2 3 5 3" xfId="6177" xr:uid="{00000000-0005-0000-0000-00007B010000}"/>
    <cellStyle name="20% - Accent3 2 3 5 3 2" xfId="14627" xr:uid="{F2A69DD7-882A-416E-ABCE-78D8F1CEC208}"/>
    <cellStyle name="20% - Accent3 2 3 5 4" xfId="10409" xr:uid="{808A60CB-6448-40C0-95A5-343BAC67CF58}"/>
    <cellStyle name="20% - Accent3 2 3 6" xfId="2284" xr:uid="{00000000-0005-0000-0000-00007C010000}"/>
    <cellStyle name="20% - Accent3 2 3 6 2" xfId="6590" xr:uid="{00000000-0005-0000-0000-00007D010000}"/>
    <cellStyle name="20% - Accent3 2 3 6 2 2" xfId="15040" xr:uid="{6689742D-C2C7-4BFA-A872-7C9280BADAD3}"/>
    <cellStyle name="20% - Accent3 2 3 6 3" xfId="10822" xr:uid="{36B1248C-192B-4459-B325-3D14E3D4DD1A}"/>
    <cellStyle name="20% - Accent3 2 3 7" xfId="4524" xr:uid="{00000000-0005-0000-0000-00007E010000}"/>
    <cellStyle name="20% - Accent3 2 3 7 2" xfId="12974" xr:uid="{51647D56-2DF1-43ED-91F6-0199729317DF}"/>
    <cellStyle name="20% - Accent3 2 3 8" xfId="8756" xr:uid="{8B6CA949-99AE-4175-9F4B-3F54B9CC3830}"/>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45372DA5-DEB2-466C-9469-1CD372412BA4}"/>
    <cellStyle name="20% - Accent3 2 4 2 3" xfId="11312" xr:uid="{D4B25240-9B5F-4D9D-81B5-F02B2C821F09}"/>
    <cellStyle name="20% - Accent3 2 4 3" xfId="4935" xr:uid="{00000000-0005-0000-0000-000082010000}"/>
    <cellStyle name="20% - Accent3 2 4 3 2" xfId="13385" xr:uid="{7F8A1DF6-9180-404E-B178-81AC3BBBFBAB}"/>
    <cellStyle name="20% - Accent3 2 4 4" xfId="9167" xr:uid="{99465991-0925-447C-A7E7-9D02545EBBDE}"/>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3B251CE4-7CFA-4938-ACEA-502542539785}"/>
    <cellStyle name="20% - Accent3 2 5 2 3" xfId="11725" xr:uid="{CCD6C4CD-D02A-418C-B3EE-A629AD0B7A11}"/>
    <cellStyle name="20% - Accent3 2 5 3" xfId="5348" xr:uid="{00000000-0005-0000-0000-000086010000}"/>
    <cellStyle name="20% - Accent3 2 5 3 2" xfId="13798" xr:uid="{3A08A455-A7B9-4D1E-ACF4-30856FF26DD7}"/>
    <cellStyle name="20% - Accent3 2 5 4" xfId="9580" xr:uid="{A9C65A97-49B7-45FC-A717-808271F8A8BC}"/>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E58F07CE-C51F-44AE-8876-EDEB266C0264}"/>
    <cellStyle name="20% - Accent3 2 6 2 3" xfId="12138" xr:uid="{9C768699-47EA-4255-B0EC-DC869F236BF4}"/>
    <cellStyle name="20% - Accent3 2 6 3" xfId="5761" xr:uid="{00000000-0005-0000-0000-00008A010000}"/>
    <cellStyle name="20% - Accent3 2 6 3 2" xfId="14211" xr:uid="{B68E7D25-24A9-450D-A68B-6DD405BC02F6}"/>
    <cellStyle name="20% - Accent3 2 6 4" xfId="9993" xr:uid="{C4AFA25A-A008-4984-B56B-688E42466C4A}"/>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7A70E753-6BF9-416F-921D-FC3A677D6812}"/>
    <cellStyle name="20% - Accent3 2 7 2 3" xfId="12551" xr:uid="{A47B38C9-77F3-450F-9583-C443CC39B6A7}"/>
    <cellStyle name="20% - Accent3 2 7 3" xfId="6174" xr:uid="{00000000-0005-0000-0000-00008E010000}"/>
    <cellStyle name="20% - Accent3 2 7 3 2" xfId="14624" xr:uid="{BE58D92C-4946-461C-8926-4C5ED7EB702B}"/>
    <cellStyle name="20% - Accent3 2 7 4" xfId="10406" xr:uid="{75C84A44-3770-4953-BBFF-87CFC170DD8E}"/>
    <cellStyle name="20% - Accent3 2 8" xfId="2281" xr:uid="{00000000-0005-0000-0000-00008F010000}"/>
    <cellStyle name="20% - Accent3 2 8 2" xfId="6587" xr:uid="{00000000-0005-0000-0000-000090010000}"/>
    <cellStyle name="20% - Accent3 2 8 2 2" xfId="15037" xr:uid="{7AEF40F3-66C6-4217-BC4F-C591625A9DF5}"/>
    <cellStyle name="20% - Accent3 2 8 3" xfId="10819" xr:uid="{AF3DF881-55D2-4392-8B21-532CBA95B080}"/>
    <cellStyle name="20% - Accent3 2 9" xfId="4521" xr:uid="{00000000-0005-0000-0000-000091010000}"/>
    <cellStyle name="20% - Accent3 2 9 2" xfId="12971" xr:uid="{BC7ACC16-3320-4383-B6EB-956080615BE7}"/>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D65EC5AD-E8A6-4B84-9DA7-014E280289C6}"/>
    <cellStyle name="20% - Accent3 3 2 2 2 3" xfId="11317" xr:uid="{41A40B1D-E491-4A0B-8717-91FB7867E1B6}"/>
    <cellStyle name="20% - Accent3 3 2 2 3" xfId="4940" xr:uid="{00000000-0005-0000-0000-000097010000}"/>
    <cellStyle name="20% - Accent3 3 2 2 3 2" xfId="13390" xr:uid="{B1D18AF0-BF0B-424B-A8B4-755B2871E312}"/>
    <cellStyle name="20% - Accent3 3 2 2 4" xfId="9172" xr:uid="{685B8937-A2B2-45C6-B4DE-89FB45C745C1}"/>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F0142E09-D83F-4C5C-8417-4B453F32AE21}"/>
    <cellStyle name="20% - Accent3 3 2 3 2 3" xfId="11730" xr:uid="{031C0E31-52F5-48BF-B4CD-65AAA420B60B}"/>
    <cellStyle name="20% - Accent3 3 2 3 3" xfId="5353" xr:uid="{00000000-0005-0000-0000-00009B010000}"/>
    <cellStyle name="20% - Accent3 3 2 3 3 2" xfId="13803" xr:uid="{C6473D69-1816-45AC-9437-F767D73B5F87}"/>
    <cellStyle name="20% - Accent3 3 2 3 4" xfId="9585" xr:uid="{CDD52DD9-A4F7-40CE-BD83-FDB967DCCB21}"/>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05D9F2C5-BB13-4985-A7D4-3723616803CF}"/>
    <cellStyle name="20% - Accent3 3 2 4 2 3" xfId="12143" xr:uid="{E8615209-690C-4A14-B6D9-F3EAC6787880}"/>
    <cellStyle name="20% - Accent3 3 2 4 3" xfId="5766" xr:uid="{00000000-0005-0000-0000-00009F010000}"/>
    <cellStyle name="20% - Accent3 3 2 4 3 2" xfId="14216" xr:uid="{75DE0F38-D07B-4ABD-8ED6-FF099B052789}"/>
    <cellStyle name="20% - Accent3 3 2 4 4" xfId="9998" xr:uid="{4DB26F56-478B-460C-83D8-2CEFE0478915}"/>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D64A5C62-1860-4B8F-920D-2965DC988BB7}"/>
    <cellStyle name="20% - Accent3 3 2 5 2 3" xfId="12556" xr:uid="{D5F1BD9E-CF35-4F7A-AACC-794CE6E3E3CE}"/>
    <cellStyle name="20% - Accent3 3 2 5 3" xfId="6179" xr:uid="{00000000-0005-0000-0000-0000A3010000}"/>
    <cellStyle name="20% - Accent3 3 2 5 3 2" xfId="14629" xr:uid="{DEF8ABFC-C59F-4788-A03C-F3F5FAA44F1D}"/>
    <cellStyle name="20% - Accent3 3 2 5 4" xfId="10411" xr:uid="{3106E489-B4AD-46AB-9CA8-050108E02240}"/>
    <cellStyle name="20% - Accent3 3 2 6" xfId="2286" xr:uid="{00000000-0005-0000-0000-0000A4010000}"/>
    <cellStyle name="20% - Accent3 3 2 6 2" xfId="6592" xr:uid="{00000000-0005-0000-0000-0000A5010000}"/>
    <cellStyle name="20% - Accent3 3 2 6 2 2" xfId="15042" xr:uid="{72C33B55-5B06-4314-AD01-9B811DACC397}"/>
    <cellStyle name="20% - Accent3 3 2 6 3" xfId="10824" xr:uid="{EEA77D92-B714-4AD0-84A2-1E9CAEEA7AE7}"/>
    <cellStyle name="20% - Accent3 3 2 7" xfId="4526" xr:uid="{00000000-0005-0000-0000-0000A6010000}"/>
    <cellStyle name="20% - Accent3 3 2 7 2" xfId="12976" xr:uid="{EE32924C-A22B-4EC4-9005-52B28DB74FB4}"/>
    <cellStyle name="20% - Accent3 3 2 8" xfId="8758" xr:uid="{92D0CB87-964E-4972-90CC-252F2B0BDD5B}"/>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E517D383-8098-4DDD-B54A-9BC01EA63B71}"/>
    <cellStyle name="20% - Accent3 3 3 2 3" xfId="11316" xr:uid="{511F030E-10A1-4020-82D3-E23EF6551061}"/>
    <cellStyle name="20% - Accent3 3 3 3" xfId="4939" xr:uid="{00000000-0005-0000-0000-0000AA010000}"/>
    <cellStyle name="20% - Accent3 3 3 3 2" xfId="13389" xr:uid="{B85BAF6D-2CB9-42B1-9867-B8373D08F0DA}"/>
    <cellStyle name="20% - Accent3 3 3 4" xfId="9171" xr:uid="{62811D49-2D24-43BC-A96F-3D516705F587}"/>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EC9AD87B-C1CF-43CB-9D0B-EC9A3C19CBD7}"/>
    <cellStyle name="20% - Accent3 3 4 2 3" xfId="11729" xr:uid="{21F8A6C8-EB89-4923-B88F-FF42F1C175CD}"/>
    <cellStyle name="20% - Accent3 3 4 3" xfId="5352" xr:uid="{00000000-0005-0000-0000-0000AE010000}"/>
    <cellStyle name="20% - Accent3 3 4 3 2" xfId="13802" xr:uid="{77102509-881D-490E-AD5A-E70473A9988F}"/>
    <cellStyle name="20% - Accent3 3 4 4" xfId="9584" xr:uid="{87CE2015-7832-4A4A-BC44-8ECC5F720F05}"/>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74EE559A-693D-4FE3-B816-F07AAF32C165}"/>
    <cellStyle name="20% - Accent3 3 5 2 3" xfId="12142" xr:uid="{4A6BE7BA-10AF-4D01-98D0-36C67DD86CE3}"/>
    <cellStyle name="20% - Accent3 3 5 3" xfId="5765" xr:uid="{00000000-0005-0000-0000-0000B2010000}"/>
    <cellStyle name="20% - Accent3 3 5 3 2" xfId="14215" xr:uid="{F1F31DF8-B33D-4E38-86B3-BE19C7CCC049}"/>
    <cellStyle name="20% - Accent3 3 5 4" xfId="9997" xr:uid="{C9E9E012-E519-41A8-9DDA-CD198164EA55}"/>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A4F16F7F-EC71-4638-89B8-981558E05845}"/>
    <cellStyle name="20% - Accent3 3 6 2 3" xfId="12555" xr:uid="{146E871B-613E-4B8B-ADF2-82896ED2F6F5}"/>
    <cellStyle name="20% - Accent3 3 6 3" xfId="6178" xr:uid="{00000000-0005-0000-0000-0000B6010000}"/>
    <cellStyle name="20% - Accent3 3 6 3 2" xfId="14628" xr:uid="{19B55E48-495A-4846-95FB-68FA6139DDA2}"/>
    <cellStyle name="20% - Accent3 3 6 4" xfId="10410" xr:uid="{10ABFF28-3A7B-42FA-9DB9-3D1669FCB202}"/>
    <cellStyle name="20% - Accent3 3 7" xfId="2285" xr:uid="{00000000-0005-0000-0000-0000B7010000}"/>
    <cellStyle name="20% - Accent3 3 7 2" xfId="6591" xr:uid="{00000000-0005-0000-0000-0000B8010000}"/>
    <cellStyle name="20% - Accent3 3 7 2 2" xfId="15041" xr:uid="{226175E7-431A-4E38-B2F9-4FCE3303C567}"/>
    <cellStyle name="20% - Accent3 3 7 3" xfId="10823" xr:uid="{9EDABB1E-B046-4034-A74F-9F66969977B7}"/>
    <cellStyle name="20% - Accent3 3 8" xfId="4525" xr:uid="{00000000-0005-0000-0000-0000B9010000}"/>
    <cellStyle name="20% - Accent3 3 8 2" xfId="12975" xr:uid="{6FA70207-4AA7-4EE0-AE7B-B93EFFD4AD52}"/>
    <cellStyle name="20% - Accent3 3 9" xfId="8757" xr:uid="{E8208BCC-FBAD-44B8-9788-DA45E8C15086}"/>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6235513F-E901-4D3E-8F8E-F1456C41E795}"/>
    <cellStyle name="20% - Accent3 4 2 2 3" xfId="11318" xr:uid="{58CF884C-CD35-4847-8C2F-8DAD3CA94174}"/>
    <cellStyle name="20% - Accent3 4 2 3" xfId="4941" xr:uid="{00000000-0005-0000-0000-0000BE010000}"/>
    <cellStyle name="20% - Accent3 4 2 3 2" xfId="13391" xr:uid="{5D57CE45-078D-41AA-9697-7C800EAFE2E0}"/>
    <cellStyle name="20% - Accent3 4 2 4" xfId="9173" xr:uid="{A1A2C518-7576-40B6-9986-A7FCCBB899FC}"/>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109BE34D-B046-4638-89C2-622C90B3D51E}"/>
    <cellStyle name="20% - Accent3 4 3 2 3" xfId="11731" xr:uid="{20FB6CAA-1026-4369-A4B3-B71C368D0BA7}"/>
    <cellStyle name="20% - Accent3 4 3 3" xfId="5354" xr:uid="{00000000-0005-0000-0000-0000C2010000}"/>
    <cellStyle name="20% - Accent3 4 3 3 2" xfId="13804" xr:uid="{773D0BB3-FA25-41E8-A181-814231577E28}"/>
    <cellStyle name="20% - Accent3 4 3 4" xfId="9586" xr:uid="{6E36AED6-E3C3-4B07-95C0-BFBCCA84B68E}"/>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52559B23-5A0B-41DA-986A-99C78E5D7CC9}"/>
    <cellStyle name="20% - Accent3 4 4 2 3" xfId="12144" xr:uid="{D985F38B-0958-4659-9C79-E4A7070AAADC}"/>
    <cellStyle name="20% - Accent3 4 4 3" xfId="5767" xr:uid="{00000000-0005-0000-0000-0000C6010000}"/>
    <cellStyle name="20% - Accent3 4 4 3 2" xfId="14217" xr:uid="{02FB2C3A-0236-48D9-A095-45816F47781A}"/>
    <cellStyle name="20% - Accent3 4 4 4" xfId="9999" xr:uid="{BF7A1FE6-AF48-4DB2-AA77-5819F6A570CD}"/>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D7300034-0F9D-4F48-9ADE-86E34EC6A5DB}"/>
    <cellStyle name="20% - Accent3 4 5 2 3" xfId="12557" xr:uid="{4DFAD5A3-EB6E-4C90-BF37-1BB50EE5D383}"/>
    <cellStyle name="20% - Accent3 4 5 3" xfId="6180" xr:uid="{00000000-0005-0000-0000-0000CA010000}"/>
    <cellStyle name="20% - Accent3 4 5 3 2" xfId="14630" xr:uid="{7BCB59E2-72AE-4984-9CB0-CE10586300EF}"/>
    <cellStyle name="20% - Accent3 4 5 4" xfId="10412" xr:uid="{2C324F16-8285-404B-B104-8D1F7ECBF306}"/>
    <cellStyle name="20% - Accent3 4 6" xfId="2287" xr:uid="{00000000-0005-0000-0000-0000CB010000}"/>
    <cellStyle name="20% - Accent3 4 6 2" xfId="6593" xr:uid="{00000000-0005-0000-0000-0000CC010000}"/>
    <cellStyle name="20% - Accent3 4 6 2 2" xfId="15043" xr:uid="{B1DAA657-0D6E-4740-B151-9E0FA52A7C4C}"/>
    <cellStyle name="20% - Accent3 4 6 3" xfId="10825" xr:uid="{309C578E-FEB7-49A9-B159-8826001C2C7E}"/>
    <cellStyle name="20% - Accent3 4 7" xfId="4527" xr:uid="{00000000-0005-0000-0000-0000CD010000}"/>
    <cellStyle name="20% - Accent3 4 7 2" xfId="12977" xr:uid="{0B93A259-ED8C-41ED-A420-C54A813CD320}"/>
    <cellStyle name="20% - Accent3 4 8" xfId="8759" xr:uid="{48740D37-D3E5-47ED-92C5-17387A06BE43}"/>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E59096A7-24C6-47AC-B2CE-9BAE4F900073}"/>
    <cellStyle name="20% - Accent3 5 2 3" xfId="11311" xr:uid="{C039FD92-B159-448A-8068-EA014DDE1CDA}"/>
    <cellStyle name="20% - Accent3 5 3" xfId="4934" xr:uid="{00000000-0005-0000-0000-0000D1010000}"/>
    <cellStyle name="20% - Accent3 5 3 2" xfId="13384" xr:uid="{5E985245-1825-4200-9657-7E88C4F10512}"/>
    <cellStyle name="20% - Accent3 5 4" xfId="9166" xr:uid="{DC272124-AB0A-434E-A1F4-C0C1C28EBDC0}"/>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1FE50C8E-A2B6-4088-981B-8EE25D0D685D}"/>
    <cellStyle name="20% - Accent3 6 2 3" xfId="11724" xr:uid="{0DF3F888-AFEC-4209-AF69-3E6FA07E226F}"/>
    <cellStyle name="20% - Accent3 6 3" xfId="5347" xr:uid="{00000000-0005-0000-0000-0000D5010000}"/>
    <cellStyle name="20% - Accent3 6 3 2" xfId="13797" xr:uid="{565E0E1E-D489-42B0-89B2-D48FDE32C1D9}"/>
    <cellStyle name="20% - Accent3 6 4" xfId="9579" xr:uid="{5A520C35-F8B8-473B-AA27-DF3213B55CE9}"/>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CEB929DD-B0B7-4DA2-8295-89D1A908853F}"/>
    <cellStyle name="20% - Accent3 7 2 3" xfId="12137" xr:uid="{C92BA1E6-6274-4940-B0B2-5BFB5086DED4}"/>
    <cellStyle name="20% - Accent3 7 3" xfId="5760" xr:uid="{00000000-0005-0000-0000-0000D9010000}"/>
    <cellStyle name="20% - Accent3 7 3 2" xfId="14210" xr:uid="{B1C8D3D0-EEA1-4F77-817B-5D737E4D18E8}"/>
    <cellStyle name="20% - Accent3 7 4" xfId="9992" xr:uid="{9DB0D3E6-6F8F-4239-90B6-1246A4111277}"/>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070289C9-49BA-48A4-AEE5-9842C3A288C2}"/>
    <cellStyle name="20% - Accent3 8 2 3" xfId="12550" xr:uid="{63F06310-293D-4DCC-830D-A1D702CD4EBB}"/>
    <cellStyle name="20% - Accent3 8 3" xfId="6173" xr:uid="{00000000-0005-0000-0000-0000DD010000}"/>
    <cellStyle name="20% - Accent3 8 3 2" xfId="14623" xr:uid="{44D5F933-0EF7-4054-8AA9-580FBEE7E6DF}"/>
    <cellStyle name="20% - Accent3 8 4" xfId="10405" xr:uid="{5013910C-271E-42A8-8447-624244A64C01}"/>
    <cellStyle name="20% - Accent3 9" xfId="2280" xr:uid="{00000000-0005-0000-0000-0000DE010000}"/>
    <cellStyle name="20% - Accent3 9 2" xfId="6586" xr:uid="{00000000-0005-0000-0000-0000DF010000}"/>
    <cellStyle name="20% - Accent3 9 2 2" xfId="15036" xr:uid="{5211599F-075C-46DB-9287-9A3EF45C2512}"/>
    <cellStyle name="20% - Accent3 9 3" xfId="10818" xr:uid="{70689908-079A-428F-886C-84F5D779256C}"/>
    <cellStyle name="20% - Accent4" xfId="25" builtinId="42" customBuiltin="1"/>
    <cellStyle name="20% - Accent4 10" xfId="4528" xr:uid="{00000000-0005-0000-0000-0000E1010000}"/>
    <cellStyle name="20% - Accent4 10 2" xfId="12978" xr:uid="{B0760F49-8E63-432E-BAC5-B8B2E2068C4D}"/>
    <cellStyle name="20% - Accent4 11" xfId="8760" xr:uid="{8428A09D-1624-4EBF-A636-962370BB5CF3}"/>
    <cellStyle name="20% - Accent4 2" xfId="26" xr:uid="{00000000-0005-0000-0000-0000E2010000}"/>
    <cellStyle name="20% - Accent4 2 10" xfId="8761" xr:uid="{8655210B-C3AB-47E4-BBBD-5E1296126A1B}"/>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7AD81575-44B5-4BF7-8ECC-2038D1012A3C}"/>
    <cellStyle name="20% - Accent4 2 2 2 2 2 3" xfId="11322" xr:uid="{818AF336-38E4-4272-BA78-D3E5EE1D7869}"/>
    <cellStyle name="20% - Accent4 2 2 2 2 3" xfId="4945" xr:uid="{00000000-0005-0000-0000-0000E8010000}"/>
    <cellStyle name="20% - Accent4 2 2 2 2 3 2" xfId="13395" xr:uid="{5406D3B0-4CE1-4F04-A81D-C2812612AF7F}"/>
    <cellStyle name="20% - Accent4 2 2 2 2 4" xfId="9177" xr:uid="{10C11EA7-6195-4029-BCC7-D4EA56567015}"/>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B927A3CA-9E36-4811-BD18-47CEC40DFCCD}"/>
    <cellStyle name="20% - Accent4 2 2 2 3 2 3" xfId="11735" xr:uid="{1D599982-42CB-4469-9BAA-2029E9C6F4DE}"/>
    <cellStyle name="20% - Accent4 2 2 2 3 3" xfId="5358" xr:uid="{00000000-0005-0000-0000-0000EC010000}"/>
    <cellStyle name="20% - Accent4 2 2 2 3 3 2" xfId="13808" xr:uid="{01EA7A3E-3145-4222-AB5B-A0E2BC2871DF}"/>
    <cellStyle name="20% - Accent4 2 2 2 3 4" xfId="9590" xr:uid="{5402FCE8-074C-4A74-870A-C35AD7815CA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3DC8979C-CBB0-4E70-A761-D8CF97682F16}"/>
    <cellStyle name="20% - Accent4 2 2 2 4 2 3" xfId="12148" xr:uid="{CF6DF5A5-4C52-42DD-8395-1C1CE6CC8166}"/>
    <cellStyle name="20% - Accent4 2 2 2 4 3" xfId="5771" xr:uid="{00000000-0005-0000-0000-0000F0010000}"/>
    <cellStyle name="20% - Accent4 2 2 2 4 3 2" xfId="14221" xr:uid="{7BE1F9CC-33C0-4CF2-BDA7-0DCBABE08679}"/>
    <cellStyle name="20% - Accent4 2 2 2 4 4" xfId="10003" xr:uid="{B2B15941-F19D-49D4-84B9-0E2D6E7A724B}"/>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0585CCFA-EE6E-4913-96CA-BFDB8B1EF038}"/>
    <cellStyle name="20% - Accent4 2 2 2 5 2 3" xfId="12561" xr:uid="{D1903F9A-B886-4C6B-9BE4-2F1E4A29DF82}"/>
    <cellStyle name="20% - Accent4 2 2 2 5 3" xfId="6184" xr:uid="{00000000-0005-0000-0000-0000F4010000}"/>
    <cellStyle name="20% - Accent4 2 2 2 5 3 2" xfId="14634" xr:uid="{5F5890B2-D52E-45DB-A573-37109C4687E7}"/>
    <cellStyle name="20% - Accent4 2 2 2 5 4" xfId="10416" xr:uid="{D8DE1530-BC88-4D42-BE9D-C44E131127B3}"/>
    <cellStyle name="20% - Accent4 2 2 2 6" xfId="2291" xr:uid="{00000000-0005-0000-0000-0000F5010000}"/>
    <cellStyle name="20% - Accent4 2 2 2 6 2" xfId="6597" xr:uid="{00000000-0005-0000-0000-0000F6010000}"/>
    <cellStyle name="20% - Accent4 2 2 2 6 2 2" xfId="15047" xr:uid="{AC42CF7E-3A96-486A-A0AE-D1AE87BE30CF}"/>
    <cellStyle name="20% - Accent4 2 2 2 6 3" xfId="10829" xr:uid="{4E03D7BB-C4FC-4A6D-B54F-D6DEC41B93E9}"/>
    <cellStyle name="20% - Accent4 2 2 2 7" xfId="4531" xr:uid="{00000000-0005-0000-0000-0000F7010000}"/>
    <cellStyle name="20% - Accent4 2 2 2 7 2" xfId="12981" xr:uid="{8D68B437-C36D-4A50-9A3F-EDD0A79FEBBE}"/>
    <cellStyle name="20% - Accent4 2 2 2 8" xfId="8763" xr:uid="{8A97E981-482E-40EA-AA16-8CB92EC6A279}"/>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38128AD3-84DC-4826-9788-7BC97F4BB096}"/>
    <cellStyle name="20% - Accent4 2 2 3 2 3" xfId="11321" xr:uid="{475C2F68-1690-47D3-B3E7-556B27DBC76A}"/>
    <cellStyle name="20% - Accent4 2 2 3 3" xfId="4944" xr:uid="{00000000-0005-0000-0000-0000FB010000}"/>
    <cellStyle name="20% - Accent4 2 2 3 3 2" xfId="13394" xr:uid="{0DDF7C66-E35F-4FFB-AF6C-694137438FFE}"/>
    <cellStyle name="20% - Accent4 2 2 3 4" xfId="9176" xr:uid="{E1AA674C-9718-45E7-9F4E-AAC0A8C0B1C3}"/>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A770E9F2-B410-4E2C-B4B8-DE62D2D8A08E}"/>
    <cellStyle name="20% - Accent4 2 2 4 2 3" xfId="11734" xr:uid="{24306CA8-E5E4-418D-8A54-DF3E9D471081}"/>
    <cellStyle name="20% - Accent4 2 2 4 3" xfId="5357" xr:uid="{00000000-0005-0000-0000-0000FF010000}"/>
    <cellStyle name="20% - Accent4 2 2 4 3 2" xfId="13807" xr:uid="{15D2AC7F-0BBC-4AF2-B1ED-4F05DA702CF6}"/>
    <cellStyle name="20% - Accent4 2 2 4 4" xfId="9589" xr:uid="{09D277F8-4920-47FC-AC04-CE409A4FF1F0}"/>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9328DB97-8695-4B01-A08D-A4FC831F59C0}"/>
    <cellStyle name="20% - Accent4 2 2 5 2 3" xfId="12147" xr:uid="{4A6FE11A-E82D-43A2-9577-C8674F0A1984}"/>
    <cellStyle name="20% - Accent4 2 2 5 3" xfId="5770" xr:uid="{00000000-0005-0000-0000-000003020000}"/>
    <cellStyle name="20% - Accent4 2 2 5 3 2" xfId="14220" xr:uid="{D76D1AF5-FBAD-44D0-9E8B-90C734BAC341}"/>
    <cellStyle name="20% - Accent4 2 2 5 4" xfId="10002" xr:uid="{58F1433C-24B1-4767-ADAA-7ABAF318C30B}"/>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CBB4E63A-CE7A-4380-A4CC-DC72B22C912F}"/>
    <cellStyle name="20% - Accent4 2 2 6 2 3" xfId="12560" xr:uid="{51E65C5F-5CAD-4E6E-A8B7-D389FA87F062}"/>
    <cellStyle name="20% - Accent4 2 2 6 3" xfId="6183" xr:uid="{00000000-0005-0000-0000-000007020000}"/>
    <cellStyle name="20% - Accent4 2 2 6 3 2" xfId="14633" xr:uid="{3AE7EB29-B737-44E4-B5F3-D5689DD0B7E2}"/>
    <cellStyle name="20% - Accent4 2 2 6 4" xfId="10415" xr:uid="{2FAF80F6-B6DF-4095-9535-27A5DE995E83}"/>
    <cellStyle name="20% - Accent4 2 2 7" xfId="2290" xr:uid="{00000000-0005-0000-0000-000008020000}"/>
    <cellStyle name="20% - Accent4 2 2 7 2" xfId="6596" xr:uid="{00000000-0005-0000-0000-000009020000}"/>
    <cellStyle name="20% - Accent4 2 2 7 2 2" xfId="15046" xr:uid="{968988C0-3578-4413-878B-7D196BDEF949}"/>
    <cellStyle name="20% - Accent4 2 2 7 3" xfId="10828" xr:uid="{6AECAAB1-F8CB-447E-9016-0921D78AAEFD}"/>
    <cellStyle name="20% - Accent4 2 2 8" xfId="4530" xr:uid="{00000000-0005-0000-0000-00000A020000}"/>
    <cellStyle name="20% - Accent4 2 2 8 2" xfId="12980" xr:uid="{EBDD7942-D1CE-4AFB-B119-9EAC5176C673}"/>
    <cellStyle name="20% - Accent4 2 2 9" xfId="8762" xr:uid="{2E72769F-7941-40F0-98AF-64D0C4A712F9}"/>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52B12B24-DAF5-49A6-8270-1E0A4DDA080D}"/>
    <cellStyle name="20% - Accent4 2 3 2 2 3" xfId="11323" xr:uid="{59239C56-BE62-4012-9953-9330A7B37776}"/>
    <cellStyle name="20% - Accent4 2 3 2 3" xfId="4946" xr:uid="{00000000-0005-0000-0000-00000F020000}"/>
    <cellStyle name="20% - Accent4 2 3 2 3 2" xfId="13396" xr:uid="{38281D94-463E-440B-B1F4-E4FED9D651AA}"/>
    <cellStyle name="20% - Accent4 2 3 2 4" xfId="9178" xr:uid="{FA7114F8-B984-489B-A9A8-586FDBF7AF19}"/>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B6B95576-9870-4701-BDD6-E6D317102A41}"/>
    <cellStyle name="20% - Accent4 2 3 3 2 3" xfId="11736" xr:uid="{5E4CAC17-50B7-49BB-9FD2-B4BE2765D937}"/>
    <cellStyle name="20% - Accent4 2 3 3 3" xfId="5359" xr:uid="{00000000-0005-0000-0000-000013020000}"/>
    <cellStyle name="20% - Accent4 2 3 3 3 2" xfId="13809" xr:uid="{D65214F7-9899-440E-BD45-583DECCF001E}"/>
    <cellStyle name="20% - Accent4 2 3 3 4" xfId="9591" xr:uid="{A560AE10-2F4A-41A8-AC33-F99DDC5BD836}"/>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DA88CFE4-7103-44B0-B0B7-5B2AF1C30291}"/>
    <cellStyle name="20% - Accent4 2 3 4 2 3" xfId="12149" xr:uid="{8E77099E-0BC1-4F50-8C2F-1360684630B2}"/>
    <cellStyle name="20% - Accent4 2 3 4 3" xfId="5772" xr:uid="{00000000-0005-0000-0000-000017020000}"/>
    <cellStyle name="20% - Accent4 2 3 4 3 2" xfId="14222" xr:uid="{D2BDD2C4-E2DF-4B80-9186-0BBF7CC352D4}"/>
    <cellStyle name="20% - Accent4 2 3 4 4" xfId="10004" xr:uid="{94D0A00D-5653-48BF-AE87-D028A948B70A}"/>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911FD409-B51C-4B0C-A4F1-69BC48DEAFBC}"/>
    <cellStyle name="20% - Accent4 2 3 5 2 3" xfId="12562" xr:uid="{ACA907EA-821A-4174-B5A9-6A812C095AFC}"/>
    <cellStyle name="20% - Accent4 2 3 5 3" xfId="6185" xr:uid="{00000000-0005-0000-0000-00001B020000}"/>
    <cellStyle name="20% - Accent4 2 3 5 3 2" xfId="14635" xr:uid="{6F15E1EB-FED3-4FA4-B6D4-05173F1A3F7F}"/>
    <cellStyle name="20% - Accent4 2 3 5 4" xfId="10417" xr:uid="{C1E5429F-CB64-45F9-B899-300E2F2080FE}"/>
    <cellStyle name="20% - Accent4 2 3 6" xfId="2292" xr:uid="{00000000-0005-0000-0000-00001C020000}"/>
    <cellStyle name="20% - Accent4 2 3 6 2" xfId="6598" xr:uid="{00000000-0005-0000-0000-00001D020000}"/>
    <cellStyle name="20% - Accent4 2 3 6 2 2" xfId="15048" xr:uid="{43137D6E-DF1F-422F-BC10-F4E12096BB88}"/>
    <cellStyle name="20% - Accent4 2 3 6 3" xfId="10830" xr:uid="{E07C8017-4431-437A-A7D2-59DF065905CF}"/>
    <cellStyle name="20% - Accent4 2 3 7" xfId="4532" xr:uid="{00000000-0005-0000-0000-00001E020000}"/>
    <cellStyle name="20% - Accent4 2 3 7 2" xfId="12982" xr:uid="{AF69568C-14F1-46D1-BA18-4C47093E3903}"/>
    <cellStyle name="20% - Accent4 2 3 8" xfId="8764" xr:uid="{F37860BA-069D-43AA-A69D-592009222CA8}"/>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4A3F2CCB-3E38-4E4C-8ADC-3A8B0497EE47}"/>
    <cellStyle name="20% - Accent4 2 4 2 3" xfId="11320" xr:uid="{E71B2006-62DA-47F4-90E3-F6D10D8E217C}"/>
    <cellStyle name="20% - Accent4 2 4 3" xfId="4943" xr:uid="{00000000-0005-0000-0000-000022020000}"/>
    <cellStyle name="20% - Accent4 2 4 3 2" xfId="13393" xr:uid="{FDDB5517-196D-4A01-864D-AF33B14CA548}"/>
    <cellStyle name="20% - Accent4 2 4 4" xfId="9175" xr:uid="{C8A23D7D-7242-465B-AB72-D8C5657CEFA8}"/>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F7AE76DB-16D1-423E-8577-7D97C20B3C7B}"/>
    <cellStyle name="20% - Accent4 2 5 2 3" xfId="11733" xr:uid="{D04E71D8-8044-4CB0-B78A-F1FB81BD0D84}"/>
    <cellStyle name="20% - Accent4 2 5 3" xfId="5356" xr:uid="{00000000-0005-0000-0000-000026020000}"/>
    <cellStyle name="20% - Accent4 2 5 3 2" xfId="13806" xr:uid="{CC8A800E-FDF2-4045-9392-040FD673436F}"/>
    <cellStyle name="20% - Accent4 2 5 4" xfId="9588" xr:uid="{EC4D6F8F-5536-40BF-8276-2ECFB29F245D}"/>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580E7802-8E4A-4AED-9358-24029528D0C6}"/>
    <cellStyle name="20% - Accent4 2 6 2 3" xfId="12146" xr:uid="{80D17CC6-B2B6-4F6C-AABC-9F8EDBC12809}"/>
    <cellStyle name="20% - Accent4 2 6 3" xfId="5769" xr:uid="{00000000-0005-0000-0000-00002A020000}"/>
    <cellStyle name="20% - Accent4 2 6 3 2" xfId="14219" xr:uid="{8EA795E1-56CA-4158-B700-E9208475F091}"/>
    <cellStyle name="20% - Accent4 2 6 4" xfId="10001" xr:uid="{50159597-78AF-4459-AA19-60D5A5FC443C}"/>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BBB31520-D96D-45B9-A3B5-46BDA47D2B35}"/>
    <cellStyle name="20% - Accent4 2 7 2 3" xfId="12559" xr:uid="{04BCEAD7-E946-48EF-B8F8-57C7F78D46C0}"/>
    <cellStyle name="20% - Accent4 2 7 3" xfId="6182" xr:uid="{00000000-0005-0000-0000-00002E020000}"/>
    <cellStyle name="20% - Accent4 2 7 3 2" xfId="14632" xr:uid="{D25AB11E-BB30-4227-AA80-1188EC9DAC01}"/>
    <cellStyle name="20% - Accent4 2 7 4" xfId="10414" xr:uid="{D98ED80C-20EC-4523-8143-0F925BC2D7A6}"/>
    <cellStyle name="20% - Accent4 2 8" xfId="2289" xr:uid="{00000000-0005-0000-0000-00002F020000}"/>
    <cellStyle name="20% - Accent4 2 8 2" xfId="6595" xr:uid="{00000000-0005-0000-0000-000030020000}"/>
    <cellStyle name="20% - Accent4 2 8 2 2" xfId="15045" xr:uid="{475660E6-EFFA-4BC7-B9F5-4B8EE799291E}"/>
    <cellStyle name="20% - Accent4 2 8 3" xfId="10827" xr:uid="{508C2318-E0B6-4358-9429-66616B8D404D}"/>
    <cellStyle name="20% - Accent4 2 9" xfId="4529" xr:uid="{00000000-0005-0000-0000-000031020000}"/>
    <cellStyle name="20% - Accent4 2 9 2" xfId="12979" xr:uid="{7527FDD8-FBDA-439D-8209-AD4AA95E44A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B2611B56-FF2C-4C22-85C4-4AAAB3775EC4}"/>
    <cellStyle name="20% - Accent4 3 2 2 2 3" xfId="11325" xr:uid="{CB4A7E97-7365-43F6-A1FC-BD9D0B52445D}"/>
    <cellStyle name="20% - Accent4 3 2 2 3" xfId="4948" xr:uid="{00000000-0005-0000-0000-000037020000}"/>
    <cellStyle name="20% - Accent4 3 2 2 3 2" xfId="13398" xr:uid="{81172992-3EDE-422D-96E9-0A57CAEB1745}"/>
    <cellStyle name="20% - Accent4 3 2 2 4" xfId="9180" xr:uid="{78304DC7-FCA9-4647-8711-1772B348F648}"/>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AD43EAAF-C63E-4501-8F18-57A9BB36F5F8}"/>
    <cellStyle name="20% - Accent4 3 2 3 2 3" xfId="11738" xr:uid="{331F2C63-F50F-4A7D-A43D-448E1A040362}"/>
    <cellStyle name="20% - Accent4 3 2 3 3" xfId="5361" xr:uid="{00000000-0005-0000-0000-00003B020000}"/>
    <cellStyle name="20% - Accent4 3 2 3 3 2" xfId="13811" xr:uid="{FAE7ACAE-A73C-4C72-8BBC-6A2AFE2AA7D5}"/>
    <cellStyle name="20% - Accent4 3 2 3 4" xfId="9593" xr:uid="{7488A05D-06F9-48C2-BC4B-24199352138F}"/>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F533FD99-5116-465A-A7B0-83C927860E03}"/>
    <cellStyle name="20% - Accent4 3 2 4 2 3" xfId="12151" xr:uid="{3C554DE0-864A-48D4-95CC-28099C6074F6}"/>
    <cellStyle name="20% - Accent4 3 2 4 3" xfId="5774" xr:uid="{00000000-0005-0000-0000-00003F020000}"/>
    <cellStyle name="20% - Accent4 3 2 4 3 2" xfId="14224" xr:uid="{187ACB71-DFA1-4C73-9F45-97DD95164DFE}"/>
    <cellStyle name="20% - Accent4 3 2 4 4" xfId="10006" xr:uid="{55B53EBA-F55A-4303-9401-316A34244F21}"/>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3991D343-0159-4F58-96A5-84294ED6BD8B}"/>
    <cellStyle name="20% - Accent4 3 2 5 2 3" xfId="12564" xr:uid="{5D24A725-0E46-4C16-AF9F-BB52A9070D86}"/>
    <cellStyle name="20% - Accent4 3 2 5 3" xfId="6187" xr:uid="{00000000-0005-0000-0000-000043020000}"/>
    <cellStyle name="20% - Accent4 3 2 5 3 2" xfId="14637" xr:uid="{5BC90CE4-08F2-42A8-B6DC-11385273D960}"/>
    <cellStyle name="20% - Accent4 3 2 5 4" xfId="10419" xr:uid="{2B54A092-7132-40F7-AEBF-E78F3B039A53}"/>
    <cellStyle name="20% - Accent4 3 2 6" xfId="2294" xr:uid="{00000000-0005-0000-0000-000044020000}"/>
    <cellStyle name="20% - Accent4 3 2 6 2" xfId="6600" xr:uid="{00000000-0005-0000-0000-000045020000}"/>
    <cellStyle name="20% - Accent4 3 2 6 2 2" xfId="15050" xr:uid="{28251D9F-9B0E-4DA5-A33C-6DD1248F1929}"/>
    <cellStyle name="20% - Accent4 3 2 6 3" xfId="10832" xr:uid="{0EA7A71F-94B1-405F-B53B-EBEFED490590}"/>
    <cellStyle name="20% - Accent4 3 2 7" xfId="4534" xr:uid="{00000000-0005-0000-0000-000046020000}"/>
    <cellStyle name="20% - Accent4 3 2 7 2" xfId="12984" xr:uid="{062DDF8D-4E0A-4F8D-BB7E-14D31D6AE307}"/>
    <cellStyle name="20% - Accent4 3 2 8" xfId="8766" xr:uid="{280C2D6E-08E9-486B-8C8B-F5202F0CF65C}"/>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5E5BC1C7-93CF-401B-BD13-8D85CCE3CEE3}"/>
    <cellStyle name="20% - Accent4 3 3 2 3" xfId="11324" xr:uid="{BDAC6EE7-AF6C-4D1A-AC7E-F0E498341AB9}"/>
    <cellStyle name="20% - Accent4 3 3 3" xfId="4947" xr:uid="{00000000-0005-0000-0000-00004A020000}"/>
    <cellStyle name="20% - Accent4 3 3 3 2" xfId="13397" xr:uid="{1A365333-10EA-4F9B-9C3C-A2A3EB0A763F}"/>
    <cellStyle name="20% - Accent4 3 3 4" xfId="9179" xr:uid="{52809E03-DB6C-4727-85D8-CDE4795BF832}"/>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C9718E26-86AF-454B-B4B1-C869701F0978}"/>
    <cellStyle name="20% - Accent4 3 4 2 3" xfId="11737" xr:uid="{BEBE1388-7D98-4E80-9362-26D89BD4CE49}"/>
    <cellStyle name="20% - Accent4 3 4 3" xfId="5360" xr:uid="{00000000-0005-0000-0000-00004E020000}"/>
    <cellStyle name="20% - Accent4 3 4 3 2" xfId="13810" xr:uid="{C6C14BEB-5AE0-4D2F-BCD5-8580EF3CAE5A}"/>
    <cellStyle name="20% - Accent4 3 4 4" xfId="9592" xr:uid="{78B2AB78-32A7-47E2-9059-D4DBABA028F0}"/>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F03A02D4-4236-4FFB-9906-0BF2FA0A6D23}"/>
    <cellStyle name="20% - Accent4 3 5 2 3" xfId="12150" xr:uid="{9A4F8DA9-1BCA-4D5C-A241-616BF77DB87D}"/>
    <cellStyle name="20% - Accent4 3 5 3" xfId="5773" xr:uid="{00000000-0005-0000-0000-000052020000}"/>
    <cellStyle name="20% - Accent4 3 5 3 2" xfId="14223" xr:uid="{EE957419-6CAE-40AE-B870-82E974526303}"/>
    <cellStyle name="20% - Accent4 3 5 4" xfId="10005" xr:uid="{BF87A7CB-F97D-4A3F-B71E-3020563D4916}"/>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CE090B27-A2DE-4052-9AD0-BD30220BCCF3}"/>
    <cellStyle name="20% - Accent4 3 6 2 3" xfId="12563" xr:uid="{EA250B61-CC52-44E6-A15E-D1816907F940}"/>
    <cellStyle name="20% - Accent4 3 6 3" xfId="6186" xr:uid="{00000000-0005-0000-0000-000056020000}"/>
    <cellStyle name="20% - Accent4 3 6 3 2" xfId="14636" xr:uid="{C27E8319-E83A-4509-A31E-D4F5B9A5A6F6}"/>
    <cellStyle name="20% - Accent4 3 6 4" xfId="10418" xr:uid="{B3BC94E1-7A74-407E-A6C9-EF1D1E8009E6}"/>
    <cellStyle name="20% - Accent4 3 7" xfId="2293" xr:uid="{00000000-0005-0000-0000-000057020000}"/>
    <cellStyle name="20% - Accent4 3 7 2" xfId="6599" xr:uid="{00000000-0005-0000-0000-000058020000}"/>
    <cellStyle name="20% - Accent4 3 7 2 2" xfId="15049" xr:uid="{864B8AD4-44E2-470F-ADC1-DB0D2C09B99B}"/>
    <cellStyle name="20% - Accent4 3 7 3" xfId="10831" xr:uid="{287B560D-AA36-4568-B6EC-91DDFF46BBD5}"/>
    <cellStyle name="20% - Accent4 3 8" xfId="4533" xr:uid="{00000000-0005-0000-0000-000059020000}"/>
    <cellStyle name="20% - Accent4 3 8 2" xfId="12983" xr:uid="{FDE5B08D-09B2-4527-A860-04F559327FCD}"/>
    <cellStyle name="20% - Accent4 3 9" xfId="8765" xr:uid="{01FDA9D4-69DE-4337-9C99-E978AFCDE7B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BB41E08C-6842-46AC-A310-367135594304}"/>
    <cellStyle name="20% - Accent4 4 2 2 3" xfId="11326" xr:uid="{E2A06FAB-A690-47B5-84DB-25A113349F67}"/>
    <cellStyle name="20% - Accent4 4 2 3" xfId="4949" xr:uid="{00000000-0005-0000-0000-00005E020000}"/>
    <cellStyle name="20% - Accent4 4 2 3 2" xfId="13399" xr:uid="{F884947C-7A29-47C6-9C30-7070305D8BDE}"/>
    <cellStyle name="20% - Accent4 4 2 4" xfId="9181" xr:uid="{AC3332DB-E042-40CC-9510-2BD1644C11F1}"/>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C8833095-CF3E-4795-8F55-19EFC509913D}"/>
    <cellStyle name="20% - Accent4 4 3 2 3" xfId="11739" xr:uid="{4EDECADE-B5DF-4D7A-B3F0-B61FE0F7FFB7}"/>
    <cellStyle name="20% - Accent4 4 3 3" xfId="5362" xr:uid="{00000000-0005-0000-0000-000062020000}"/>
    <cellStyle name="20% - Accent4 4 3 3 2" xfId="13812" xr:uid="{1D5DD718-6186-40A2-881D-CAF2EF4CAD50}"/>
    <cellStyle name="20% - Accent4 4 3 4" xfId="9594" xr:uid="{BBD5B2FE-FC23-46D3-98E2-C76DE58DDE89}"/>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7AC58B3D-09B1-4B3B-A86E-122588C97DE5}"/>
    <cellStyle name="20% - Accent4 4 4 2 3" xfId="12152" xr:uid="{815A3CBA-AFF5-467A-BCCF-3C91BBB935C1}"/>
    <cellStyle name="20% - Accent4 4 4 3" xfId="5775" xr:uid="{00000000-0005-0000-0000-000066020000}"/>
    <cellStyle name="20% - Accent4 4 4 3 2" xfId="14225" xr:uid="{C50D9CE9-2C9A-4CA8-B2E2-EA05F97A92C8}"/>
    <cellStyle name="20% - Accent4 4 4 4" xfId="10007" xr:uid="{D16A584E-0629-428E-8DE9-6FE564222633}"/>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FA42F3F6-82CD-4D90-BB17-5DF1AF33A8CD}"/>
    <cellStyle name="20% - Accent4 4 5 2 3" xfId="12565" xr:uid="{19667ADD-22A8-4BF5-94A5-8EBF0E5BF202}"/>
    <cellStyle name="20% - Accent4 4 5 3" xfId="6188" xr:uid="{00000000-0005-0000-0000-00006A020000}"/>
    <cellStyle name="20% - Accent4 4 5 3 2" xfId="14638" xr:uid="{4638A5A3-CA5A-4A18-8DBD-30B5A2BB3FBC}"/>
    <cellStyle name="20% - Accent4 4 5 4" xfId="10420" xr:uid="{6AD61EDC-F7C9-47ED-938E-36FC408E08C8}"/>
    <cellStyle name="20% - Accent4 4 6" xfId="2295" xr:uid="{00000000-0005-0000-0000-00006B020000}"/>
    <cellStyle name="20% - Accent4 4 6 2" xfId="6601" xr:uid="{00000000-0005-0000-0000-00006C020000}"/>
    <cellStyle name="20% - Accent4 4 6 2 2" xfId="15051" xr:uid="{B1F865A8-AA62-4A7C-9FA5-DD911F0FF79D}"/>
    <cellStyle name="20% - Accent4 4 6 3" xfId="10833" xr:uid="{00299115-FEEA-4710-B56B-03F159E1846A}"/>
    <cellStyle name="20% - Accent4 4 7" xfId="4535" xr:uid="{00000000-0005-0000-0000-00006D020000}"/>
    <cellStyle name="20% - Accent4 4 7 2" xfId="12985" xr:uid="{B084905F-437A-426B-8D26-3AB2B03896C1}"/>
    <cellStyle name="20% - Accent4 4 8" xfId="8767" xr:uid="{5C318670-9969-42E9-B8D6-A8D7DA9E49FC}"/>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63BE8DD9-453A-4B97-84C5-FAF0DA41E121}"/>
    <cellStyle name="20% - Accent4 5 2 3" xfId="11319" xr:uid="{7BB3E02F-E6CE-4EEB-99C5-101D8E4128BF}"/>
    <cellStyle name="20% - Accent4 5 3" xfId="4942" xr:uid="{00000000-0005-0000-0000-000071020000}"/>
    <cellStyle name="20% - Accent4 5 3 2" xfId="13392" xr:uid="{6AB53D1A-8557-4F44-A29D-E714407A30DB}"/>
    <cellStyle name="20% - Accent4 5 4" xfId="9174" xr:uid="{64AE7C58-029F-414E-9581-81BC478BC7EC}"/>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DB2DE024-5F9C-4062-806D-CF877DC618D6}"/>
    <cellStyle name="20% - Accent4 6 2 3" xfId="11732" xr:uid="{2F2960D7-FDB1-46CA-A0A6-24A52CE8DC5C}"/>
    <cellStyle name="20% - Accent4 6 3" xfId="5355" xr:uid="{00000000-0005-0000-0000-000075020000}"/>
    <cellStyle name="20% - Accent4 6 3 2" xfId="13805" xr:uid="{3C20E4DA-4F0D-41B7-8855-59261BEC503C}"/>
    <cellStyle name="20% - Accent4 6 4" xfId="9587" xr:uid="{51319591-9DEC-489B-8C70-9C26FD8DCDD8}"/>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F39A5E9A-B823-4A1D-A764-C59096731BA2}"/>
    <cellStyle name="20% - Accent4 7 2 3" xfId="12145" xr:uid="{8DCEB85E-1606-40C9-BE86-55A3AF964D78}"/>
    <cellStyle name="20% - Accent4 7 3" xfId="5768" xr:uid="{00000000-0005-0000-0000-000079020000}"/>
    <cellStyle name="20% - Accent4 7 3 2" xfId="14218" xr:uid="{6FAC1F4B-40AE-400E-BECC-BFE5BFCE010E}"/>
    <cellStyle name="20% - Accent4 7 4" xfId="10000" xr:uid="{77B957CE-8DBF-4937-A720-2B85BB1795B9}"/>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D29C116B-918F-4C9D-919B-7FEE1EFF8449}"/>
    <cellStyle name="20% - Accent4 8 2 3" xfId="12558" xr:uid="{103A1364-A5C2-464C-9BF3-827D96A99CB8}"/>
    <cellStyle name="20% - Accent4 8 3" xfId="6181" xr:uid="{00000000-0005-0000-0000-00007D020000}"/>
    <cellStyle name="20% - Accent4 8 3 2" xfId="14631" xr:uid="{97769910-51EB-4BD4-8531-A45A838641CE}"/>
    <cellStyle name="20% - Accent4 8 4" xfId="10413" xr:uid="{B689AEE3-F987-4D1C-8F9C-AF09D1D83C35}"/>
    <cellStyle name="20% - Accent4 9" xfId="2288" xr:uid="{00000000-0005-0000-0000-00007E020000}"/>
    <cellStyle name="20% - Accent4 9 2" xfId="6594" xr:uid="{00000000-0005-0000-0000-00007F020000}"/>
    <cellStyle name="20% - Accent4 9 2 2" xfId="15044" xr:uid="{073250B6-FE7C-4221-8796-1BD83717C1E5}"/>
    <cellStyle name="20% - Accent4 9 3" xfId="10826" xr:uid="{EFBEC421-B763-440A-81DE-64ED2389B8CF}"/>
    <cellStyle name="20% - Accent5" xfId="33" builtinId="46" customBuiltin="1"/>
    <cellStyle name="20% - Accent5 10" xfId="4536" xr:uid="{00000000-0005-0000-0000-000081020000}"/>
    <cellStyle name="20% - Accent5 10 2" xfId="12986" xr:uid="{338F5C5D-C327-425D-815C-118AF6FA2195}"/>
    <cellStyle name="20% - Accent5 11" xfId="8768" xr:uid="{B51B0814-C940-4696-BF6A-65CC8B4FDB59}"/>
    <cellStyle name="20% - Accent5 2" xfId="34" xr:uid="{00000000-0005-0000-0000-000082020000}"/>
    <cellStyle name="20% - Accent5 2 10" xfId="8769" xr:uid="{457A07FF-E342-484B-A362-178B3E339837}"/>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5D02BE5C-A60C-4E2B-B671-CA0B7B805F75}"/>
    <cellStyle name="20% - Accent5 2 2 2 2 2 3" xfId="11330" xr:uid="{A568DA10-AB18-4D94-B640-A20D7CA2B499}"/>
    <cellStyle name="20% - Accent5 2 2 2 2 3" xfId="4953" xr:uid="{00000000-0005-0000-0000-000088020000}"/>
    <cellStyle name="20% - Accent5 2 2 2 2 3 2" xfId="13403" xr:uid="{699E371E-1823-424C-8CD7-045E3D0E0911}"/>
    <cellStyle name="20% - Accent5 2 2 2 2 4" xfId="9185" xr:uid="{80A8D611-64B8-4B67-B045-BEC4E9A0F11B}"/>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6A6AD3EA-B15D-441A-8D5C-B41CF488FFF0}"/>
    <cellStyle name="20% - Accent5 2 2 2 3 2 3" xfId="11743" xr:uid="{EA6B1DF4-F512-4C63-BDB4-070C9A427067}"/>
    <cellStyle name="20% - Accent5 2 2 2 3 3" xfId="5366" xr:uid="{00000000-0005-0000-0000-00008C020000}"/>
    <cellStyle name="20% - Accent5 2 2 2 3 3 2" xfId="13816" xr:uid="{FDD277C6-AD71-49D7-8052-061FCFEA51AF}"/>
    <cellStyle name="20% - Accent5 2 2 2 3 4" xfId="9598" xr:uid="{7C0A24CF-8660-4758-A07B-12F3875AF93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9E7B6B90-C525-4A4F-B8CB-355FCFB4B890}"/>
    <cellStyle name="20% - Accent5 2 2 2 4 2 3" xfId="12156" xr:uid="{8C7B02F9-D58C-49D0-B90A-DD01C254F41C}"/>
    <cellStyle name="20% - Accent5 2 2 2 4 3" xfId="5779" xr:uid="{00000000-0005-0000-0000-000090020000}"/>
    <cellStyle name="20% - Accent5 2 2 2 4 3 2" xfId="14229" xr:uid="{E5D094A0-DF9D-43AD-A98A-3E07C518D731}"/>
    <cellStyle name="20% - Accent5 2 2 2 4 4" xfId="10011" xr:uid="{F425394C-B097-4C0F-B74F-D91A3F86EC89}"/>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E7B8288F-DEE4-4D0E-97AC-6FD512EAF2EC}"/>
    <cellStyle name="20% - Accent5 2 2 2 5 2 3" xfId="12569" xr:uid="{CCCD1905-898E-425A-9F4D-75609D522109}"/>
    <cellStyle name="20% - Accent5 2 2 2 5 3" xfId="6192" xr:uid="{00000000-0005-0000-0000-000094020000}"/>
    <cellStyle name="20% - Accent5 2 2 2 5 3 2" xfId="14642" xr:uid="{E9D8C061-F1EA-4B3B-8AD8-1FC8DC305FFF}"/>
    <cellStyle name="20% - Accent5 2 2 2 5 4" xfId="10424" xr:uid="{6BABF873-C999-4ECD-9A38-AD073D7D00D0}"/>
    <cellStyle name="20% - Accent5 2 2 2 6" xfId="2299" xr:uid="{00000000-0005-0000-0000-000095020000}"/>
    <cellStyle name="20% - Accent5 2 2 2 6 2" xfId="6605" xr:uid="{00000000-0005-0000-0000-000096020000}"/>
    <cellStyle name="20% - Accent5 2 2 2 6 2 2" xfId="15055" xr:uid="{C50174BB-83BB-4D1B-A3E9-C62E3C5884CE}"/>
    <cellStyle name="20% - Accent5 2 2 2 6 3" xfId="10837" xr:uid="{CCFB7F01-C7C6-480B-8436-71ACA62775C2}"/>
    <cellStyle name="20% - Accent5 2 2 2 7" xfId="4539" xr:uid="{00000000-0005-0000-0000-000097020000}"/>
    <cellStyle name="20% - Accent5 2 2 2 7 2" xfId="12989" xr:uid="{91AC26A9-F4E4-49C2-AFC1-1E6F20A51A9E}"/>
    <cellStyle name="20% - Accent5 2 2 2 8" xfId="8771" xr:uid="{E133B264-CED5-4011-AF48-DDDB3A2FDADF}"/>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79E49969-8747-4D65-A6CE-F0B111EEEE08}"/>
    <cellStyle name="20% - Accent5 2 2 3 2 3" xfId="11329" xr:uid="{A688E35D-BD29-4FAA-AA0F-5C486D5E205F}"/>
    <cellStyle name="20% - Accent5 2 2 3 3" xfId="4952" xr:uid="{00000000-0005-0000-0000-00009B020000}"/>
    <cellStyle name="20% - Accent5 2 2 3 3 2" xfId="13402" xr:uid="{42AF86BE-BDD6-4DE6-B081-674A5A23765D}"/>
    <cellStyle name="20% - Accent5 2 2 3 4" xfId="9184" xr:uid="{762478EB-5F0B-4FD8-AAF0-F33BF4EE6EA9}"/>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B1FD98FF-9352-4929-B7E7-C149764B1193}"/>
    <cellStyle name="20% - Accent5 2 2 4 2 3" xfId="11742" xr:uid="{89023C96-518C-4E13-8EC0-E25A19B5515F}"/>
    <cellStyle name="20% - Accent5 2 2 4 3" xfId="5365" xr:uid="{00000000-0005-0000-0000-00009F020000}"/>
    <cellStyle name="20% - Accent5 2 2 4 3 2" xfId="13815" xr:uid="{CB07CF85-7CD7-47A7-B76E-7950DB0AC939}"/>
    <cellStyle name="20% - Accent5 2 2 4 4" xfId="9597" xr:uid="{D4980E5C-9EA0-475E-8D79-123B3994EAF2}"/>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052FF7E2-68F0-422C-8B07-4CC0E90B8985}"/>
    <cellStyle name="20% - Accent5 2 2 5 2 3" xfId="12155" xr:uid="{2A9D950B-E9AD-49BC-B291-16757D4C07CD}"/>
    <cellStyle name="20% - Accent5 2 2 5 3" xfId="5778" xr:uid="{00000000-0005-0000-0000-0000A3020000}"/>
    <cellStyle name="20% - Accent5 2 2 5 3 2" xfId="14228" xr:uid="{28A60F3D-E296-4B4F-B31B-708D25827394}"/>
    <cellStyle name="20% - Accent5 2 2 5 4" xfId="10010" xr:uid="{66B31AF6-8DC9-4E9D-9D76-7C7E29DA12D2}"/>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1B315860-FE54-474F-8F73-C3D45AC6AF67}"/>
    <cellStyle name="20% - Accent5 2 2 6 2 3" xfId="12568" xr:uid="{A6EB734E-D17E-4BD8-A560-91C96A7E7F9C}"/>
    <cellStyle name="20% - Accent5 2 2 6 3" xfId="6191" xr:uid="{00000000-0005-0000-0000-0000A7020000}"/>
    <cellStyle name="20% - Accent5 2 2 6 3 2" xfId="14641" xr:uid="{B2195F4B-1F22-4B49-9826-6F1F4C9177E6}"/>
    <cellStyle name="20% - Accent5 2 2 6 4" xfId="10423" xr:uid="{3F8DC776-343E-4A73-9D50-F2A373AACAE0}"/>
    <cellStyle name="20% - Accent5 2 2 7" xfId="2298" xr:uid="{00000000-0005-0000-0000-0000A8020000}"/>
    <cellStyle name="20% - Accent5 2 2 7 2" xfId="6604" xr:uid="{00000000-0005-0000-0000-0000A9020000}"/>
    <cellStyle name="20% - Accent5 2 2 7 2 2" xfId="15054" xr:uid="{F746EF50-E6E1-4CAD-A72B-1B482C822964}"/>
    <cellStyle name="20% - Accent5 2 2 7 3" xfId="10836" xr:uid="{325E5398-5933-4C3B-A14E-ABF110835197}"/>
    <cellStyle name="20% - Accent5 2 2 8" xfId="4538" xr:uid="{00000000-0005-0000-0000-0000AA020000}"/>
    <cellStyle name="20% - Accent5 2 2 8 2" xfId="12988" xr:uid="{F402066E-D314-488E-861D-2D0E6618E2FF}"/>
    <cellStyle name="20% - Accent5 2 2 9" xfId="8770" xr:uid="{48AD91D3-87F8-4A98-89A7-A8673C64E2DF}"/>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EF09AB06-1047-4EF8-B734-41FFA7AA0ACE}"/>
    <cellStyle name="20% - Accent5 2 3 2 2 3" xfId="11331" xr:uid="{CB22846E-2406-412F-ACB0-74E67A3AA8E7}"/>
    <cellStyle name="20% - Accent5 2 3 2 3" xfId="4954" xr:uid="{00000000-0005-0000-0000-0000AF020000}"/>
    <cellStyle name="20% - Accent5 2 3 2 3 2" xfId="13404" xr:uid="{0132D55F-27F5-49BD-BCE7-7222B91D5C7D}"/>
    <cellStyle name="20% - Accent5 2 3 2 4" xfId="9186" xr:uid="{6987289E-FB13-4B86-834D-608403B30727}"/>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2A2EA777-B0BF-49FE-BAE7-4B4ECA6DE08A}"/>
    <cellStyle name="20% - Accent5 2 3 3 2 3" xfId="11744" xr:uid="{50FBD346-052D-4358-9CAB-33A66CBC1354}"/>
    <cellStyle name="20% - Accent5 2 3 3 3" xfId="5367" xr:uid="{00000000-0005-0000-0000-0000B3020000}"/>
    <cellStyle name="20% - Accent5 2 3 3 3 2" xfId="13817" xr:uid="{FEF5BA93-AAE3-4538-858F-0F4CA766F81C}"/>
    <cellStyle name="20% - Accent5 2 3 3 4" xfId="9599" xr:uid="{4B3CEBCF-CC9A-408B-9317-8440382F3C13}"/>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711F8475-1D65-4C21-9031-29857AEFFC71}"/>
    <cellStyle name="20% - Accent5 2 3 4 2 3" xfId="12157" xr:uid="{E1C43B32-0AB8-4292-8C86-9C2C25FF8036}"/>
    <cellStyle name="20% - Accent5 2 3 4 3" xfId="5780" xr:uid="{00000000-0005-0000-0000-0000B7020000}"/>
    <cellStyle name="20% - Accent5 2 3 4 3 2" xfId="14230" xr:uid="{A08C00D4-4DE7-46E9-9A80-F4CA00EEBE4B}"/>
    <cellStyle name="20% - Accent5 2 3 4 4" xfId="10012" xr:uid="{F3A4F2FA-0304-4A86-8E00-153E78520FB6}"/>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9AE42F16-C2F0-4C90-B671-2B5B10D997A1}"/>
    <cellStyle name="20% - Accent5 2 3 5 2 3" xfId="12570" xr:uid="{58981B94-E53B-4302-81B4-997FFA61F64D}"/>
    <cellStyle name="20% - Accent5 2 3 5 3" xfId="6193" xr:uid="{00000000-0005-0000-0000-0000BB020000}"/>
    <cellStyle name="20% - Accent5 2 3 5 3 2" xfId="14643" xr:uid="{439AA1B6-1232-48A7-9803-4F2686C85E1F}"/>
    <cellStyle name="20% - Accent5 2 3 5 4" xfId="10425" xr:uid="{6459744E-B323-492C-A85C-516EECCC7CD2}"/>
    <cellStyle name="20% - Accent5 2 3 6" xfId="2300" xr:uid="{00000000-0005-0000-0000-0000BC020000}"/>
    <cellStyle name="20% - Accent5 2 3 6 2" xfId="6606" xr:uid="{00000000-0005-0000-0000-0000BD020000}"/>
    <cellStyle name="20% - Accent5 2 3 6 2 2" xfId="15056" xr:uid="{4D4B6449-39CD-4D1B-A7CB-5FC1F939F6C9}"/>
    <cellStyle name="20% - Accent5 2 3 6 3" xfId="10838" xr:uid="{5402E018-1C77-4FDC-BE83-3E38FBE0D0C0}"/>
    <cellStyle name="20% - Accent5 2 3 7" xfId="4540" xr:uid="{00000000-0005-0000-0000-0000BE020000}"/>
    <cellStyle name="20% - Accent5 2 3 7 2" xfId="12990" xr:uid="{0B58B361-6A5F-44D1-B929-7CC7AAAD27BC}"/>
    <cellStyle name="20% - Accent5 2 3 8" xfId="8772" xr:uid="{BB802ACA-6ADB-4FA5-9BA6-02E6C951B3DA}"/>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C51A50F6-000B-45A3-BAA7-85A405F9659D}"/>
    <cellStyle name="20% - Accent5 2 4 2 3" xfId="11328" xr:uid="{5A67BF55-E283-403E-B79E-7446E694DA0B}"/>
    <cellStyle name="20% - Accent5 2 4 3" xfId="4951" xr:uid="{00000000-0005-0000-0000-0000C2020000}"/>
    <cellStyle name="20% - Accent5 2 4 3 2" xfId="13401" xr:uid="{4F7B06B4-F55E-4200-80F2-EEACC67A52E0}"/>
    <cellStyle name="20% - Accent5 2 4 4" xfId="9183" xr:uid="{B2E843C3-4C09-46E1-853E-303AD2E97FBB}"/>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8E385F97-0D66-452B-92EE-0B22B2816E0F}"/>
    <cellStyle name="20% - Accent5 2 5 2 3" xfId="11741" xr:uid="{4BCD25A0-D968-4B0F-950B-434864E77F31}"/>
    <cellStyle name="20% - Accent5 2 5 3" xfId="5364" xr:uid="{00000000-0005-0000-0000-0000C6020000}"/>
    <cellStyle name="20% - Accent5 2 5 3 2" xfId="13814" xr:uid="{D71EB3B6-E368-428C-898B-E896D0D15C98}"/>
    <cellStyle name="20% - Accent5 2 5 4" xfId="9596" xr:uid="{B8FA6A2E-1B15-48D8-8228-C8796BA87E6D}"/>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57C95934-3D91-4542-9BB2-0ED211A805DC}"/>
    <cellStyle name="20% - Accent5 2 6 2 3" xfId="12154" xr:uid="{695BAE7E-D77C-4179-935B-F568C35E1D31}"/>
    <cellStyle name="20% - Accent5 2 6 3" xfId="5777" xr:uid="{00000000-0005-0000-0000-0000CA020000}"/>
    <cellStyle name="20% - Accent5 2 6 3 2" xfId="14227" xr:uid="{E8A17266-F56D-4F6D-BABB-EE5B3C405ED2}"/>
    <cellStyle name="20% - Accent5 2 6 4" xfId="10009" xr:uid="{8FF377F3-C3B3-4C44-8B79-FC4A8ADCE9B1}"/>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7662061B-F681-42B6-802A-9963B663F9C3}"/>
    <cellStyle name="20% - Accent5 2 7 2 3" xfId="12567" xr:uid="{775D3134-5DEA-4103-ABA3-060EEDEC2A17}"/>
    <cellStyle name="20% - Accent5 2 7 3" xfId="6190" xr:uid="{00000000-0005-0000-0000-0000CE020000}"/>
    <cellStyle name="20% - Accent5 2 7 3 2" xfId="14640" xr:uid="{728CAAA0-1B02-4210-A380-3AD6866ECFA9}"/>
    <cellStyle name="20% - Accent5 2 7 4" xfId="10422" xr:uid="{A2C3F847-5235-4628-841C-6681663CE906}"/>
    <cellStyle name="20% - Accent5 2 8" xfId="2297" xr:uid="{00000000-0005-0000-0000-0000CF020000}"/>
    <cellStyle name="20% - Accent5 2 8 2" xfId="6603" xr:uid="{00000000-0005-0000-0000-0000D0020000}"/>
    <cellStyle name="20% - Accent5 2 8 2 2" xfId="15053" xr:uid="{3B1965A3-AC6D-41BF-9473-39B0BEFA88F8}"/>
    <cellStyle name="20% - Accent5 2 8 3" xfId="10835" xr:uid="{92B9A1D2-3632-4753-98BC-C648E9382D14}"/>
    <cellStyle name="20% - Accent5 2 9" xfId="4537" xr:uid="{00000000-0005-0000-0000-0000D1020000}"/>
    <cellStyle name="20% - Accent5 2 9 2" xfId="12987" xr:uid="{200F43BC-F1D0-4BFF-9C01-939F0C2ABDCB}"/>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5EE651A6-C3E4-4C96-86E4-2564B63902DE}"/>
    <cellStyle name="20% - Accent5 3 2 2 2 3" xfId="11333" xr:uid="{9E1B7EA7-5916-4033-A49D-6CCF0F666796}"/>
    <cellStyle name="20% - Accent5 3 2 2 3" xfId="4956" xr:uid="{00000000-0005-0000-0000-0000D7020000}"/>
    <cellStyle name="20% - Accent5 3 2 2 3 2" xfId="13406" xr:uid="{DD897022-3704-4F39-84E8-408A0D5E9D4C}"/>
    <cellStyle name="20% - Accent5 3 2 2 4" xfId="9188" xr:uid="{25FFE1B3-1E76-4C7D-B51A-C4E2F1DD1588}"/>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24C5B109-FF2E-4947-998F-BAD4352A2C53}"/>
    <cellStyle name="20% - Accent5 3 2 3 2 3" xfId="11746" xr:uid="{38E83D34-FDCD-4AA4-870A-D4D9F7FB2175}"/>
    <cellStyle name="20% - Accent5 3 2 3 3" xfId="5369" xr:uid="{00000000-0005-0000-0000-0000DB020000}"/>
    <cellStyle name="20% - Accent5 3 2 3 3 2" xfId="13819" xr:uid="{59D353DE-409B-48AA-97AC-D049F8612D62}"/>
    <cellStyle name="20% - Accent5 3 2 3 4" xfId="9601" xr:uid="{1AC5E6DA-FB0A-4FA3-8A15-B08D10A99108}"/>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584565D0-A84B-4F51-8899-A4927E4D23B0}"/>
    <cellStyle name="20% - Accent5 3 2 4 2 3" xfId="12159" xr:uid="{ED7998EB-22FD-4979-9C34-BD907C4626E7}"/>
    <cellStyle name="20% - Accent5 3 2 4 3" xfId="5782" xr:uid="{00000000-0005-0000-0000-0000DF020000}"/>
    <cellStyle name="20% - Accent5 3 2 4 3 2" xfId="14232" xr:uid="{B6B76DAA-6637-42F3-BF50-34DEA4A539C6}"/>
    <cellStyle name="20% - Accent5 3 2 4 4" xfId="10014" xr:uid="{67D7874C-E547-4FDE-95DB-3932480B213B}"/>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F6176284-2E84-41A6-88F9-138D6316DC8F}"/>
    <cellStyle name="20% - Accent5 3 2 5 2 3" xfId="12572" xr:uid="{8487E27C-1BB8-4ED9-8706-27CD6ECF077F}"/>
    <cellStyle name="20% - Accent5 3 2 5 3" xfId="6195" xr:uid="{00000000-0005-0000-0000-0000E3020000}"/>
    <cellStyle name="20% - Accent5 3 2 5 3 2" xfId="14645" xr:uid="{E9713FE5-AE4B-45D8-B196-5D75EC64D2D7}"/>
    <cellStyle name="20% - Accent5 3 2 5 4" xfId="10427" xr:uid="{834A293D-9CDB-44E6-8FCE-B7DB83FF3DE8}"/>
    <cellStyle name="20% - Accent5 3 2 6" xfId="2302" xr:uid="{00000000-0005-0000-0000-0000E4020000}"/>
    <cellStyle name="20% - Accent5 3 2 6 2" xfId="6608" xr:uid="{00000000-0005-0000-0000-0000E5020000}"/>
    <cellStyle name="20% - Accent5 3 2 6 2 2" xfId="15058" xr:uid="{B67789DF-77AB-4A2D-A6EC-E313033F4E62}"/>
    <cellStyle name="20% - Accent5 3 2 6 3" xfId="10840" xr:uid="{95314346-6DC1-47C6-8396-07A2F76C600C}"/>
    <cellStyle name="20% - Accent5 3 2 7" xfId="4542" xr:uid="{00000000-0005-0000-0000-0000E6020000}"/>
    <cellStyle name="20% - Accent5 3 2 7 2" xfId="12992" xr:uid="{502903A6-B12E-40CE-B2A4-597C72DC4BAC}"/>
    <cellStyle name="20% - Accent5 3 2 8" xfId="8774" xr:uid="{0833260B-5D60-4087-869C-F2EB0C407878}"/>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50A4889E-E42C-4FC7-986C-898F5D5758D9}"/>
    <cellStyle name="20% - Accent5 3 3 2 3" xfId="11332" xr:uid="{9E258357-1C15-432D-84E1-10D7E19046E0}"/>
    <cellStyle name="20% - Accent5 3 3 3" xfId="4955" xr:uid="{00000000-0005-0000-0000-0000EA020000}"/>
    <cellStyle name="20% - Accent5 3 3 3 2" xfId="13405" xr:uid="{4AE0B867-F308-4570-8826-AEE8374B57B8}"/>
    <cellStyle name="20% - Accent5 3 3 4" xfId="9187" xr:uid="{CC0A9202-4DF4-4DC8-BFE4-AAAD3A05C077}"/>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1B162785-BD70-43E9-A32B-E9A508DC034C}"/>
    <cellStyle name="20% - Accent5 3 4 2 3" xfId="11745" xr:uid="{D46DA18C-4C24-4624-94C4-49C5D5812089}"/>
    <cellStyle name="20% - Accent5 3 4 3" xfId="5368" xr:uid="{00000000-0005-0000-0000-0000EE020000}"/>
    <cellStyle name="20% - Accent5 3 4 3 2" xfId="13818" xr:uid="{1F43B914-1A10-407F-8523-EBBEDE4BAFAF}"/>
    <cellStyle name="20% - Accent5 3 4 4" xfId="9600" xr:uid="{2DB0C046-000F-404F-B143-1F4081DDCD80}"/>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35F2EDA5-8E4B-4197-8234-1A870619F1E5}"/>
    <cellStyle name="20% - Accent5 3 5 2 3" xfId="12158" xr:uid="{2FE2A60D-439A-46CD-BF50-0551B3E8E519}"/>
    <cellStyle name="20% - Accent5 3 5 3" xfId="5781" xr:uid="{00000000-0005-0000-0000-0000F2020000}"/>
    <cellStyle name="20% - Accent5 3 5 3 2" xfId="14231" xr:uid="{83E33560-9736-4AF1-9F0C-B10FFB183D35}"/>
    <cellStyle name="20% - Accent5 3 5 4" xfId="10013" xr:uid="{C3C9E766-FD79-40FD-8EB4-AFDB3BF2D1D3}"/>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E56C6501-3A59-465F-9916-97734EA15237}"/>
    <cellStyle name="20% - Accent5 3 6 2 3" xfId="12571" xr:uid="{44F9017F-AA44-4A54-A1BA-D215E36988CB}"/>
    <cellStyle name="20% - Accent5 3 6 3" xfId="6194" xr:uid="{00000000-0005-0000-0000-0000F6020000}"/>
    <cellStyle name="20% - Accent5 3 6 3 2" xfId="14644" xr:uid="{F7E8463F-F169-4C18-B15D-ECBE193AD42E}"/>
    <cellStyle name="20% - Accent5 3 6 4" xfId="10426" xr:uid="{E9F7E290-A27D-425D-8FD0-05309DAC9166}"/>
    <cellStyle name="20% - Accent5 3 7" xfId="2301" xr:uid="{00000000-0005-0000-0000-0000F7020000}"/>
    <cellStyle name="20% - Accent5 3 7 2" xfId="6607" xr:uid="{00000000-0005-0000-0000-0000F8020000}"/>
    <cellStyle name="20% - Accent5 3 7 2 2" xfId="15057" xr:uid="{68E81BF2-EBDC-4ECB-89B1-43DED3C11E32}"/>
    <cellStyle name="20% - Accent5 3 7 3" xfId="10839" xr:uid="{4FF11F7D-6783-4D28-8D92-6C1438343727}"/>
    <cellStyle name="20% - Accent5 3 8" xfId="4541" xr:uid="{00000000-0005-0000-0000-0000F9020000}"/>
    <cellStyle name="20% - Accent5 3 8 2" xfId="12991" xr:uid="{DC914F02-D77A-497A-B67D-B2FC0C1D8A65}"/>
    <cellStyle name="20% - Accent5 3 9" xfId="8773" xr:uid="{E4EBE26B-FE11-4EEF-B406-128772CB1CC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84E4E2BC-C1CE-4FA7-9FAF-E2DAA9E8FDFA}"/>
    <cellStyle name="20% - Accent5 4 2 2 3" xfId="11334" xr:uid="{41E2E031-6C83-4BA2-90A4-CA90B76EB8BA}"/>
    <cellStyle name="20% - Accent5 4 2 3" xfId="4957" xr:uid="{00000000-0005-0000-0000-0000FE020000}"/>
    <cellStyle name="20% - Accent5 4 2 3 2" xfId="13407" xr:uid="{12859EE7-F012-4310-B818-37331C758B13}"/>
    <cellStyle name="20% - Accent5 4 2 4" xfId="9189" xr:uid="{ADE2789F-4755-4B12-AD24-8179AE9D1954}"/>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996EF59D-926B-42F7-9540-AEEBDA501DAF}"/>
    <cellStyle name="20% - Accent5 4 3 2 3" xfId="11747" xr:uid="{601B8CA4-5B6C-49B9-9007-EA567AC157B3}"/>
    <cellStyle name="20% - Accent5 4 3 3" xfId="5370" xr:uid="{00000000-0005-0000-0000-000002030000}"/>
    <cellStyle name="20% - Accent5 4 3 3 2" xfId="13820" xr:uid="{235EDAE9-6FBA-4F9A-9C3C-BD40A604BA87}"/>
    <cellStyle name="20% - Accent5 4 3 4" xfId="9602" xr:uid="{9FCA337A-CFE0-4D80-B8E8-DF8EB2F557F5}"/>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747626E6-C68A-4330-848E-AB7299145433}"/>
    <cellStyle name="20% - Accent5 4 4 2 3" xfId="12160" xr:uid="{1F32603C-B543-4E72-9195-ADEC71C73BA5}"/>
    <cellStyle name="20% - Accent5 4 4 3" xfId="5783" xr:uid="{00000000-0005-0000-0000-000006030000}"/>
    <cellStyle name="20% - Accent5 4 4 3 2" xfId="14233" xr:uid="{760E5B06-D935-43D3-9C27-DB6D2AFEBDFD}"/>
    <cellStyle name="20% - Accent5 4 4 4" xfId="10015" xr:uid="{F7F45B1C-5EF1-4F68-A5AD-9D1E1152CAB7}"/>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4BF49A36-C14C-4A47-B308-34EFAEE612CD}"/>
    <cellStyle name="20% - Accent5 4 5 2 3" xfId="12573" xr:uid="{0718891F-FFEF-4E31-A62C-01C00A255C23}"/>
    <cellStyle name="20% - Accent5 4 5 3" xfId="6196" xr:uid="{00000000-0005-0000-0000-00000A030000}"/>
    <cellStyle name="20% - Accent5 4 5 3 2" xfId="14646" xr:uid="{0326F281-C29E-481F-8ABE-30F54E0B9C70}"/>
    <cellStyle name="20% - Accent5 4 5 4" xfId="10428" xr:uid="{60759152-D9D0-46AC-83B9-50E6D313E6FE}"/>
    <cellStyle name="20% - Accent5 4 6" xfId="2303" xr:uid="{00000000-0005-0000-0000-00000B030000}"/>
    <cellStyle name="20% - Accent5 4 6 2" xfId="6609" xr:uid="{00000000-0005-0000-0000-00000C030000}"/>
    <cellStyle name="20% - Accent5 4 6 2 2" xfId="15059" xr:uid="{293E65C9-794A-495C-A7A1-101E56383A6F}"/>
    <cellStyle name="20% - Accent5 4 6 3" xfId="10841" xr:uid="{E9F2D2E2-7646-46C8-BD33-AA9EA24F05D9}"/>
    <cellStyle name="20% - Accent5 4 7" xfId="4543" xr:uid="{00000000-0005-0000-0000-00000D030000}"/>
    <cellStyle name="20% - Accent5 4 7 2" xfId="12993" xr:uid="{C3125124-901C-4DDD-B484-26EED32F03D0}"/>
    <cellStyle name="20% - Accent5 4 8" xfId="8775" xr:uid="{4F973F97-5060-4BC8-995A-E7A15BC7AEB2}"/>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5F4B95F6-292A-4012-9F3A-C366BF36A625}"/>
    <cellStyle name="20% - Accent5 5 2 3" xfId="11327" xr:uid="{5ABE8F9D-B325-4C64-8BDC-AD3CE41C1CF3}"/>
    <cellStyle name="20% - Accent5 5 3" xfId="4950" xr:uid="{00000000-0005-0000-0000-000011030000}"/>
    <cellStyle name="20% - Accent5 5 3 2" xfId="13400" xr:uid="{8C837DB5-128E-4241-8493-D9183C44C1B9}"/>
    <cellStyle name="20% - Accent5 5 4" xfId="9182" xr:uid="{6FF5E36B-8B5B-4A35-BB6F-3F68122A5E1D}"/>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F20FA421-65E8-4368-B184-7D568AA0D024}"/>
    <cellStyle name="20% - Accent5 6 2 3" xfId="11740" xr:uid="{5903F306-E99B-4F0E-A2BC-A871C948048B}"/>
    <cellStyle name="20% - Accent5 6 3" xfId="5363" xr:uid="{00000000-0005-0000-0000-000015030000}"/>
    <cellStyle name="20% - Accent5 6 3 2" xfId="13813" xr:uid="{9E50A0A3-6580-47D5-A6D4-B72252435013}"/>
    <cellStyle name="20% - Accent5 6 4" xfId="9595" xr:uid="{4465D63B-9207-438D-8A79-41D131482E4F}"/>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ED1D50E0-23DF-4F4B-9DA3-520D14F1F97F}"/>
    <cellStyle name="20% - Accent5 7 2 3" xfId="12153" xr:uid="{38763B1D-3585-4A53-91DA-25BCC0C83724}"/>
    <cellStyle name="20% - Accent5 7 3" xfId="5776" xr:uid="{00000000-0005-0000-0000-000019030000}"/>
    <cellStyle name="20% - Accent5 7 3 2" xfId="14226" xr:uid="{CCCB25FB-C861-41CC-BF37-F5EC339B3C71}"/>
    <cellStyle name="20% - Accent5 7 4" xfId="10008" xr:uid="{103F154E-7B97-49A3-8BCC-2AF2E1768102}"/>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5A25AE9E-2192-4D58-9CF9-FBA18D5BF614}"/>
    <cellStyle name="20% - Accent5 8 2 3" xfId="12566" xr:uid="{53648A41-263B-4CF1-96AA-ACDFD44AAA11}"/>
    <cellStyle name="20% - Accent5 8 3" xfId="6189" xr:uid="{00000000-0005-0000-0000-00001D030000}"/>
    <cellStyle name="20% - Accent5 8 3 2" xfId="14639" xr:uid="{15C584F4-705A-4D80-B158-D04BB8D8ABB4}"/>
    <cellStyle name="20% - Accent5 8 4" xfId="10421" xr:uid="{0F45173B-4DB1-427C-94E7-5323C9C85E83}"/>
    <cellStyle name="20% - Accent5 9" xfId="2296" xr:uid="{00000000-0005-0000-0000-00001E030000}"/>
    <cellStyle name="20% - Accent5 9 2" xfId="6602" xr:uid="{00000000-0005-0000-0000-00001F030000}"/>
    <cellStyle name="20% - Accent5 9 2 2" xfId="15052" xr:uid="{B3EE2AE8-B2BA-46BC-9743-3EF63DFCA9A0}"/>
    <cellStyle name="20% - Accent5 9 3" xfId="10834" xr:uid="{4BFCDDDD-559A-40A4-AAB4-329B88BAD3CE}"/>
    <cellStyle name="20% - Accent6" xfId="41" builtinId="50" customBuiltin="1"/>
    <cellStyle name="20% - Accent6 10" xfId="4544" xr:uid="{00000000-0005-0000-0000-000021030000}"/>
    <cellStyle name="20% - Accent6 10 2" xfId="12994" xr:uid="{DB73328B-CEC6-481C-BED5-AF7CFEE25B2E}"/>
    <cellStyle name="20% - Accent6 11" xfId="8776" xr:uid="{6A9FDBEA-6D7F-4907-A0F1-3254AE9FD853}"/>
    <cellStyle name="20% - Accent6 2" xfId="42" xr:uid="{00000000-0005-0000-0000-000022030000}"/>
    <cellStyle name="20% - Accent6 2 10" xfId="8777" xr:uid="{631E3EB1-51E0-4DA3-96D3-0CEC455D2CEA}"/>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5D9FA9EF-AA8B-4945-AFBF-BEDDAB65570C}"/>
    <cellStyle name="20% - Accent6 2 2 2 2 2 3" xfId="11338" xr:uid="{30D1C57F-21B9-454F-8080-66BFCA61AB77}"/>
    <cellStyle name="20% - Accent6 2 2 2 2 3" xfId="4961" xr:uid="{00000000-0005-0000-0000-000028030000}"/>
    <cellStyle name="20% - Accent6 2 2 2 2 3 2" xfId="13411" xr:uid="{ACF48AD3-08C2-4716-AFC6-FE10D6CE2692}"/>
    <cellStyle name="20% - Accent6 2 2 2 2 4" xfId="9193" xr:uid="{92AA6583-7337-4687-A94D-C98339A4AFF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A48AA61D-F6AD-49B4-9A1B-52FFF1CC250B}"/>
    <cellStyle name="20% - Accent6 2 2 2 3 2 3" xfId="11751" xr:uid="{09D1A8B3-1002-401D-A10E-ABFA748F442C}"/>
    <cellStyle name="20% - Accent6 2 2 2 3 3" xfId="5374" xr:uid="{00000000-0005-0000-0000-00002C030000}"/>
    <cellStyle name="20% - Accent6 2 2 2 3 3 2" xfId="13824" xr:uid="{DAD8C0F8-1B30-4005-998C-0F21DC73C250}"/>
    <cellStyle name="20% - Accent6 2 2 2 3 4" xfId="9606" xr:uid="{25B723CA-8DC8-4C63-965E-A846F883A618}"/>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AAEE490F-9726-4A81-8F3E-42F1338A888C}"/>
    <cellStyle name="20% - Accent6 2 2 2 4 2 3" xfId="12164" xr:uid="{124E8CF5-555C-4244-9908-8F49A046EC8F}"/>
    <cellStyle name="20% - Accent6 2 2 2 4 3" xfId="5787" xr:uid="{00000000-0005-0000-0000-000030030000}"/>
    <cellStyle name="20% - Accent6 2 2 2 4 3 2" xfId="14237" xr:uid="{616A69FE-55B8-487F-9710-06518EBE2402}"/>
    <cellStyle name="20% - Accent6 2 2 2 4 4" xfId="10019" xr:uid="{BAE89BF1-2563-445F-8B99-B8F5CEC16DB6}"/>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A9D490BB-1484-4EC6-96D4-DF0DE549AA0F}"/>
    <cellStyle name="20% - Accent6 2 2 2 5 2 3" xfId="12577" xr:uid="{0DEDA001-DAB4-42BB-AAF9-315F7664994E}"/>
    <cellStyle name="20% - Accent6 2 2 2 5 3" xfId="6200" xr:uid="{00000000-0005-0000-0000-000034030000}"/>
    <cellStyle name="20% - Accent6 2 2 2 5 3 2" xfId="14650" xr:uid="{A2AE9461-B567-41E8-9800-5956990803BE}"/>
    <cellStyle name="20% - Accent6 2 2 2 5 4" xfId="10432" xr:uid="{3A60CEA8-4338-46DE-86C7-CC885E5C6A80}"/>
    <cellStyle name="20% - Accent6 2 2 2 6" xfId="2307" xr:uid="{00000000-0005-0000-0000-000035030000}"/>
    <cellStyle name="20% - Accent6 2 2 2 6 2" xfId="6613" xr:uid="{00000000-0005-0000-0000-000036030000}"/>
    <cellStyle name="20% - Accent6 2 2 2 6 2 2" xfId="15063" xr:uid="{2576D0CD-33F2-49E2-94FA-53CBBD25B0A4}"/>
    <cellStyle name="20% - Accent6 2 2 2 6 3" xfId="10845" xr:uid="{FBB783DB-4D98-4519-B992-04F42C11066D}"/>
    <cellStyle name="20% - Accent6 2 2 2 7" xfId="4547" xr:uid="{00000000-0005-0000-0000-000037030000}"/>
    <cellStyle name="20% - Accent6 2 2 2 7 2" xfId="12997" xr:uid="{08014FC6-8DEF-4CDD-8029-6775E41DFCBA}"/>
    <cellStyle name="20% - Accent6 2 2 2 8" xfId="8779" xr:uid="{17895B9D-8E49-4828-BD8A-1D5CFB7E40F0}"/>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919A5933-F719-46B6-B1D3-527CE498D832}"/>
    <cellStyle name="20% - Accent6 2 2 3 2 3" xfId="11337" xr:uid="{C3FE1228-6456-4C94-A57C-2D96FE5F43B6}"/>
    <cellStyle name="20% - Accent6 2 2 3 3" xfId="4960" xr:uid="{00000000-0005-0000-0000-00003B030000}"/>
    <cellStyle name="20% - Accent6 2 2 3 3 2" xfId="13410" xr:uid="{00E81F52-3278-4806-95A4-06241EF2A309}"/>
    <cellStyle name="20% - Accent6 2 2 3 4" xfId="9192" xr:uid="{8ECDAA06-DFBB-4928-AA28-72350A55CB49}"/>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75AED7C0-2AA8-49E9-B231-E318960FA04A}"/>
    <cellStyle name="20% - Accent6 2 2 4 2 3" xfId="11750" xr:uid="{8B2C1488-065E-406C-95AC-414C13CA7949}"/>
    <cellStyle name="20% - Accent6 2 2 4 3" xfId="5373" xr:uid="{00000000-0005-0000-0000-00003F030000}"/>
    <cellStyle name="20% - Accent6 2 2 4 3 2" xfId="13823" xr:uid="{2121B6F2-EDD3-47D0-912A-7F140E20ED1B}"/>
    <cellStyle name="20% - Accent6 2 2 4 4" xfId="9605" xr:uid="{6931D975-FC92-48A0-80B7-D354B70991EF}"/>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C11C9D45-D9C0-4F81-81D0-1B4A7A25195D}"/>
    <cellStyle name="20% - Accent6 2 2 5 2 3" xfId="12163" xr:uid="{19667E5A-78C0-441E-BC1D-759BC5476C7E}"/>
    <cellStyle name="20% - Accent6 2 2 5 3" xfId="5786" xr:uid="{00000000-0005-0000-0000-000043030000}"/>
    <cellStyle name="20% - Accent6 2 2 5 3 2" xfId="14236" xr:uid="{2A6E8DFE-BF89-4A06-8758-9F58A3F59164}"/>
    <cellStyle name="20% - Accent6 2 2 5 4" xfId="10018" xr:uid="{8A66E27B-9E44-41AD-A7CC-DB96438424D6}"/>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C95DBBF0-6CD6-41E0-A3AB-EF57984151A6}"/>
    <cellStyle name="20% - Accent6 2 2 6 2 3" xfId="12576" xr:uid="{81D57793-5615-4277-ADBC-56B994B6F937}"/>
    <cellStyle name="20% - Accent6 2 2 6 3" xfId="6199" xr:uid="{00000000-0005-0000-0000-000047030000}"/>
    <cellStyle name="20% - Accent6 2 2 6 3 2" xfId="14649" xr:uid="{C7680A47-A141-497A-BB4E-256CB9FE0A11}"/>
    <cellStyle name="20% - Accent6 2 2 6 4" xfId="10431" xr:uid="{EAE4FF26-A767-4575-AFC3-5173571CCAC3}"/>
    <cellStyle name="20% - Accent6 2 2 7" xfId="2306" xr:uid="{00000000-0005-0000-0000-000048030000}"/>
    <cellStyle name="20% - Accent6 2 2 7 2" xfId="6612" xr:uid="{00000000-0005-0000-0000-000049030000}"/>
    <cellStyle name="20% - Accent6 2 2 7 2 2" xfId="15062" xr:uid="{D4AC06BF-2A06-46E6-B992-800CCC402200}"/>
    <cellStyle name="20% - Accent6 2 2 7 3" xfId="10844" xr:uid="{C9E8F0AF-9867-4828-86FE-2DDF5158328D}"/>
    <cellStyle name="20% - Accent6 2 2 8" xfId="4546" xr:uid="{00000000-0005-0000-0000-00004A030000}"/>
    <cellStyle name="20% - Accent6 2 2 8 2" xfId="12996" xr:uid="{CE86C565-3DA0-4437-856B-2F3FFD288266}"/>
    <cellStyle name="20% - Accent6 2 2 9" xfId="8778" xr:uid="{3AA31F8E-20B8-449A-8491-0CEEB670762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3940CCC7-A882-4A8E-8DA3-C416061D3E4A}"/>
    <cellStyle name="20% - Accent6 2 3 2 2 3" xfId="11339" xr:uid="{D7264F43-1E6D-4CF8-B7CA-A135500251A1}"/>
    <cellStyle name="20% - Accent6 2 3 2 3" xfId="4962" xr:uid="{00000000-0005-0000-0000-00004F030000}"/>
    <cellStyle name="20% - Accent6 2 3 2 3 2" xfId="13412" xr:uid="{ADA30070-BF01-422D-B1F2-940195B2E41B}"/>
    <cellStyle name="20% - Accent6 2 3 2 4" xfId="9194" xr:uid="{B16F09BE-C203-47A6-939E-7A4309663D9A}"/>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B26A07A2-FC5A-4ED9-BFB0-F52476CD9C81}"/>
    <cellStyle name="20% - Accent6 2 3 3 2 3" xfId="11752" xr:uid="{22AA6944-83F1-418D-8C6C-A45C10312882}"/>
    <cellStyle name="20% - Accent6 2 3 3 3" xfId="5375" xr:uid="{00000000-0005-0000-0000-000053030000}"/>
    <cellStyle name="20% - Accent6 2 3 3 3 2" xfId="13825" xr:uid="{62C4EC61-B627-4944-8E06-554662B18663}"/>
    <cellStyle name="20% - Accent6 2 3 3 4" xfId="9607" xr:uid="{1046A466-21BC-4F65-A95C-F2F7849C5D2C}"/>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8886D06C-59B8-4D79-ABFA-6AC89818F1EC}"/>
    <cellStyle name="20% - Accent6 2 3 4 2 3" xfId="12165" xr:uid="{6AE1CEAA-69C4-4DFE-8C18-88F18DDFBCA7}"/>
    <cellStyle name="20% - Accent6 2 3 4 3" xfId="5788" xr:uid="{00000000-0005-0000-0000-000057030000}"/>
    <cellStyle name="20% - Accent6 2 3 4 3 2" xfId="14238" xr:uid="{5F9EBF1B-CDBD-4E9A-8E2A-6F383E8F6498}"/>
    <cellStyle name="20% - Accent6 2 3 4 4" xfId="10020" xr:uid="{9761844C-81DD-4798-8ED7-93FA2E69862F}"/>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F70310B8-78E1-483E-A6BC-6413B15A7742}"/>
    <cellStyle name="20% - Accent6 2 3 5 2 3" xfId="12578" xr:uid="{44E0D4EB-537C-4EC4-BBF7-18DC3FB02067}"/>
    <cellStyle name="20% - Accent6 2 3 5 3" xfId="6201" xr:uid="{00000000-0005-0000-0000-00005B030000}"/>
    <cellStyle name="20% - Accent6 2 3 5 3 2" xfId="14651" xr:uid="{EBE09B57-53A7-4AF9-BC66-EF57C4F8AA7C}"/>
    <cellStyle name="20% - Accent6 2 3 5 4" xfId="10433" xr:uid="{03C88253-53B6-49A7-A9BB-E4D7DCE058B0}"/>
    <cellStyle name="20% - Accent6 2 3 6" xfId="2308" xr:uid="{00000000-0005-0000-0000-00005C030000}"/>
    <cellStyle name="20% - Accent6 2 3 6 2" xfId="6614" xr:uid="{00000000-0005-0000-0000-00005D030000}"/>
    <cellStyle name="20% - Accent6 2 3 6 2 2" xfId="15064" xr:uid="{2A739A81-486B-436C-8D54-96BBB1D08C99}"/>
    <cellStyle name="20% - Accent6 2 3 6 3" xfId="10846" xr:uid="{84A8F9DC-6820-41BD-9587-AD381E621BF0}"/>
    <cellStyle name="20% - Accent6 2 3 7" xfId="4548" xr:uid="{00000000-0005-0000-0000-00005E030000}"/>
    <cellStyle name="20% - Accent6 2 3 7 2" xfId="12998" xr:uid="{BABC5B51-32FA-4B92-BCB2-CCDC61DAD42C}"/>
    <cellStyle name="20% - Accent6 2 3 8" xfId="8780" xr:uid="{46C727C0-B55C-4463-9D30-2853FB02E7A2}"/>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EF1639E6-92A9-4366-B607-7F30B7CC8B12}"/>
    <cellStyle name="20% - Accent6 2 4 2 3" xfId="11336" xr:uid="{27CF8AFD-59F3-4E5D-BAEC-56FE447F49F6}"/>
    <cellStyle name="20% - Accent6 2 4 3" xfId="4959" xr:uid="{00000000-0005-0000-0000-000062030000}"/>
    <cellStyle name="20% - Accent6 2 4 3 2" xfId="13409" xr:uid="{048C9A04-CEDA-432B-AC59-F2D9FC1F6A6E}"/>
    <cellStyle name="20% - Accent6 2 4 4" xfId="9191" xr:uid="{7470265C-DBCB-49A8-9287-25CBF34EEEC7}"/>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BD04E9CF-E54F-45C1-88CA-809E1010C2A3}"/>
    <cellStyle name="20% - Accent6 2 5 2 3" xfId="11749" xr:uid="{9A9CD138-566A-458B-9219-550531619946}"/>
    <cellStyle name="20% - Accent6 2 5 3" xfId="5372" xr:uid="{00000000-0005-0000-0000-000066030000}"/>
    <cellStyle name="20% - Accent6 2 5 3 2" xfId="13822" xr:uid="{66EA0B40-F9FC-4F86-8453-2C122F3F05C3}"/>
    <cellStyle name="20% - Accent6 2 5 4" xfId="9604" xr:uid="{E7CE83C5-D09C-441D-BEC6-48DE5D06CD8C}"/>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0FFE92DB-3481-430B-8403-FAAB8121883D}"/>
    <cellStyle name="20% - Accent6 2 6 2 3" xfId="12162" xr:uid="{C50B3064-E3B0-49A9-AB6D-D7C5AEA0C90D}"/>
    <cellStyle name="20% - Accent6 2 6 3" xfId="5785" xr:uid="{00000000-0005-0000-0000-00006A030000}"/>
    <cellStyle name="20% - Accent6 2 6 3 2" xfId="14235" xr:uid="{416194A7-1617-4387-B49E-B7240ABC6FD8}"/>
    <cellStyle name="20% - Accent6 2 6 4" xfId="10017" xr:uid="{CD38A698-EE05-4674-855F-07006E976949}"/>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B0ADDF27-69C1-4994-9138-150379503104}"/>
    <cellStyle name="20% - Accent6 2 7 2 3" xfId="12575" xr:uid="{A86D2D17-16F3-48D4-82F3-1D7643E3A2E5}"/>
    <cellStyle name="20% - Accent6 2 7 3" xfId="6198" xr:uid="{00000000-0005-0000-0000-00006E030000}"/>
    <cellStyle name="20% - Accent6 2 7 3 2" xfId="14648" xr:uid="{D5A60E2B-7B80-4907-944C-F6B6FC46F5DE}"/>
    <cellStyle name="20% - Accent6 2 7 4" xfId="10430" xr:uid="{9948B803-62B2-4F3A-B357-1DEB1CA41873}"/>
    <cellStyle name="20% - Accent6 2 8" xfId="2305" xr:uid="{00000000-0005-0000-0000-00006F030000}"/>
    <cellStyle name="20% - Accent6 2 8 2" xfId="6611" xr:uid="{00000000-0005-0000-0000-000070030000}"/>
    <cellStyle name="20% - Accent6 2 8 2 2" xfId="15061" xr:uid="{F2B1A3F0-DD0B-43A4-A4D8-91EB1732CF56}"/>
    <cellStyle name="20% - Accent6 2 8 3" xfId="10843" xr:uid="{D928C39E-AB69-460B-B6AF-A695C369B80C}"/>
    <cellStyle name="20% - Accent6 2 9" xfId="4545" xr:uid="{00000000-0005-0000-0000-000071030000}"/>
    <cellStyle name="20% - Accent6 2 9 2" xfId="12995" xr:uid="{C2184286-B420-4E1D-9F7B-E16359E60E3F}"/>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DDD074FC-4214-4D4F-8185-8CC05F95AD89}"/>
    <cellStyle name="20% - Accent6 3 2 2 2 3" xfId="11341" xr:uid="{94920382-39EB-421B-9F04-DD462E5688F6}"/>
    <cellStyle name="20% - Accent6 3 2 2 3" xfId="4964" xr:uid="{00000000-0005-0000-0000-000077030000}"/>
    <cellStyle name="20% - Accent6 3 2 2 3 2" xfId="13414" xr:uid="{012FCB61-DE7C-4BC2-B0F7-F4006A593916}"/>
    <cellStyle name="20% - Accent6 3 2 2 4" xfId="9196" xr:uid="{8D28814B-2BFC-41E8-B1ED-019FF7160BEC}"/>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2117C1D1-447D-4C46-9BDE-3B294CE09EC8}"/>
    <cellStyle name="20% - Accent6 3 2 3 2 3" xfId="11754" xr:uid="{E0128F52-3EFF-443B-936A-FAE3DD21299C}"/>
    <cellStyle name="20% - Accent6 3 2 3 3" xfId="5377" xr:uid="{00000000-0005-0000-0000-00007B030000}"/>
    <cellStyle name="20% - Accent6 3 2 3 3 2" xfId="13827" xr:uid="{12775628-72CF-4D7E-88DE-F6D3BAB00602}"/>
    <cellStyle name="20% - Accent6 3 2 3 4" xfId="9609" xr:uid="{CCE800C7-D62A-4F11-B0BD-15C177BE78B7}"/>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E6EC8F2E-7EA4-48CD-BDBF-C1B7195578EE}"/>
    <cellStyle name="20% - Accent6 3 2 4 2 3" xfId="12167" xr:uid="{67E0F228-EAE3-4A75-9771-68BA6D61A232}"/>
    <cellStyle name="20% - Accent6 3 2 4 3" xfId="5790" xr:uid="{00000000-0005-0000-0000-00007F030000}"/>
    <cellStyle name="20% - Accent6 3 2 4 3 2" xfId="14240" xr:uid="{17C76176-15D5-4FDF-9217-F6E67D348212}"/>
    <cellStyle name="20% - Accent6 3 2 4 4" xfId="10022" xr:uid="{A845ED2C-C51E-4AE8-97FC-A810C7760DCF}"/>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72392F9A-C4AC-4A06-9AA9-8E179B3A6E47}"/>
    <cellStyle name="20% - Accent6 3 2 5 2 3" xfId="12580" xr:uid="{ACB21EA4-0A93-4B77-B885-3CAA2EC7B4A4}"/>
    <cellStyle name="20% - Accent6 3 2 5 3" xfId="6203" xr:uid="{00000000-0005-0000-0000-000083030000}"/>
    <cellStyle name="20% - Accent6 3 2 5 3 2" xfId="14653" xr:uid="{813A9796-786A-44C9-9D28-42E19A6B9E5D}"/>
    <cellStyle name="20% - Accent6 3 2 5 4" xfId="10435" xr:uid="{EC7A71CF-291D-4A47-B6DF-755187F3AEC6}"/>
    <cellStyle name="20% - Accent6 3 2 6" xfId="2310" xr:uid="{00000000-0005-0000-0000-000084030000}"/>
    <cellStyle name="20% - Accent6 3 2 6 2" xfId="6616" xr:uid="{00000000-0005-0000-0000-000085030000}"/>
    <cellStyle name="20% - Accent6 3 2 6 2 2" xfId="15066" xr:uid="{86FC5173-C09E-4B1E-8C89-FC2DBFC2C286}"/>
    <cellStyle name="20% - Accent6 3 2 6 3" xfId="10848" xr:uid="{92BBBD7E-8EE5-4B46-8991-67DA51414FC6}"/>
    <cellStyle name="20% - Accent6 3 2 7" xfId="4550" xr:uid="{00000000-0005-0000-0000-000086030000}"/>
    <cellStyle name="20% - Accent6 3 2 7 2" xfId="13000" xr:uid="{A545871F-3706-4665-8C9C-28C61FE3BE96}"/>
    <cellStyle name="20% - Accent6 3 2 8" xfId="8782" xr:uid="{8154748C-6878-4AEF-BDC1-34C1B776899D}"/>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2010903C-C33A-40E1-9ED0-DE7F45A87ECB}"/>
    <cellStyle name="20% - Accent6 3 3 2 3" xfId="11340" xr:uid="{B6CB95D9-6265-4166-B5AA-9940C8A17F1D}"/>
    <cellStyle name="20% - Accent6 3 3 3" xfId="4963" xr:uid="{00000000-0005-0000-0000-00008A030000}"/>
    <cellStyle name="20% - Accent6 3 3 3 2" xfId="13413" xr:uid="{CEADCDD7-CB5A-4247-B80A-60BD20E8F817}"/>
    <cellStyle name="20% - Accent6 3 3 4" xfId="9195" xr:uid="{96165AF3-FD82-41F5-B9A2-5C6899E35991}"/>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922F8996-A4DC-4EFA-B5BB-47D8400D2594}"/>
    <cellStyle name="20% - Accent6 3 4 2 3" xfId="11753" xr:uid="{C8AB766F-A3A4-4D97-84C9-E6AAE3D60EE9}"/>
    <cellStyle name="20% - Accent6 3 4 3" xfId="5376" xr:uid="{00000000-0005-0000-0000-00008E030000}"/>
    <cellStyle name="20% - Accent6 3 4 3 2" xfId="13826" xr:uid="{1D197716-ACA3-40FB-ACC0-64A2971E793E}"/>
    <cellStyle name="20% - Accent6 3 4 4" xfId="9608" xr:uid="{D15DAC4C-3650-418F-BD98-D3AE4114CCDC}"/>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9F47EAE0-8668-47EF-A469-21A01BE9611F}"/>
    <cellStyle name="20% - Accent6 3 5 2 3" xfId="12166" xr:uid="{C02DB809-4BBE-47BE-A00E-A7056A47A61D}"/>
    <cellStyle name="20% - Accent6 3 5 3" xfId="5789" xr:uid="{00000000-0005-0000-0000-000092030000}"/>
    <cellStyle name="20% - Accent6 3 5 3 2" xfId="14239" xr:uid="{D725A024-50EA-4C91-B21B-FDBB6ADF83D5}"/>
    <cellStyle name="20% - Accent6 3 5 4" xfId="10021" xr:uid="{907CC091-79BC-45B8-81B5-B10FA2C34C46}"/>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2A8E0FD8-107D-468D-9E19-F1673E8D4E2D}"/>
    <cellStyle name="20% - Accent6 3 6 2 3" xfId="12579" xr:uid="{19C8C5BE-A7F4-4B11-B198-A56412CB70D1}"/>
    <cellStyle name="20% - Accent6 3 6 3" xfId="6202" xr:uid="{00000000-0005-0000-0000-000096030000}"/>
    <cellStyle name="20% - Accent6 3 6 3 2" xfId="14652" xr:uid="{39166A1D-D119-4993-8E05-BEABD822479C}"/>
    <cellStyle name="20% - Accent6 3 6 4" xfId="10434" xr:uid="{AF329A9A-E281-4234-BF26-3006D85B5E83}"/>
    <cellStyle name="20% - Accent6 3 7" xfId="2309" xr:uid="{00000000-0005-0000-0000-000097030000}"/>
    <cellStyle name="20% - Accent6 3 7 2" xfId="6615" xr:uid="{00000000-0005-0000-0000-000098030000}"/>
    <cellStyle name="20% - Accent6 3 7 2 2" xfId="15065" xr:uid="{F2F7AEE3-AD16-4A55-A83E-8DF1D808E2B0}"/>
    <cellStyle name="20% - Accent6 3 7 3" xfId="10847" xr:uid="{57C7EEF4-9F80-4F99-819B-51EDC025AE6B}"/>
    <cellStyle name="20% - Accent6 3 8" xfId="4549" xr:uid="{00000000-0005-0000-0000-000099030000}"/>
    <cellStyle name="20% - Accent6 3 8 2" xfId="12999" xr:uid="{D890CE4C-8A55-4AFF-9B62-9D2C8BAA2C29}"/>
    <cellStyle name="20% - Accent6 3 9" xfId="8781" xr:uid="{1B79B2B6-5B1B-4F0C-9A15-7325080FC228}"/>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941685AE-B34A-4D1E-AB2A-09FE83CEED5F}"/>
    <cellStyle name="20% - Accent6 4 2 2 3" xfId="11342" xr:uid="{9EC6A8D5-E360-49AB-AA02-194558BCE500}"/>
    <cellStyle name="20% - Accent6 4 2 3" xfId="4965" xr:uid="{00000000-0005-0000-0000-00009E030000}"/>
    <cellStyle name="20% - Accent6 4 2 3 2" xfId="13415" xr:uid="{792EB7F1-DDFC-4BA1-9C67-F1F85DDC0230}"/>
    <cellStyle name="20% - Accent6 4 2 4" xfId="9197" xr:uid="{D9ECB8EA-BD9C-4D89-9F88-AE0E2E4F1DB6}"/>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0EB05635-2387-43A5-96B5-0DEC6361F562}"/>
    <cellStyle name="20% - Accent6 4 3 2 3" xfId="11755" xr:uid="{24910806-3F61-4864-B7C3-5CF1187ED017}"/>
    <cellStyle name="20% - Accent6 4 3 3" xfId="5378" xr:uid="{00000000-0005-0000-0000-0000A2030000}"/>
    <cellStyle name="20% - Accent6 4 3 3 2" xfId="13828" xr:uid="{FCA10045-B723-46A2-8409-ECC324A33D8B}"/>
    <cellStyle name="20% - Accent6 4 3 4" xfId="9610" xr:uid="{C8A44C73-3F64-4474-948B-640D62E7552A}"/>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1AEAA596-6534-4F1F-B7BD-AE915B17C92E}"/>
    <cellStyle name="20% - Accent6 4 4 2 3" xfId="12168" xr:uid="{EAEEF352-A24D-4961-A61A-048F0674A88D}"/>
    <cellStyle name="20% - Accent6 4 4 3" xfId="5791" xr:uid="{00000000-0005-0000-0000-0000A6030000}"/>
    <cellStyle name="20% - Accent6 4 4 3 2" xfId="14241" xr:uid="{8AF85332-DE7D-4B06-B3BF-11AD2BE03620}"/>
    <cellStyle name="20% - Accent6 4 4 4" xfId="10023" xr:uid="{95E3B5F3-DCB8-434C-8343-38C0BE8B224F}"/>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B4E041DF-F573-48E0-9697-C3E96ABFB283}"/>
    <cellStyle name="20% - Accent6 4 5 2 3" xfId="12581" xr:uid="{F13EFDD2-E9D1-4843-B6A9-D1052E0DBE74}"/>
    <cellStyle name="20% - Accent6 4 5 3" xfId="6204" xr:uid="{00000000-0005-0000-0000-0000AA030000}"/>
    <cellStyle name="20% - Accent6 4 5 3 2" xfId="14654" xr:uid="{D2441347-E9CB-4B4A-902B-8BD276B1EC93}"/>
    <cellStyle name="20% - Accent6 4 5 4" xfId="10436" xr:uid="{1B1A7E0B-2E35-4711-8E6C-AE07C766FCD5}"/>
    <cellStyle name="20% - Accent6 4 6" xfId="2311" xr:uid="{00000000-0005-0000-0000-0000AB030000}"/>
    <cellStyle name="20% - Accent6 4 6 2" xfId="6617" xr:uid="{00000000-0005-0000-0000-0000AC030000}"/>
    <cellStyle name="20% - Accent6 4 6 2 2" xfId="15067" xr:uid="{8E1A0EC7-206D-4F41-B585-80F70AF8D166}"/>
    <cellStyle name="20% - Accent6 4 6 3" xfId="10849" xr:uid="{1555355D-78B8-41CA-90D6-C3C795E3FCF3}"/>
    <cellStyle name="20% - Accent6 4 7" xfId="4551" xr:uid="{00000000-0005-0000-0000-0000AD030000}"/>
    <cellStyle name="20% - Accent6 4 7 2" xfId="13001" xr:uid="{F444AEC7-31CE-4E9E-BC14-40B569275997}"/>
    <cellStyle name="20% - Accent6 4 8" xfId="8783" xr:uid="{68991776-5698-4DEE-BB62-4D22A1872FBA}"/>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B27563B1-24AA-44D6-90C8-477AFE131CF1}"/>
    <cellStyle name="20% - Accent6 5 2 3" xfId="11335" xr:uid="{BF86E135-1AE3-4DE5-B5D3-B9D4EC92CAAF}"/>
    <cellStyle name="20% - Accent6 5 3" xfId="4958" xr:uid="{00000000-0005-0000-0000-0000B1030000}"/>
    <cellStyle name="20% - Accent6 5 3 2" xfId="13408" xr:uid="{CD6AB1A1-D0A3-40BA-BAD4-5B22DCB78BEA}"/>
    <cellStyle name="20% - Accent6 5 4" xfId="9190" xr:uid="{94FB57F9-D7EA-4B2D-92DE-99735FC7EAC9}"/>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60B5CB44-675C-4B15-A9BD-531D4844BACE}"/>
    <cellStyle name="20% - Accent6 6 2 3" xfId="11748" xr:uid="{57F4DD85-597C-430C-B951-8A9E1204CC32}"/>
    <cellStyle name="20% - Accent6 6 3" xfId="5371" xr:uid="{00000000-0005-0000-0000-0000B5030000}"/>
    <cellStyle name="20% - Accent6 6 3 2" xfId="13821" xr:uid="{6720D83B-6F2C-4346-B790-45A781AE23B4}"/>
    <cellStyle name="20% - Accent6 6 4" xfId="9603" xr:uid="{EE7C0238-DF3D-425C-9F7B-B51601331F6B}"/>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1CC06977-22D6-4EDE-8813-1BB4361BD0ED}"/>
    <cellStyle name="20% - Accent6 7 2 3" xfId="12161" xr:uid="{58F97161-EB33-4F87-A2A7-299ACFF32B6D}"/>
    <cellStyle name="20% - Accent6 7 3" xfId="5784" xr:uid="{00000000-0005-0000-0000-0000B9030000}"/>
    <cellStyle name="20% - Accent6 7 3 2" xfId="14234" xr:uid="{BFA25DB6-34A6-4B7F-B94F-2F78E3366192}"/>
    <cellStyle name="20% - Accent6 7 4" xfId="10016" xr:uid="{07C7BDB4-FE5E-4608-809F-4F9C54CBD16B}"/>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A9DDC511-4C9A-447C-867B-8C80F6228734}"/>
    <cellStyle name="20% - Accent6 8 2 3" xfId="12574" xr:uid="{332AD400-F90E-48B5-BA2B-18C6CC9D96CA}"/>
    <cellStyle name="20% - Accent6 8 3" xfId="6197" xr:uid="{00000000-0005-0000-0000-0000BD030000}"/>
    <cellStyle name="20% - Accent6 8 3 2" xfId="14647" xr:uid="{A900569B-DC5F-42FC-B29D-5D9972FDEB39}"/>
    <cellStyle name="20% - Accent6 8 4" xfId="10429" xr:uid="{4B27F3FB-A116-42EA-8FD8-1C81F9C9B57D}"/>
    <cellStyle name="20% - Accent6 9" xfId="2304" xr:uid="{00000000-0005-0000-0000-0000BE030000}"/>
    <cellStyle name="20% - Accent6 9 2" xfId="6610" xr:uid="{00000000-0005-0000-0000-0000BF030000}"/>
    <cellStyle name="20% - Accent6 9 2 2" xfId="15060" xr:uid="{5194894B-DD8B-4F69-AF46-B1C0CACEC5F4}"/>
    <cellStyle name="20% - Accent6 9 3" xfId="10842" xr:uid="{FAB9A177-8E48-480F-870B-2A36F08CF6DB}"/>
    <cellStyle name="40% - Accent1" xfId="49" builtinId="31" customBuiltin="1"/>
    <cellStyle name="40% - Accent1 10" xfId="4552" xr:uid="{00000000-0005-0000-0000-0000C1030000}"/>
    <cellStyle name="40% - Accent1 10 2" xfId="13002" xr:uid="{F535B477-E84A-4B5E-96C9-F9BE0B139B56}"/>
    <cellStyle name="40% - Accent1 11" xfId="8784" xr:uid="{016CD4F9-73FE-472F-BA12-3A995DD7B402}"/>
    <cellStyle name="40% - Accent1 2" xfId="50" xr:uid="{00000000-0005-0000-0000-0000C2030000}"/>
    <cellStyle name="40% - Accent1 2 10" xfId="8785" xr:uid="{A8DF77D3-43D7-4DE5-815E-010D8E5894FD}"/>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C71A1A8E-0BE6-4C78-A642-F32E50BD5EB5}"/>
    <cellStyle name="40% - Accent1 2 2 2 2 2 3" xfId="11346" xr:uid="{9C2CD6B6-8EE9-4987-A1DE-47FACDB00BFC}"/>
    <cellStyle name="40% - Accent1 2 2 2 2 3" xfId="4969" xr:uid="{00000000-0005-0000-0000-0000C8030000}"/>
    <cellStyle name="40% - Accent1 2 2 2 2 3 2" xfId="13419" xr:uid="{DA8A8029-9387-470A-A33C-A1358E5EFD83}"/>
    <cellStyle name="40% - Accent1 2 2 2 2 4" xfId="9201" xr:uid="{A0226081-06CA-44C0-A3A6-3901CC044F06}"/>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8D3F5599-A051-4FB6-A243-DCC544F5972E}"/>
    <cellStyle name="40% - Accent1 2 2 2 3 2 3" xfId="11759" xr:uid="{3D78096C-E11E-47F4-BA1F-D10E8914BDDC}"/>
    <cellStyle name="40% - Accent1 2 2 2 3 3" xfId="5382" xr:uid="{00000000-0005-0000-0000-0000CC030000}"/>
    <cellStyle name="40% - Accent1 2 2 2 3 3 2" xfId="13832" xr:uid="{5983E306-0378-4C4A-A8CC-BB9AB20C3C89}"/>
    <cellStyle name="40% - Accent1 2 2 2 3 4" xfId="9614" xr:uid="{0B1A7E4F-8C84-4358-BBCA-0426D8CF5ADC}"/>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A8EAE524-CD53-41AD-8C5D-1C3B5B07E61E}"/>
    <cellStyle name="40% - Accent1 2 2 2 4 2 3" xfId="12172" xr:uid="{78DCF400-5497-40C8-9EFD-9BA2EC28597E}"/>
    <cellStyle name="40% - Accent1 2 2 2 4 3" xfId="5795" xr:uid="{00000000-0005-0000-0000-0000D0030000}"/>
    <cellStyle name="40% - Accent1 2 2 2 4 3 2" xfId="14245" xr:uid="{C54AA084-C927-4B09-9124-116FCE1BF28C}"/>
    <cellStyle name="40% - Accent1 2 2 2 4 4" xfId="10027" xr:uid="{7D6770C6-F3B5-414A-8161-11776052847A}"/>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B482C037-FC6F-48A0-AC87-DE17713B8D37}"/>
    <cellStyle name="40% - Accent1 2 2 2 5 2 3" xfId="12585" xr:uid="{87D8641F-8C9B-4D70-B9A5-8F2B5638D011}"/>
    <cellStyle name="40% - Accent1 2 2 2 5 3" xfId="6208" xr:uid="{00000000-0005-0000-0000-0000D4030000}"/>
    <cellStyle name="40% - Accent1 2 2 2 5 3 2" xfId="14658" xr:uid="{F6E524BB-E64E-402B-8AA2-A534A54674E4}"/>
    <cellStyle name="40% - Accent1 2 2 2 5 4" xfId="10440" xr:uid="{124A3A3A-077A-4B12-8C68-6F5EBF57B505}"/>
    <cellStyle name="40% - Accent1 2 2 2 6" xfId="2315" xr:uid="{00000000-0005-0000-0000-0000D5030000}"/>
    <cellStyle name="40% - Accent1 2 2 2 6 2" xfId="6621" xr:uid="{00000000-0005-0000-0000-0000D6030000}"/>
    <cellStyle name="40% - Accent1 2 2 2 6 2 2" xfId="15071" xr:uid="{6777E0BE-25A1-4E66-AA57-22108A7CEBB4}"/>
    <cellStyle name="40% - Accent1 2 2 2 6 3" xfId="10853" xr:uid="{42DBDBEA-41F6-4D16-A869-77829BC2CD52}"/>
    <cellStyle name="40% - Accent1 2 2 2 7" xfId="4555" xr:uid="{00000000-0005-0000-0000-0000D7030000}"/>
    <cellStyle name="40% - Accent1 2 2 2 7 2" xfId="13005" xr:uid="{0D96A6B9-9D0A-4EFE-8505-D206E1D36FD6}"/>
    <cellStyle name="40% - Accent1 2 2 2 8" xfId="8787" xr:uid="{33430709-2629-4C81-9AE5-B1F5D94BB154}"/>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B46A2E33-30DD-46AD-BD8B-15BE8C0889E5}"/>
    <cellStyle name="40% - Accent1 2 2 3 2 3" xfId="11345" xr:uid="{0129D8C8-3B8B-49E1-B7C5-5715A0B5C3ED}"/>
    <cellStyle name="40% - Accent1 2 2 3 3" xfId="4968" xr:uid="{00000000-0005-0000-0000-0000DB030000}"/>
    <cellStyle name="40% - Accent1 2 2 3 3 2" xfId="13418" xr:uid="{E7EC181F-D67A-4CAC-ABE7-4BA1015F21D7}"/>
    <cellStyle name="40% - Accent1 2 2 3 4" xfId="9200" xr:uid="{79F374CC-E9DF-444E-8BF9-69B2740F0C8E}"/>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0E63C526-7DC2-4609-A7AA-FFD1A6FD149D}"/>
    <cellStyle name="40% - Accent1 2 2 4 2 3" xfId="11758" xr:uid="{83E84ED7-719B-4904-85A3-4F2C41A8B5CC}"/>
    <cellStyle name="40% - Accent1 2 2 4 3" xfId="5381" xr:uid="{00000000-0005-0000-0000-0000DF030000}"/>
    <cellStyle name="40% - Accent1 2 2 4 3 2" xfId="13831" xr:uid="{17A8FBFE-2AD6-4CCD-B795-A39C5A18AD97}"/>
    <cellStyle name="40% - Accent1 2 2 4 4" xfId="9613" xr:uid="{862FBA5D-7EC2-4ED2-9CAB-52F877A788E2}"/>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0F29920D-39EE-4978-8180-18DB1F36771C}"/>
    <cellStyle name="40% - Accent1 2 2 5 2 3" xfId="12171" xr:uid="{F1BC7F3B-2784-435C-A8F3-4DFEFF2F3AE1}"/>
    <cellStyle name="40% - Accent1 2 2 5 3" xfId="5794" xr:uid="{00000000-0005-0000-0000-0000E3030000}"/>
    <cellStyle name="40% - Accent1 2 2 5 3 2" xfId="14244" xr:uid="{00FADC2B-8F81-4AB9-B566-55B1F08B1968}"/>
    <cellStyle name="40% - Accent1 2 2 5 4" xfId="10026" xr:uid="{F8140257-A225-47A5-9105-6A1771092991}"/>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824E00C4-ACD2-4085-8448-D6EE7A51A05B}"/>
    <cellStyle name="40% - Accent1 2 2 6 2 3" xfId="12584" xr:uid="{1FBCD0BA-A91D-44BC-A667-87710FBDF2AC}"/>
    <cellStyle name="40% - Accent1 2 2 6 3" xfId="6207" xr:uid="{00000000-0005-0000-0000-0000E7030000}"/>
    <cellStyle name="40% - Accent1 2 2 6 3 2" xfId="14657" xr:uid="{AD8E7FE5-D45A-4781-918E-56335E8B7989}"/>
    <cellStyle name="40% - Accent1 2 2 6 4" xfId="10439" xr:uid="{F41AC271-A52B-482F-98D1-38F9C10ED1CD}"/>
    <cellStyle name="40% - Accent1 2 2 7" xfId="2314" xr:uid="{00000000-0005-0000-0000-0000E8030000}"/>
    <cellStyle name="40% - Accent1 2 2 7 2" xfId="6620" xr:uid="{00000000-0005-0000-0000-0000E9030000}"/>
    <cellStyle name="40% - Accent1 2 2 7 2 2" xfId="15070" xr:uid="{981703D4-1DC8-4DF7-8920-58A90DE84D6B}"/>
    <cellStyle name="40% - Accent1 2 2 7 3" xfId="10852" xr:uid="{9E5AD1F2-09DF-45FD-88B0-16CE9E92A6B3}"/>
    <cellStyle name="40% - Accent1 2 2 8" xfId="4554" xr:uid="{00000000-0005-0000-0000-0000EA030000}"/>
    <cellStyle name="40% - Accent1 2 2 8 2" xfId="13004" xr:uid="{5DEDC0A2-5161-4605-932A-C2F72AB548F4}"/>
    <cellStyle name="40% - Accent1 2 2 9" xfId="8786" xr:uid="{87EC7D9E-6DAA-49E4-8614-652C889ECFB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F5463172-F51A-486A-98C0-A834B7B8A24C}"/>
    <cellStyle name="40% - Accent1 2 3 2 2 3" xfId="11347" xr:uid="{7A6BB906-B943-4B5B-930B-08CC87F7A237}"/>
    <cellStyle name="40% - Accent1 2 3 2 3" xfId="4970" xr:uid="{00000000-0005-0000-0000-0000EF030000}"/>
    <cellStyle name="40% - Accent1 2 3 2 3 2" xfId="13420" xr:uid="{B4563767-2399-4354-876A-C1A2F37A3585}"/>
    <cellStyle name="40% - Accent1 2 3 2 4" xfId="9202" xr:uid="{3C9F4CDB-B6DF-41B1-B4F9-610E36979158}"/>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CA59F1D8-0A4A-44AE-BAAE-B6679B8CF4C7}"/>
    <cellStyle name="40% - Accent1 2 3 3 2 3" xfId="11760" xr:uid="{418D933F-B4F0-4F5A-A706-2C38BD645FC4}"/>
    <cellStyle name="40% - Accent1 2 3 3 3" xfId="5383" xr:uid="{00000000-0005-0000-0000-0000F3030000}"/>
    <cellStyle name="40% - Accent1 2 3 3 3 2" xfId="13833" xr:uid="{570C129E-622E-454E-B20E-0AD05927FDC8}"/>
    <cellStyle name="40% - Accent1 2 3 3 4" xfId="9615" xr:uid="{F515E372-2AAD-4E86-AB6F-161CD8077B28}"/>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01555257-4B8D-4892-8CE5-1C4206294177}"/>
    <cellStyle name="40% - Accent1 2 3 4 2 3" xfId="12173" xr:uid="{F21AA6F9-C4D8-4CD6-90F0-077403A534A6}"/>
    <cellStyle name="40% - Accent1 2 3 4 3" xfId="5796" xr:uid="{00000000-0005-0000-0000-0000F7030000}"/>
    <cellStyle name="40% - Accent1 2 3 4 3 2" xfId="14246" xr:uid="{88490AB1-887D-402F-8270-8070DE71C48E}"/>
    <cellStyle name="40% - Accent1 2 3 4 4" xfId="10028" xr:uid="{F3330C3D-3FF7-42AD-BEAF-53728881A020}"/>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6B0CB3E3-73A0-4323-8818-0BF7698BAEF1}"/>
    <cellStyle name="40% - Accent1 2 3 5 2 3" xfId="12586" xr:uid="{A872D778-545C-4CCA-A3FE-5F616864943B}"/>
    <cellStyle name="40% - Accent1 2 3 5 3" xfId="6209" xr:uid="{00000000-0005-0000-0000-0000FB030000}"/>
    <cellStyle name="40% - Accent1 2 3 5 3 2" xfId="14659" xr:uid="{0A59811A-DE02-4C4D-B0AC-13619E4F4F9A}"/>
    <cellStyle name="40% - Accent1 2 3 5 4" xfId="10441" xr:uid="{B2D77C7F-0BBD-416D-8E34-E5F369E8351B}"/>
    <cellStyle name="40% - Accent1 2 3 6" xfId="2316" xr:uid="{00000000-0005-0000-0000-0000FC030000}"/>
    <cellStyle name="40% - Accent1 2 3 6 2" xfId="6622" xr:uid="{00000000-0005-0000-0000-0000FD030000}"/>
    <cellStyle name="40% - Accent1 2 3 6 2 2" xfId="15072" xr:uid="{B795BDF9-4F6F-494A-B30E-71C0A840693A}"/>
    <cellStyle name="40% - Accent1 2 3 6 3" xfId="10854" xr:uid="{012DBF8F-6ED1-4CEC-B5EB-6575572438F3}"/>
    <cellStyle name="40% - Accent1 2 3 7" xfId="4556" xr:uid="{00000000-0005-0000-0000-0000FE030000}"/>
    <cellStyle name="40% - Accent1 2 3 7 2" xfId="13006" xr:uid="{2D3762B5-2E40-4183-966A-D9C863D7000B}"/>
    <cellStyle name="40% - Accent1 2 3 8" xfId="8788" xr:uid="{30A7C132-7349-4ABE-9809-17FEEFB48414}"/>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8DC9D426-CAB4-4BA2-B0E9-367E94AE9FAB}"/>
    <cellStyle name="40% - Accent1 2 4 2 3" xfId="11344" xr:uid="{56D11B96-CB7D-4800-A4B8-7DA4283FF449}"/>
    <cellStyle name="40% - Accent1 2 4 3" xfId="4967" xr:uid="{00000000-0005-0000-0000-000002040000}"/>
    <cellStyle name="40% - Accent1 2 4 3 2" xfId="13417" xr:uid="{A22DBA64-9537-41C2-8E52-B7DEBCA1380D}"/>
    <cellStyle name="40% - Accent1 2 4 4" xfId="9199" xr:uid="{A9FF72D7-2D63-4252-8606-C0A4C2446D39}"/>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89E5DD13-A5D9-4BF7-9829-8AF52B7EFB6E}"/>
    <cellStyle name="40% - Accent1 2 5 2 3" xfId="11757" xr:uid="{907C0BAF-1352-4AC3-908D-EED404C8DCAA}"/>
    <cellStyle name="40% - Accent1 2 5 3" xfId="5380" xr:uid="{00000000-0005-0000-0000-000006040000}"/>
    <cellStyle name="40% - Accent1 2 5 3 2" xfId="13830" xr:uid="{5EF2A254-EF6A-48BB-B5F1-D25592986ED6}"/>
    <cellStyle name="40% - Accent1 2 5 4" xfId="9612" xr:uid="{55DCF428-8C26-4A81-A791-AFB493D1BB6A}"/>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2DE86B83-9BD7-4BB6-B86E-2267C6CD9BAA}"/>
    <cellStyle name="40% - Accent1 2 6 2 3" xfId="12170" xr:uid="{060B770B-33C3-4CAB-BDB8-8874EEFBE9DD}"/>
    <cellStyle name="40% - Accent1 2 6 3" xfId="5793" xr:uid="{00000000-0005-0000-0000-00000A040000}"/>
    <cellStyle name="40% - Accent1 2 6 3 2" xfId="14243" xr:uid="{57A16B5F-0CD5-4286-B5EE-867AAC5385B7}"/>
    <cellStyle name="40% - Accent1 2 6 4" xfId="10025" xr:uid="{CA07AB85-C35A-44D4-9B25-9C6B18B652A3}"/>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5E6CFF3E-9498-4722-9265-4993DA583253}"/>
    <cellStyle name="40% - Accent1 2 7 2 3" xfId="12583" xr:uid="{8C78CD4B-E4DE-4CF8-B4D5-E28F23A23C79}"/>
    <cellStyle name="40% - Accent1 2 7 3" xfId="6206" xr:uid="{00000000-0005-0000-0000-00000E040000}"/>
    <cellStyle name="40% - Accent1 2 7 3 2" xfId="14656" xr:uid="{CDDB5E4D-9D5D-47BB-A9CC-3440A8A7B225}"/>
    <cellStyle name="40% - Accent1 2 7 4" xfId="10438" xr:uid="{D9191B65-AAAF-413B-8681-36A410CD8EE8}"/>
    <cellStyle name="40% - Accent1 2 8" xfId="2313" xr:uid="{00000000-0005-0000-0000-00000F040000}"/>
    <cellStyle name="40% - Accent1 2 8 2" xfId="6619" xr:uid="{00000000-0005-0000-0000-000010040000}"/>
    <cellStyle name="40% - Accent1 2 8 2 2" xfId="15069" xr:uid="{63916EC2-1BE2-43DE-AC4D-F5F29E256D8C}"/>
    <cellStyle name="40% - Accent1 2 8 3" xfId="10851" xr:uid="{8F8DED0F-1267-49FE-B7BF-1DD1DD14C237}"/>
    <cellStyle name="40% - Accent1 2 9" xfId="4553" xr:uid="{00000000-0005-0000-0000-000011040000}"/>
    <cellStyle name="40% - Accent1 2 9 2" xfId="13003" xr:uid="{BE00CB58-914E-49D8-BCC8-FF5C0D3CCA07}"/>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91B8FD58-5E42-482F-B85E-3CBD80B9BEBF}"/>
    <cellStyle name="40% - Accent1 3 2 2 2 3" xfId="11349" xr:uid="{1E80805D-7F0B-437A-93CA-3180FD0D23F8}"/>
    <cellStyle name="40% - Accent1 3 2 2 3" xfId="4972" xr:uid="{00000000-0005-0000-0000-000017040000}"/>
    <cellStyle name="40% - Accent1 3 2 2 3 2" xfId="13422" xr:uid="{C80CA7D2-405A-41DD-B449-D2EE45A92B19}"/>
    <cellStyle name="40% - Accent1 3 2 2 4" xfId="9204" xr:uid="{5CCF8E39-6428-497E-8120-420655E6C44A}"/>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1E4D5D0F-B5EF-46BE-A650-81F34405FEB5}"/>
    <cellStyle name="40% - Accent1 3 2 3 2 3" xfId="11762" xr:uid="{6D3A8D4E-87AC-4B61-9D08-07A002B045F9}"/>
    <cellStyle name="40% - Accent1 3 2 3 3" xfId="5385" xr:uid="{00000000-0005-0000-0000-00001B040000}"/>
    <cellStyle name="40% - Accent1 3 2 3 3 2" xfId="13835" xr:uid="{47FCE83C-473C-4637-8649-7B33EDE047B8}"/>
    <cellStyle name="40% - Accent1 3 2 3 4" xfId="9617" xr:uid="{930F8B84-DF5E-42B7-AD11-E511C5AC040D}"/>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1CDA4335-DBB0-4615-ADFE-23A33B83DCDF}"/>
    <cellStyle name="40% - Accent1 3 2 4 2 3" xfId="12175" xr:uid="{A44A3EE8-23F0-4947-B591-9DE24FBDD9DB}"/>
    <cellStyle name="40% - Accent1 3 2 4 3" xfId="5798" xr:uid="{00000000-0005-0000-0000-00001F040000}"/>
    <cellStyle name="40% - Accent1 3 2 4 3 2" xfId="14248" xr:uid="{BA4D9319-7D4F-4421-8205-0C6E5944867F}"/>
    <cellStyle name="40% - Accent1 3 2 4 4" xfId="10030" xr:uid="{238E1E1E-0A73-4674-906E-E44454A356C8}"/>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97E3DE68-9BDD-42CE-B7C5-E874430657C7}"/>
    <cellStyle name="40% - Accent1 3 2 5 2 3" xfId="12588" xr:uid="{D6570B35-A2BB-4E69-9A34-1DB13722425F}"/>
    <cellStyle name="40% - Accent1 3 2 5 3" xfId="6211" xr:uid="{00000000-0005-0000-0000-000023040000}"/>
    <cellStyle name="40% - Accent1 3 2 5 3 2" xfId="14661" xr:uid="{729E2649-42D9-4A27-B25C-F808D3E13FB2}"/>
    <cellStyle name="40% - Accent1 3 2 5 4" xfId="10443" xr:uid="{7F593B70-FB8A-480E-8EB2-B08E34565251}"/>
    <cellStyle name="40% - Accent1 3 2 6" xfId="2318" xr:uid="{00000000-0005-0000-0000-000024040000}"/>
    <cellStyle name="40% - Accent1 3 2 6 2" xfId="6624" xr:uid="{00000000-0005-0000-0000-000025040000}"/>
    <cellStyle name="40% - Accent1 3 2 6 2 2" xfId="15074" xr:uid="{EAA08804-9C68-494C-982F-F44CBA1D1154}"/>
    <cellStyle name="40% - Accent1 3 2 6 3" xfId="10856" xr:uid="{FEEFE45E-404C-44D3-9B63-CF464EC5C891}"/>
    <cellStyle name="40% - Accent1 3 2 7" xfId="4558" xr:uid="{00000000-0005-0000-0000-000026040000}"/>
    <cellStyle name="40% - Accent1 3 2 7 2" xfId="13008" xr:uid="{22112D00-2E3C-4D53-9AB3-88D9CBB0FF82}"/>
    <cellStyle name="40% - Accent1 3 2 8" xfId="8790" xr:uid="{4C67B686-E562-4962-A9AD-C8D62E23E03A}"/>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1AA57956-2794-44BD-9975-49E1A4C327AE}"/>
    <cellStyle name="40% - Accent1 3 3 2 3" xfId="11348" xr:uid="{F5AF4317-A488-4FE9-9282-540E9D0F32E3}"/>
    <cellStyle name="40% - Accent1 3 3 3" xfId="4971" xr:uid="{00000000-0005-0000-0000-00002A040000}"/>
    <cellStyle name="40% - Accent1 3 3 3 2" xfId="13421" xr:uid="{39721D04-5126-41A5-9E3C-8180FFCCDE9A}"/>
    <cellStyle name="40% - Accent1 3 3 4" xfId="9203" xr:uid="{9F510F83-0739-43E8-A26E-2093F86DF5E7}"/>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9BDCE6A7-3B22-4DF8-9E67-BA90FA5D7819}"/>
    <cellStyle name="40% - Accent1 3 4 2 3" xfId="11761" xr:uid="{69831961-8544-4756-9433-412F38C6F217}"/>
    <cellStyle name="40% - Accent1 3 4 3" xfId="5384" xr:uid="{00000000-0005-0000-0000-00002E040000}"/>
    <cellStyle name="40% - Accent1 3 4 3 2" xfId="13834" xr:uid="{6EBAE2AD-0912-48F6-B560-EE2D60719FF3}"/>
    <cellStyle name="40% - Accent1 3 4 4" xfId="9616" xr:uid="{EA02FAEA-C715-487C-ADC0-B6E395D4B0C4}"/>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C46D940B-8357-4E98-AD6C-F3447D7D7CBC}"/>
    <cellStyle name="40% - Accent1 3 5 2 3" xfId="12174" xr:uid="{EB0BDC95-4C56-42B5-8017-89551C56F371}"/>
    <cellStyle name="40% - Accent1 3 5 3" xfId="5797" xr:uid="{00000000-0005-0000-0000-000032040000}"/>
    <cellStyle name="40% - Accent1 3 5 3 2" xfId="14247" xr:uid="{A83E35CE-B7E0-4EFA-BA76-2AF186CEE75E}"/>
    <cellStyle name="40% - Accent1 3 5 4" xfId="10029" xr:uid="{34F30816-6E05-48EE-AC37-FE623845C508}"/>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9432E857-5AD4-415F-A9B7-A69FC6DFE8A2}"/>
    <cellStyle name="40% - Accent1 3 6 2 3" xfId="12587" xr:uid="{82720221-81D7-40BB-AC0E-39C7DF4B8BF7}"/>
    <cellStyle name="40% - Accent1 3 6 3" xfId="6210" xr:uid="{00000000-0005-0000-0000-000036040000}"/>
    <cellStyle name="40% - Accent1 3 6 3 2" xfId="14660" xr:uid="{98F579FD-2B3D-4CB7-A6A9-14B7DC8C100C}"/>
    <cellStyle name="40% - Accent1 3 6 4" xfId="10442" xr:uid="{5ECD501F-4173-452F-BA38-E099E7302F46}"/>
    <cellStyle name="40% - Accent1 3 7" xfId="2317" xr:uid="{00000000-0005-0000-0000-000037040000}"/>
    <cellStyle name="40% - Accent1 3 7 2" xfId="6623" xr:uid="{00000000-0005-0000-0000-000038040000}"/>
    <cellStyle name="40% - Accent1 3 7 2 2" xfId="15073" xr:uid="{E7129368-A239-453C-A7FD-794865764472}"/>
    <cellStyle name="40% - Accent1 3 7 3" xfId="10855" xr:uid="{C87546F3-C426-4FCB-B0E5-E5E670631C52}"/>
    <cellStyle name="40% - Accent1 3 8" xfId="4557" xr:uid="{00000000-0005-0000-0000-000039040000}"/>
    <cellStyle name="40% - Accent1 3 8 2" xfId="13007" xr:uid="{3B3953B0-1B8D-438B-B3B9-CBB81D54608C}"/>
    <cellStyle name="40% - Accent1 3 9" xfId="8789" xr:uid="{49777347-C546-4AA5-85EC-C5CF83837B0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3AEDA372-5C69-4453-A232-8182DAA3EED0}"/>
    <cellStyle name="40% - Accent1 4 2 2 3" xfId="11350" xr:uid="{1AC8BD3C-43C6-4584-A0FB-FDBA82A52755}"/>
    <cellStyle name="40% - Accent1 4 2 3" xfId="4973" xr:uid="{00000000-0005-0000-0000-00003E040000}"/>
    <cellStyle name="40% - Accent1 4 2 3 2" xfId="13423" xr:uid="{18570CFE-2AAF-40DF-AFE1-F7C9977BE60D}"/>
    <cellStyle name="40% - Accent1 4 2 4" xfId="9205" xr:uid="{9334DC3C-358B-4939-BB27-E4BEE0247C9B}"/>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DBEB2DBC-E452-4037-9969-C8DD5355A718}"/>
    <cellStyle name="40% - Accent1 4 3 2 3" xfId="11763" xr:uid="{CC5EA84E-2AD2-4CF1-B7A6-A1742DE48AC1}"/>
    <cellStyle name="40% - Accent1 4 3 3" xfId="5386" xr:uid="{00000000-0005-0000-0000-000042040000}"/>
    <cellStyle name="40% - Accent1 4 3 3 2" xfId="13836" xr:uid="{685536EC-2DA9-4877-8AB2-527EADD59C37}"/>
    <cellStyle name="40% - Accent1 4 3 4" xfId="9618" xr:uid="{F201CE87-752F-4021-A929-7989A2CE1FE6}"/>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F1F10F2F-CBFB-4FB9-9329-9F4ACE9C57AC}"/>
    <cellStyle name="40% - Accent1 4 4 2 3" xfId="12176" xr:uid="{957D6F47-5DE3-4A5E-88EF-0AB3B7ED3335}"/>
    <cellStyle name="40% - Accent1 4 4 3" xfId="5799" xr:uid="{00000000-0005-0000-0000-000046040000}"/>
    <cellStyle name="40% - Accent1 4 4 3 2" xfId="14249" xr:uid="{AEF5D35A-5742-4FCD-9E72-3998D85E2C03}"/>
    <cellStyle name="40% - Accent1 4 4 4" xfId="10031" xr:uid="{E702D415-737E-448E-8EF6-905FCADF778A}"/>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364C7C70-D03F-413B-9996-7FC2EFAC087D}"/>
    <cellStyle name="40% - Accent1 4 5 2 3" xfId="12589" xr:uid="{A59D3DF5-6579-4411-AAB6-376A6FED784A}"/>
    <cellStyle name="40% - Accent1 4 5 3" xfId="6212" xr:uid="{00000000-0005-0000-0000-00004A040000}"/>
    <cellStyle name="40% - Accent1 4 5 3 2" xfId="14662" xr:uid="{19FCC93B-0B13-4A17-A531-17DC40ECF655}"/>
    <cellStyle name="40% - Accent1 4 5 4" xfId="10444" xr:uid="{E87D0894-785B-4F72-A5A1-53732012F7FA}"/>
    <cellStyle name="40% - Accent1 4 6" xfId="2319" xr:uid="{00000000-0005-0000-0000-00004B040000}"/>
    <cellStyle name="40% - Accent1 4 6 2" xfId="6625" xr:uid="{00000000-0005-0000-0000-00004C040000}"/>
    <cellStyle name="40% - Accent1 4 6 2 2" xfId="15075" xr:uid="{9925C5C5-3251-4127-8AC6-6F606C69F527}"/>
    <cellStyle name="40% - Accent1 4 6 3" xfId="10857" xr:uid="{7BB0E1B7-7DF4-482E-B1A6-79019FEC56FD}"/>
    <cellStyle name="40% - Accent1 4 7" xfId="4559" xr:uid="{00000000-0005-0000-0000-00004D040000}"/>
    <cellStyle name="40% - Accent1 4 7 2" xfId="13009" xr:uid="{427822EA-BDD3-426A-99F1-880FC7BB5F7A}"/>
    <cellStyle name="40% - Accent1 4 8" xfId="8791" xr:uid="{B06C8C0A-5C4C-4433-889E-E909CBED9FC7}"/>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7B4765D7-AE8E-46C0-9FA8-0455156F25E7}"/>
    <cellStyle name="40% - Accent1 5 2 3" xfId="11343" xr:uid="{EFAB61AA-60DB-4E6F-8597-9E130C007AB1}"/>
    <cellStyle name="40% - Accent1 5 3" xfId="4966" xr:uid="{00000000-0005-0000-0000-000051040000}"/>
    <cellStyle name="40% - Accent1 5 3 2" xfId="13416" xr:uid="{6E4127F0-885C-40BE-B849-E3B9BFCAA6BF}"/>
    <cellStyle name="40% - Accent1 5 4" xfId="9198" xr:uid="{C4CF3C58-9509-4957-932B-C63DAD04FF37}"/>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C4FDAB55-0CF2-4F5B-80BD-AE562D923CAF}"/>
    <cellStyle name="40% - Accent1 6 2 3" xfId="11756" xr:uid="{354DA6CC-A2AF-41C9-85D5-64FEA07CC7F0}"/>
    <cellStyle name="40% - Accent1 6 3" xfId="5379" xr:uid="{00000000-0005-0000-0000-000055040000}"/>
    <cellStyle name="40% - Accent1 6 3 2" xfId="13829" xr:uid="{67228491-998F-40D9-B84B-63256C037C99}"/>
    <cellStyle name="40% - Accent1 6 4" xfId="9611" xr:uid="{F11D15E8-BCDD-4B8C-802D-627A9823E255}"/>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857BAC8C-56E7-4664-9FD8-89656BBD3DB3}"/>
    <cellStyle name="40% - Accent1 7 2 3" xfId="12169" xr:uid="{A1972B64-8CF2-4269-81E8-A879FE9E9A9D}"/>
    <cellStyle name="40% - Accent1 7 3" xfId="5792" xr:uid="{00000000-0005-0000-0000-000059040000}"/>
    <cellStyle name="40% - Accent1 7 3 2" xfId="14242" xr:uid="{C8D87617-EE56-4830-B56E-7B9F4E26304B}"/>
    <cellStyle name="40% - Accent1 7 4" xfId="10024" xr:uid="{9743C15E-D5D5-497C-8E07-6388B9CECC2A}"/>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FAFED546-9834-4E3B-AC1F-DE7CE855F58E}"/>
    <cellStyle name="40% - Accent1 8 2 3" xfId="12582" xr:uid="{8D2C4771-B8C4-4860-AD1E-6FAF0BBFB38D}"/>
    <cellStyle name="40% - Accent1 8 3" xfId="6205" xr:uid="{00000000-0005-0000-0000-00005D040000}"/>
    <cellStyle name="40% - Accent1 8 3 2" xfId="14655" xr:uid="{6F5BBA71-74A6-4C3A-995F-33B7B14262E2}"/>
    <cellStyle name="40% - Accent1 8 4" xfId="10437" xr:uid="{11741644-AAA1-4351-986C-A18CE15D97E2}"/>
    <cellStyle name="40% - Accent1 9" xfId="2312" xr:uid="{00000000-0005-0000-0000-00005E040000}"/>
    <cellStyle name="40% - Accent1 9 2" xfId="6618" xr:uid="{00000000-0005-0000-0000-00005F040000}"/>
    <cellStyle name="40% - Accent1 9 2 2" xfId="15068" xr:uid="{4CC06306-09BC-458F-945D-BF93FD34B349}"/>
    <cellStyle name="40% - Accent1 9 3" xfId="10850" xr:uid="{42639BFC-5EC5-47A8-B6DB-9BA5364C369A}"/>
    <cellStyle name="40% - Accent2" xfId="57" builtinId="35" customBuiltin="1"/>
    <cellStyle name="40% - Accent2 10" xfId="4560" xr:uid="{00000000-0005-0000-0000-000061040000}"/>
    <cellStyle name="40% - Accent2 10 2" xfId="13010" xr:uid="{6E411E73-C3B7-4018-847D-146C16CDEA3B}"/>
    <cellStyle name="40% - Accent2 11" xfId="8792" xr:uid="{6B5295C7-2688-41A6-BF4D-F4CE7133CB63}"/>
    <cellStyle name="40% - Accent2 2" xfId="58" xr:uid="{00000000-0005-0000-0000-000062040000}"/>
    <cellStyle name="40% - Accent2 2 10" xfId="8793" xr:uid="{07B4D933-1ECF-4D0D-A0EA-C227CCF667B1}"/>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9FD606C4-B560-4C80-8DA1-254786DB0408}"/>
    <cellStyle name="40% - Accent2 2 2 2 2 2 3" xfId="11354" xr:uid="{1B118546-D6FE-47B9-832A-69D6AA749F84}"/>
    <cellStyle name="40% - Accent2 2 2 2 2 3" xfId="4977" xr:uid="{00000000-0005-0000-0000-000068040000}"/>
    <cellStyle name="40% - Accent2 2 2 2 2 3 2" xfId="13427" xr:uid="{CC342F9E-9FF7-42F4-8ADB-7133810927D4}"/>
    <cellStyle name="40% - Accent2 2 2 2 2 4" xfId="9209" xr:uid="{C41F7CD9-D2E2-4D34-99C2-BBB61EF19226}"/>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A75009AE-6872-47FD-878D-8DA09D8C3769}"/>
    <cellStyle name="40% - Accent2 2 2 2 3 2 3" xfId="11767" xr:uid="{A655EBF3-2E37-48E6-B6A9-CFD24B75A56B}"/>
    <cellStyle name="40% - Accent2 2 2 2 3 3" xfId="5390" xr:uid="{00000000-0005-0000-0000-00006C040000}"/>
    <cellStyle name="40% - Accent2 2 2 2 3 3 2" xfId="13840" xr:uid="{9270A0E2-1554-48D2-8EA0-8398233968FD}"/>
    <cellStyle name="40% - Accent2 2 2 2 3 4" xfId="9622" xr:uid="{78889DAD-71D6-45CF-9DCD-3BA313E74101}"/>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D3179D19-EE0C-4187-A426-1D8D40F893AB}"/>
    <cellStyle name="40% - Accent2 2 2 2 4 2 3" xfId="12180" xr:uid="{132B1DEE-A5BA-4D83-BE90-2B21B14B8235}"/>
    <cellStyle name="40% - Accent2 2 2 2 4 3" xfId="5803" xr:uid="{00000000-0005-0000-0000-000070040000}"/>
    <cellStyle name="40% - Accent2 2 2 2 4 3 2" xfId="14253" xr:uid="{41896515-0E92-4A95-A487-8E74B35BD9AD}"/>
    <cellStyle name="40% - Accent2 2 2 2 4 4" xfId="10035" xr:uid="{DC560B12-8112-4E02-A62F-44D64EEEC8FB}"/>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19E5B609-99FB-49D8-A56F-720859F496DD}"/>
    <cellStyle name="40% - Accent2 2 2 2 5 2 3" xfId="12593" xr:uid="{F36CFA20-D494-4B2B-9BF8-4303616E99F9}"/>
    <cellStyle name="40% - Accent2 2 2 2 5 3" xfId="6216" xr:uid="{00000000-0005-0000-0000-000074040000}"/>
    <cellStyle name="40% - Accent2 2 2 2 5 3 2" xfId="14666" xr:uid="{3AB4B98E-4C49-4C39-8FCC-ECF63EDA9D78}"/>
    <cellStyle name="40% - Accent2 2 2 2 5 4" xfId="10448" xr:uid="{F6C4BBBC-C1C3-4BEC-B0E4-BE0096E8F185}"/>
    <cellStyle name="40% - Accent2 2 2 2 6" xfId="2323" xr:uid="{00000000-0005-0000-0000-000075040000}"/>
    <cellStyle name="40% - Accent2 2 2 2 6 2" xfId="6629" xr:uid="{00000000-0005-0000-0000-000076040000}"/>
    <cellStyle name="40% - Accent2 2 2 2 6 2 2" xfId="15079" xr:uid="{A9E8EACB-8E40-4DFE-A245-392AC9426870}"/>
    <cellStyle name="40% - Accent2 2 2 2 6 3" xfId="10861" xr:uid="{8C10F9F8-6A9B-4AE0-A5E7-12EB33C86E17}"/>
    <cellStyle name="40% - Accent2 2 2 2 7" xfId="4563" xr:uid="{00000000-0005-0000-0000-000077040000}"/>
    <cellStyle name="40% - Accent2 2 2 2 7 2" xfId="13013" xr:uid="{2391A877-5AED-4D63-8CBD-C6512CA5063C}"/>
    <cellStyle name="40% - Accent2 2 2 2 8" xfId="8795" xr:uid="{95A2AD97-8623-4A47-9070-DE6F749A83A1}"/>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B704ABBF-09FA-4268-B50E-6AEC63FF7193}"/>
    <cellStyle name="40% - Accent2 2 2 3 2 3" xfId="11353" xr:uid="{41F3513B-C5AC-4562-A8F4-4E9145EE71A5}"/>
    <cellStyle name="40% - Accent2 2 2 3 3" xfId="4976" xr:uid="{00000000-0005-0000-0000-00007B040000}"/>
    <cellStyle name="40% - Accent2 2 2 3 3 2" xfId="13426" xr:uid="{1B7DE419-638E-497F-B803-337E43899866}"/>
    <cellStyle name="40% - Accent2 2 2 3 4" xfId="9208" xr:uid="{17418D8F-4E92-4AB2-A656-FAC5F32C3F27}"/>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5EADB9D8-912F-4A63-94FA-CD01732A7984}"/>
    <cellStyle name="40% - Accent2 2 2 4 2 3" xfId="11766" xr:uid="{6FAE8FB2-3ED7-48A5-A9A3-4A620511F558}"/>
    <cellStyle name="40% - Accent2 2 2 4 3" xfId="5389" xr:uid="{00000000-0005-0000-0000-00007F040000}"/>
    <cellStyle name="40% - Accent2 2 2 4 3 2" xfId="13839" xr:uid="{BD054E89-4A33-4367-9B42-140F231AB711}"/>
    <cellStyle name="40% - Accent2 2 2 4 4" xfId="9621" xr:uid="{5583E8ED-543A-4CA9-9BA6-B8D914B93963}"/>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4F0D1C7C-DA03-4D80-A0C8-1CE5B02FD918}"/>
    <cellStyle name="40% - Accent2 2 2 5 2 3" xfId="12179" xr:uid="{1D8D9EB4-E08E-4C51-9E5C-D5CE7C568E7B}"/>
    <cellStyle name="40% - Accent2 2 2 5 3" xfId="5802" xr:uid="{00000000-0005-0000-0000-000083040000}"/>
    <cellStyle name="40% - Accent2 2 2 5 3 2" xfId="14252" xr:uid="{8C473D86-6D73-426A-85B8-E658988E09BE}"/>
    <cellStyle name="40% - Accent2 2 2 5 4" xfId="10034" xr:uid="{EF3E4EE0-E31A-4868-AA69-A41244F96B51}"/>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AEEECDD7-E8ED-41F1-A749-0228FE90FB39}"/>
    <cellStyle name="40% - Accent2 2 2 6 2 3" xfId="12592" xr:uid="{F94B6903-C689-4DBB-85B9-22261FA12E2F}"/>
    <cellStyle name="40% - Accent2 2 2 6 3" xfId="6215" xr:uid="{00000000-0005-0000-0000-000087040000}"/>
    <cellStyle name="40% - Accent2 2 2 6 3 2" xfId="14665" xr:uid="{0D875AC0-7071-4750-848D-B984C743D1B9}"/>
    <cellStyle name="40% - Accent2 2 2 6 4" xfId="10447" xr:uid="{31FA5654-78D2-45AF-9F27-C20FC2DD2F2B}"/>
    <cellStyle name="40% - Accent2 2 2 7" xfId="2322" xr:uid="{00000000-0005-0000-0000-000088040000}"/>
    <cellStyle name="40% - Accent2 2 2 7 2" xfId="6628" xr:uid="{00000000-0005-0000-0000-000089040000}"/>
    <cellStyle name="40% - Accent2 2 2 7 2 2" xfId="15078" xr:uid="{6FDBB46E-9526-43E4-B86C-BCA2C0E648C6}"/>
    <cellStyle name="40% - Accent2 2 2 7 3" xfId="10860" xr:uid="{EA4E8C2C-E648-468F-B761-05D0FAC2FA60}"/>
    <cellStyle name="40% - Accent2 2 2 8" xfId="4562" xr:uid="{00000000-0005-0000-0000-00008A040000}"/>
    <cellStyle name="40% - Accent2 2 2 8 2" xfId="13012" xr:uid="{3DCD70AE-8669-4AF9-9815-BE8381B64677}"/>
    <cellStyle name="40% - Accent2 2 2 9" xfId="8794" xr:uid="{2BEECA4C-9AAE-4C55-AFCD-911042D719D5}"/>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6218A7AD-B4DC-49A7-8215-D584013E3CF5}"/>
    <cellStyle name="40% - Accent2 2 3 2 2 3" xfId="11355" xr:uid="{79709740-E1C2-4B5D-8F47-6FFFC6E16E59}"/>
    <cellStyle name="40% - Accent2 2 3 2 3" xfId="4978" xr:uid="{00000000-0005-0000-0000-00008F040000}"/>
    <cellStyle name="40% - Accent2 2 3 2 3 2" xfId="13428" xr:uid="{61A96DD4-6C66-4138-B5D4-92B6DA100F01}"/>
    <cellStyle name="40% - Accent2 2 3 2 4" xfId="9210" xr:uid="{6BD07D0E-43FF-42F7-8101-FD4DB28EFC93}"/>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3415C42A-FC44-426F-9FEC-074FB735DA66}"/>
    <cellStyle name="40% - Accent2 2 3 3 2 3" xfId="11768" xr:uid="{6D5141BD-A837-4BBE-AC08-75B02B197A51}"/>
    <cellStyle name="40% - Accent2 2 3 3 3" xfId="5391" xr:uid="{00000000-0005-0000-0000-000093040000}"/>
    <cellStyle name="40% - Accent2 2 3 3 3 2" xfId="13841" xr:uid="{0F41C7C1-B0BD-4074-85B2-0D001409D01B}"/>
    <cellStyle name="40% - Accent2 2 3 3 4" xfId="9623" xr:uid="{A7DCDE04-8059-4BDE-905E-A48CACB74DAB}"/>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7E1C8CD4-EEDD-407A-A6CE-9B0A0AE6A6C3}"/>
    <cellStyle name="40% - Accent2 2 3 4 2 3" xfId="12181" xr:uid="{A18AD3A4-6F40-411B-90C0-D175288D97D9}"/>
    <cellStyle name="40% - Accent2 2 3 4 3" xfId="5804" xr:uid="{00000000-0005-0000-0000-000097040000}"/>
    <cellStyle name="40% - Accent2 2 3 4 3 2" xfId="14254" xr:uid="{7CF98BB1-AACD-49BE-B14F-7BADC0A57393}"/>
    <cellStyle name="40% - Accent2 2 3 4 4" xfId="10036" xr:uid="{1A8DB651-E3DB-49CA-9B4F-4DE90C4DC67F}"/>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FB6F3193-5375-40B2-B379-CE7CF2984271}"/>
    <cellStyle name="40% - Accent2 2 3 5 2 3" xfId="12594" xr:uid="{D2A59B40-B29E-432A-8182-62190667ADAF}"/>
    <cellStyle name="40% - Accent2 2 3 5 3" xfId="6217" xr:uid="{00000000-0005-0000-0000-00009B040000}"/>
    <cellStyle name="40% - Accent2 2 3 5 3 2" xfId="14667" xr:uid="{83D20B8A-F087-418B-A57C-5CB5D17F978B}"/>
    <cellStyle name="40% - Accent2 2 3 5 4" xfId="10449" xr:uid="{E2077FBA-3899-44FD-BC9A-2811B1625623}"/>
    <cellStyle name="40% - Accent2 2 3 6" xfId="2324" xr:uid="{00000000-0005-0000-0000-00009C040000}"/>
    <cellStyle name="40% - Accent2 2 3 6 2" xfId="6630" xr:uid="{00000000-0005-0000-0000-00009D040000}"/>
    <cellStyle name="40% - Accent2 2 3 6 2 2" xfId="15080" xr:uid="{D41E235B-4666-45D9-B34C-6D070978F366}"/>
    <cellStyle name="40% - Accent2 2 3 6 3" xfId="10862" xr:uid="{63DE98A4-2378-47F2-AA8F-2B577EE1F429}"/>
    <cellStyle name="40% - Accent2 2 3 7" xfId="4564" xr:uid="{00000000-0005-0000-0000-00009E040000}"/>
    <cellStyle name="40% - Accent2 2 3 7 2" xfId="13014" xr:uid="{7684E29D-860A-426F-B992-60CB67C61405}"/>
    <cellStyle name="40% - Accent2 2 3 8" xfId="8796" xr:uid="{FA2FA426-1E29-41FF-A33A-AEF91AA0284D}"/>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D00540D2-C077-42AE-9988-45C4D1006162}"/>
    <cellStyle name="40% - Accent2 2 4 2 3" xfId="11352" xr:uid="{F111AE77-CF04-4DCD-94FA-198559CCF968}"/>
    <cellStyle name="40% - Accent2 2 4 3" xfId="4975" xr:uid="{00000000-0005-0000-0000-0000A2040000}"/>
    <cellStyle name="40% - Accent2 2 4 3 2" xfId="13425" xr:uid="{C7070610-AACC-474C-96E1-6886C6361402}"/>
    <cellStyle name="40% - Accent2 2 4 4" xfId="9207" xr:uid="{1DF7A47E-9B44-418A-8341-8743A40E5E25}"/>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C1DD1B55-F493-44BB-8E91-36DDF33636D4}"/>
    <cellStyle name="40% - Accent2 2 5 2 3" xfId="11765" xr:uid="{9BBF27BF-21E7-4B1E-BE5E-371E540A3CC4}"/>
    <cellStyle name="40% - Accent2 2 5 3" xfId="5388" xr:uid="{00000000-0005-0000-0000-0000A6040000}"/>
    <cellStyle name="40% - Accent2 2 5 3 2" xfId="13838" xr:uid="{3332A7FA-B08B-4B7C-BDB0-127803B843ED}"/>
    <cellStyle name="40% - Accent2 2 5 4" xfId="9620" xr:uid="{85743645-971C-49FC-AECD-B24718023E9C}"/>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9BC917DB-D136-41DE-9E2C-C5AFD6640EAC}"/>
    <cellStyle name="40% - Accent2 2 6 2 3" xfId="12178" xr:uid="{1A6CA804-9C9D-4531-A927-BCF2D37687B9}"/>
    <cellStyle name="40% - Accent2 2 6 3" xfId="5801" xr:uid="{00000000-0005-0000-0000-0000AA040000}"/>
    <cellStyle name="40% - Accent2 2 6 3 2" xfId="14251" xr:uid="{1EEEA975-196F-4B09-9711-8B00D9006A92}"/>
    <cellStyle name="40% - Accent2 2 6 4" xfId="10033" xr:uid="{D7CBC0E5-EB21-4EF9-80B1-994600FBA1EB}"/>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24EFD60F-6C72-4581-8E0D-CC4E2A30DDA7}"/>
    <cellStyle name="40% - Accent2 2 7 2 3" xfId="12591" xr:uid="{14630103-77CC-411C-A4E4-3254C80EF7E5}"/>
    <cellStyle name="40% - Accent2 2 7 3" xfId="6214" xr:uid="{00000000-0005-0000-0000-0000AE040000}"/>
    <cellStyle name="40% - Accent2 2 7 3 2" xfId="14664" xr:uid="{6F6DB418-CC9F-402F-A01B-0073BD290805}"/>
    <cellStyle name="40% - Accent2 2 7 4" xfId="10446" xr:uid="{7986565D-1261-4CAD-A25E-6BB5D59313CF}"/>
    <cellStyle name="40% - Accent2 2 8" xfId="2321" xr:uid="{00000000-0005-0000-0000-0000AF040000}"/>
    <cellStyle name="40% - Accent2 2 8 2" xfId="6627" xr:uid="{00000000-0005-0000-0000-0000B0040000}"/>
    <cellStyle name="40% - Accent2 2 8 2 2" xfId="15077" xr:uid="{5FDE6DD2-0C37-4CCE-9B2C-5738D315B036}"/>
    <cellStyle name="40% - Accent2 2 8 3" xfId="10859" xr:uid="{FD458D33-D63F-4079-BF92-E379ADD525C2}"/>
    <cellStyle name="40% - Accent2 2 9" xfId="4561" xr:uid="{00000000-0005-0000-0000-0000B1040000}"/>
    <cellStyle name="40% - Accent2 2 9 2" xfId="13011" xr:uid="{07A638FD-E51E-4BD5-A3CB-88A5C37E54E8}"/>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20EDD677-79ED-47AC-AC1D-10EF871B287B}"/>
    <cellStyle name="40% - Accent2 3 2 2 2 3" xfId="11357" xr:uid="{1744EC49-48C0-40E4-A38B-4DC45E80BD12}"/>
    <cellStyle name="40% - Accent2 3 2 2 3" xfId="4980" xr:uid="{00000000-0005-0000-0000-0000B7040000}"/>
    <cellStyle name="40% - Accent2 3 2 2 3 2" xfId="13430" xr:uid="{47A208C1-D25E-4497-B25C-514157E5CD79}"/>
    <cellStyle name="40% - Accent2 3 2 2 4" xfId="9212" xr:uid="{4B3B591A-63E3-49EC-B9A2-91AD1DC46030}"/>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925F2B5F-7CD8-4AF1-B954-5EE56D998CF8}"/>
    <cellStyle name="40% - Accent2 3 2 3 2 3" xfId="11770" xr:uid="{56A123B7-8977-457B-B976-74D7BCF08702}"/>
    <cellStyle name="40% - Accent2 3 2 3 3" xfId="5393" xr:uid="{00000000-0005-0000-0000-0000BB040000}"/>
    <cellStyle name="40% - Accent2 3 2 3 3 2" xfId="13843" xr:uid="{ED20C6DC-723F-4C7C-977D-551C948D7832}"/>
    <cellStyle name="40% - Accent2 3 2 3 4" xfId="9625" xr:uid="{A9226B22-1611-44D4-BA62-3AA011B90342}"/>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4FD52F0D-BBD0-4D8A-AB41-9EF618FB419C}"/>
    <cellStyle name="40% - Accent2 3 2 4 2 3" xfId="12183" xr:uid="{4A12D0AA-0E27-44CD-ABB0-1FC19C5CA687}"/>
    <cellStyle name="40% - Accent2 3 2 4 3" xfId="5806" xr:uid="{00000000-0005-0000-0000-0000BF040000}"/>
    <cellStyle name="40% - Accent2 3 2 4 3 2" xfId="14256" xr:uid="{8FF526DA-3318-4706-8C98-97E9965A93AC}"/>
    <cellStyle name="40% - Accent2 3 2 4 4" xfId="10038" xr:uid="{3969148B-7B37-4BD8-8512-ECF511C25422}"/>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CFEEEB5F-1FFB-408E-916E-277E9B291889}"/>
    <cellStyle name="40% - Accent2 3 2 5 2 3" xfId="12596" xr:uid="{52ADC135-AEF7-4F40-B5E0-8A38E9EC044A}"/>
    <cellStyle name="40% - Accent2 3 2 5 3" xfId="6219" xr:uid="{00000000-0005-0000-0000-0000C3040000}"/>
    <cellStyle name="40% - Accent2 3 2 5 3 2" xfId="14669" xr:uid="{5FC0D08A-452A-47D1-8A50-B1E9B49DFF6A}"/>
    <cellStyle name="40% - Accent2 3 2 5 4" xfId="10451" xr:uid="{70623F49-7F6A-46E5-A75F-AAF58FD64F00}"/>
    <cellStyle name="40% - Accent2 3 2 6" xfId="2326" xr:uid="{00000000-0005-0000-0000-0000C4040000}"/>
    <cellStyle name="40% - Accent2 3 2 6 2" xfId="6632" xr:uid="{00000000-0005-0000-0000-0000C5040000}"/>
    <cellStyle name="40% - Accent2 3 2 6 2 2" xfId="15082" xr:uid="{C96FE993-8FC1-49FC-A540-E0E1D5F4E07C}"/>
    <cellStyle name="40% - Accent2 3 2 6 3" xfId="10864" xr:uid="{D0C1941C-79CB-4E4C-9D93-BF30F85706A9}"/>
    <cellStyle name="40% - Accent2 3 2 7" xfId="4566" xr:uid="{00000000-0005-0000-0000-0000C6040000}"/>
    <cellStyle name="40% - Accent2 3 2 7 2" xfId="13016" xr:uid="{AEA2148B-F61D-4056-8913-9E94EB029403}"/>
    <cellStyle name="40% - Accent2 3 2 8" xfId="8798" xr:uid="{9E237F78-F54F-4CF6-B975-04C82E47E06B}"/>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F2FCE228-0E76-44E4-967F-5EECEADDC6D1}"/>
    <cellStyle name="40% - Accent2 3 3 2 3" xfId="11356" xr:uid="{F04812A8-4568-4802-9572-5F3AC9753B24}"/>
    <cellStyle name="40% - Accent2 3 3 3" xfId="4979" xr:uid="{00000000-0005-0000-0000-0000CA040000}"/>
    <cellStyle name="40% - Accent2 3 3 3 2" xfId="13429" xr:uid="{3AB7E337-06AB-4C96-A4D7-F7BAC4B49D6D}"/>
    <cellStyle name="40% - Accent2 3 3 4" xfId="9211" xr:uid="{DF6D9D6B-6FF6-426D-B26A-2AC7C6064585}"/>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F4F09C49-E1E3-4650-88E9-A025554DE247}"/>
    <cellStyle name="40% - Accent2 3 4 2 3" xfId="11769" xr:uid="{BA0C60C4-6A81-4954-923B-7881F4D861C5}"/>
    <cellStyle name="40% - Accent2 3 4 3" xfId="5392" xr:uid="{00000000-0005-0000-0000-0000CE040000}"/>
    <cellStyle name="40% - Accent2 3 4 3 2" xfId="13842" xr:uid="{38426238-7606-42F2-97E3-935D25943567}"/>
    <cellStyle name="40% - Accent2 3 4 4" xfId="9624" xr:uid="{359ED763-5400-44D3-AA9E-22D26317BFD5}"/>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E848441B-C602-4A99-A7C4-F860081ECA3D}"/>
    <cellStyle name="40% - Accent2 3 5 2 3" xfId="12182" xr:uid="{11DADE1B-4698-4338-A962-A2A20946AAAB}"/>
    <cellStyle name="40% - Accent2 3 5 3" xfId="5805" xr:uid="{00000000-0005-0000-0000-0000D2040000}"/>
    <cellStyle name="40% - Accent2 3 5 3 2" xfId="14255" xr:uid="{FED70348-E2A0-45AB-B9C4-5B0F516A8C08}"/>
    <cellStyle name="40% - Accent2 3 5 4" xfId="10037" xr:uid="{1C23AE6A-555D-4624-80F9-3729C4DF5963}"/>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4CFE6B95-4AFA-468E-8C51-7A6A873D4836}"/>
    <cellStyle name="40% - Accent2 3 6 2 3" xfId="12595" xr:uid="{6B12BD8E-F7F1-45CD-8E50-4CB325F72431}"/>
    <cellStyle name="40% - Accent2 3 6 3" xfId="6218" xr:uid="{00000000-0005-0000-0000-0000D6040000}"/>
    <cellStyle name="40% - Accent2 3 6 3 2" xfId="14668" xr:uid="{16A45F80-D68C-49CA-A649-CE82FC504982}"/>
    <cellStyle name="40% - Accent2 3 6 4" xfId="10450" xr:uid="{6150EEA2-236C-4C97-9645-95FEEF869068}"/>
    <cellStyle name="40% - Accent2 3 7" xfId="2325" xr:uid="{00000000-0005-0000-0000-0000D7040000}"/>
    <cellStyle name="40% - Accent2 3 7 2" xfId="6631" xr:uid="{00000000-0005-0000-0000-0000D8040000}"/>
    <cellStyle name="40% - Accent2 3 7 2 2" xfId="15081" xr:uid="{D4E0DC7A-60CD-4C50-970E-9AFF5A132A90}"/>
    <cellStyle name="40% - Accent2 3 7 3" xfId="10863" xr:uid="{7EFF2C79-5C49-441F-A8CB-E43C7C9C4ED3}"/>
    <cellStyle name="40% - Accent2 3 8" xfId="4565" xr:uid="{00000000-0005-0000-0000-0000D9040000}"/>
    <cellStyle name="40% - Accent2 3 8 2" xfId="13015" xr:uid="{7EF90490-D446-4DA6-87D4-F1A1F9E528D7}"/>
    <cellStyle name="40% - Accent2 3 9" xfId="8797" xr:uid="{47C069CA-0131-4A2C-AA13-CEEDCFC3829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CFB17D2B-84D8-4C09-9A7E-9DA41A39A55F}"/>
    <cellStyle name="40% - Accent2 4 2 2 3" xfId="11358" xr:uid="{E0E809B1-5BA6-44F8-A5F7-E11138521CAB}"/>
    <cellStyle name="40% - Accent2 4 2 3" xfId="4981" xr:uid="{00000000-0005-0000-0000-0000DE040000}"/>
    <cellStyle name="40% - Accent2 4 2 3 2" xfId="13431" xr:uid="{8296788C-EFCF-48D5-B6F3-08D4F1AD2F99}"/>
    <cellStyle name="40% - Accent2 4 2 4" xfId="9213" xr:uid="{98760D4E-9B15-43B7-A2E0-485E96CF481B}"/>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2C4818FB-1295-4A33-B8EE-B7E985554E00}"/>
    <cellStyle name="40% - Accent2 4 3 2 3" xfId="11771" xr:uid="{6F8A9FA8-5F2A-47E7-8243-6EE097F4F0FE}"/>
    <cellStyle name="40% - Accent2 4 3 3" xfId="5394" xr:uid="{00000000-0005-0000-0000-0000E2040000}"/>
    <cellStyle name="40% - Accent2 4 3 3 2" xfId="13844" xr:uid="{E2A66FA8-95D7-4EBE-A53E-25C43CF8BA5B}"/>
    <cellStyle name="40% - Accent2 4 3 4" xfId="9626" xr:uid="{01E67D03-6653-438E-8ABB-9DAAABE660AE}"/>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51919C9D-C723-40CD-A430-43F5FD41F19F}"/>
    <cellStyle name="40% - Accent2 4 4 2 3" xfId="12184" xr:uid="{680E1DC0-24DB-4467-89E8-B5E9B4E77FEE}"/>
    <cellStyle name="40% - Accent2 4 4 3" xfId="5807" xr:uid="{00000000-0005-0000-0000-0000E6040000}"/>
    <cellStyle name="40% - Accent2 4 4 3 2" xfId="14257" xr:uid="{B63DFAAF-1DA1-43B0-9160-8D1591D19B31}"/>
    <cellStyle name="40% - Accent2 4 4 4" xfId="10039" xr:uid="{4B3D6B85-C21B-46A5-BEA9-3297BE808B8A}"/>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A4C59A26-A8ED-4A4E-B149-FAA1CAF17A55}"/>
    <cellStyle name="40% - Accent2 4 5 2 3" xfId="12597" xr:uid="{96394471-9D0A-4921-8968-5C6524D7A43B}"/>
    <cellStyle name="40% - Accent2 4 5 3" xfId="6220" xr:uid="{00000000-0005-0000-0000-0000EA040000}"/>
    <cellStyle name="40% - Accent2 4 5 3 2" xfId="14670" xr:uid="{254D1664-C94B-4828-A868-D0006E797458}"/>
    <cellStyle name="40% - Accent2 4 5 4" xfId="10452" xr:uid="{D2FD9DB6-42C9-4005-9609-E605EEC4DD77}"/>
    <cellStyle name="40% - Accent2 4 6" xfId="2327" xr:uid="{00000000-0005-0000-0000-0000EB040000}"/>
    <cellStyle name="40% - Accent2 4 6 2" xfId="6633" xr:uid="{00000000-0005-0000-0000-0000EC040000}"/>
    <cellStyle name="40% - Accent2 4 6 2 2" xfId="15083" xr:uid="{26938F1F-4C96-4A8A-B16D-D17D56E38D5F}"/>
    <cellStyle name="40% - Accent2 4 6 3" xfId="10865" xr:uid="{3B15BA95-52BB-4AB7-A379-EE410519B465}"/>
    <cellStyle name="40% - Accent2 4 7" xfId="4567" xr:uid="{00000000-0005-0000-0000-0000ED040000}"/>
    <cellStyle name="40% - Accent2 4 7 2" xfId="13017" xr:uid="{5E614400-4396-435D-90C4-8009308D40E1}"/>
    <cellStyle name="40% - Accent2 4 8" xfId="8799" xr:uid="{3C83BFD8-427D-4F9D-B92F-67C99FC61FD9}"/>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F80934B2-4EC2-402A-88AB-B4FEB42C60F2}"/>
    <cellStyle name="40% - Accent2 5 2 3" xfId="11351" xr:uid="{DAB8361E-7C12-4531-B021-CD8522EB444E}"/>
    <cellStyle name="40% - Accent2 5 3" xfId="4974" xr:uid="{00000000-0005-0000-0000-0000F1040000}"/>
    <cellStyle name="40% - Accent2 5 3 2" xfId="13424" xr:uid="{D6A762AE-D72B-42B9-9C9C-47366487FD12}"/>
    <cellStyle name="40% - Accent2 5 4" xfId="9206" xr:uid="{1FBA65DF-EFE7-420B-9AFC-2E9947F6B02B}"/>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A350C0E6-8FC8-42FA-9B41-EE42C34DE06D}"/>
    <cellStyle name="40% - Accent2 6 2 3" xfId="11764" xr:uid="{C49F94F8-60B2-43A7-B99C-3DDAC1D0030D}"/>
    <cellStyle name="40% - Accent2 6 3" xfId="5387" xr:uid="{00000000-0005-0000-0000-0000F5040000}"/>
    <cellStyle name="40% - Accent2 6 3 2" xfId="13837" xr:uid="{BB5512B6-9301-4F12-A57B-7DFB2A702B01}"/>
    <cellStyle name="40% - Accent2 6 4" xfId="9619" xr:uid="{FBDD8033-D067-4009-A65A-286A620C0C03}"/>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74A42C60-9B60-4A57-A15E-57D78ED13347}"/>
    <cellStyle name="40% - Accent2 7 2 3" xfId="12177" xr:uid="{4A3F6A86-AFAD-4989-AD19-3D2490B44717}"/>
    <cellStyle name="40% - Accent2 7 3" xfId="5800" xr:uid="{00000000-0005-0000-0000-0000F9040000}"/>
    <cellStyle name="40% - Accent2 7 3 2" xfId="14250" xr:uid="{7BE74F0B-F953-4688-8077-7889A9E222B8}"/>
    <cellStyle name="40% - Accent2 7 4" xfId="10032" xr:uid="{C289BD5F-2CB2-4B85-A941-F9A1DF228E75}"/>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E243B79C-4045-4F7E-A912-E3677D5A086C}"/>
    <cellStyle name="40% - Accent2 8 2 3" xfId="12590" xr:uid="{EC9F540D-4369-43FE-9E44-5DA2A70B39D6}"/>
    <cellStyle name="40% - Accent2 8 3" xfId="6213" xr:uid="{00000000-0005-0000-0000-0000FD040000}"/>
    <cellStyle name="40% - Accent2 8 3 2" xfId="14663" xr:uid="{213FE161-970E-41A7-8922-2B98E867F326}"/>
    <cellStyle name="40% - Accent2 8 4" xfId="10445" xr:uid="{574D2C14-AAE9-4A51-8189-F5EBBBC11CDD}"/>
    <cellStyle name="40% - Accent2 9" xfId="2320" xr:uid="{00000000-0005-0000-0000-0000FE040000}"/>
    <cellStyle name="40% - Accent2 9 2" xfId="6626" xr:uid="{00000000-0005-0000-0000-0000FF040000}"/>
    <cellStyle name="40% - Accent2 9 2 2" xfId="15076" xr:uid="{5B784CB7-3A75-4B4E-B67F-46D9CA74CCD8}"/>
    <cellStyle name="40% - Accent2 9 3" xfId="10858" xr:uid="{2145A41C-74B5-4EA9-B0A2-1BD976AE3B3B}"/>
    <cellStyle name="40% - Accent3" xfId="65" builtinId="39" customBuiltin="1"/>
    <cellStyle name="40% - Accent3 10" xfId="4568" xr:uid="{00000000-0005-0000-0000-000001050000}"/>
    <cellStyle name="40% - Accent3 10 2" xfId="13018" xr:uid="{E9336A61-C40B-4161-8F2C-9C70DD833E97}"/>
    <cellStyle name="40% - Accent3 11" xfId="8800" xr:uid="{13295C28-3E4C-4464-B3CD-60D42B008A89}"/>
    <cellStyle name="40% - Accent3 2" xfId="66" xr:uid="{00000000-0005-0000-0000-000002050000}"/>
    <cellStyle name="40% - Accent3 2 10" xfId="8801" xr:uid="{5D644DCB-88A0-4EA3-B728-ED688B47A1A3}"/>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EAF37ECD-8F4E-4CA2-AA77-E93E0E66F82F}"/>
    <cellStyle name="40% - Accent3 2 2 2 2 2 3" xfId="11362" xr:uid="{548307C1-51B5-4273-9600-4D28470CC12E}"/>
    <cellStyle name="40% - Accent3 2 2 2 2 3" xfId="4985" xr:uid="{00000000-0005-0000-0000-000008050000}"/>
    <cellStyle name="40% - Accent3 2 2 2 2 3 2" xfId="13435" xr:uid="{67947EBC-66ED-451D-AB8D-ECF707845093}"/>
    <cellStyle name="40% - Accent3 2 2 2 2 4" xfId="9217" xr:uid="{FD00AD24-4ADB-4EE8-ADDA-22477C829631}"/>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B4D8CD2F-13D4-49B9-BACA-F58D328374A1}"/>
    <cellStyle name="40% - Accent3 2 2 2 3 2 3" xfId="11775" xr:uid="{9681E8D8-3B4E-47C2-86EF-34127111F31A}"/>
    <cellStyle name="40% - Accent3 2 2 2 3 3" xfId="5398" xr:uid="{00000000-0005-0000-0000-00000C050000}"/>
    <cellStyle name="40% - Accent3 2 2 2 3 3 2" xfId="13848" xr:uid="{9BEBD0E3-F1B8-4D64-B2A4-90CB51EA964F}"/>
    <cellStyle name="40% - Accent3 2 2 2 3 4" xfId="9630" xr:uid="{61CE9E6B-18E9-4498-AC89-C755167E27BB}"/>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AF8A8DE3-F9B0-493C-AC47-24865F7F91C7}"/>
    <cellStyle name="40% - Accent3 2 2 2 4 2 3" xfId="12188" xr:uid="{D8F27C7B-82E4-415A-988E-7006F9CEAD5E}"/>
    <cellStyle name="40% - Accent3 2 2 2 4 3" xfId="5811" xr:uid="{00000000-0005-0000-0000-000010050000}"/>
    <cellStyle name="40% - Accent3 2 2 2 4 3 2" xfId="14261" xr:uid="{E4ED38B5-B26F-42D9-ADF4-3905FE37F916}"/>
    <cellStyle name="40% - Accent3 2 2 2 4 4" xfId="10043" xr:uid="{13753B96-82B5-4A25-B742-913393327D7F}"/>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C0AD755B-19F7-47BF-9815-DBE4699F704C}"/>
    <cellStyle name="40% - Accent3 2 2 2 5 2 3" xfId="12601" xr:uid="{C6E5A298-1038-414D-B44E-40ACD5C63400}"/>
    <cellStyle name="40% - Accent3 2 2 2 5 3" xfId="6224" xr:uid="{00000000-0005-0000-0000-000014050000}"/>
    <cellStyle name="40% - Accent3 2 2 2 5 3 2" xfId="14674" xr:uid="{E8705457-CFDE-4036-8DB5-58B28FB44711}"/>
    <cellStyle name="40% - Accent3 2 2 2 5 4" xfId="10456" xr:uid="{0EB57691-358F-4B05-9BC9-807859FEAEC1}"/>
    <cellStyle name="40% - Accent3 2 2 2 6" xfId="2331" xr:uid="{00000000-0005-0000-0000-000015050000}"/>
    <cellStyle name="40% - Accent3 2 2 2 6 2" xfId="6637" xr:uid="{00000000-0005-0000-0000-000016050000}"/>
    <cellStyle name="40% - Accent3 2 2 2 6 2 2" xfId="15087" xr:uid="{398B0DB8-6B71-4014-A444-0FBCAC1457D7}"/>
    <cellStyle name="40% - Accent3 2 2 2 6 3" xfId="10869" xr:uid="{B08898F3-D026-435A-BBFE-13C5BCC8FC57}"/>
    <cellStyle name="40% - Accent3 2 2 2 7" xfId="4571" xr:uid="{00000000-0005-0000-0000-000017050000}"/>
    <cellStyle name="40% - Accent3 2 2 2 7 2" xfId="13021" xr:uid="{C3973805-FBBA-463D-A4B4-86C1BBC3E515}"/>
    <cellStyle name="40% - Accent3 2 2 2 8" xfId="8803" xr:uid="{43EB1733-20E8-41B9-84E0-42089520D96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0D6FF85A-E7D8-4D84-9759-88A077380EF4}"/>
    <cellStyle name="40% - Accent3 2 2 3 2 3" xfId="11361" xr:uid="{5457A6FD-9A9C-45BD-99B5-058BC15DA80D}"/>
    <cellStyle name="40% - Accent3 2 2 3 3" xfId="4984" xr:uid="{00000000-0005-0000-0000-00001B050000}"/>
    <cellStyle name="40% - Accent3 2 2 3 3 2" xfId="13434" xr:uid="{14572DB3-3DED-485A-B970-0F39B85A72A8}"/>
    <cellStyle name="40% - Accent3 2 2 3 4" xfId="9216" xr:uid="{EC931291-3A92-4D62-9638-8D3A5C1429F3}"/>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BAF4CFF9-C9F4-44E3-B6C4-592CAF1E362A}"/>
    <cellStyle name="40% - Accent3 2 2 4 2 3" xfId="11774" xr:uid="{BA1741FD-2802-4B08-84DD-22701C58E9CD}"/>
    <cellStyle name="40% - Accent3 2 2 4 3" xfId="5397" xr:uid="{00000000-0005-0000-0000-00001F050000}"/>
    <cellStyle name="40% - Accent3 2 2 4 3 2" xfId="13847" xr:uid="{723ACCCE-4F36-4391-B3DC-0FB81CD9C9DB}"/>
    <cellStyle name="40% - Accent3 2 2 4 4" xfId="9629" xr:uid="{F4826B5C-A2E1-4B51-86D1-89E25A0BDE05}"/>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C89CF508-0D80-43DC-A9F9-1A2185C33147}"/>
    <cellStyle name="40% - Accent3 2 2 5 2 3" xfId="12187" xr:uid="{EB3C834F-A68F-44F3-903B-DF733A19FA88}"/>
    <cellStyle name="40% - Accent3 2 2 5 3" xfId="5810" xr:uid="{00000000-0005-0000-0000-000023050000}"/>
    <cellStyle name="40% - Accent3 2 2 5 3 2" xfId="14260" xr:uid="{3D4C57A9-867A-496B-91A5-5C9D5E9B6A91}"/>
    <cellStyle name="40% - Accent3 2 2 5 4" xfId="10042" xr:uid="{7D7C1896-AE88-4A73-AE5D-ACE271577842}"/>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CAEA52BF-EC1D-4182-8612-6ED04C184084}"/>
    <cellStyle name="40% - Accent3 2 2 6 2 3" xfId="12600" xr:uid="{54B98D99-0B3A-4280-9A1B-936B6FF77CAF}"/>
    <cellStyle name="40% - Accent3 2 2 6 3" xfId="6223" xr:uid="{00000000-0005-0000-0000-000027050000}"/>
    <cellStyle name="40% - Accent3 2 2 6 3 2" xfId="14673" xr:uid="{0E780AE2-5632-4C21-BBAD-0DA74F0C7107}"/>
    <cellStyle name="40% - Accent3 2 2 6 4" xfId="10455" xr:uid="{2E779369-8A23-46A7-83E8-8722E35FCD16}"/>
    <cellStyle name="40% - Accent3 2 2 7" xfId="2330" xr:uid="{00000000-0005-0000-0000-000028050000}"/>
    <cellStyle name="40% - Accent3 2 2 7 2" xfId="6636" xr:uid="{00000000-0005-0000-0000-000029050000}"/>
    <cellStyle name="40% - Accent3 2 2 7 2 2" xfId="15086" xr:uid="{76C91C73-54BD-4EC2-AE6D-AD82052F5DE5}"/>
    <cellStyle name="40% - Accent3 2 2 7 3" xfId="10868" xr:uid="{D06448EA-1A43-4607-AFC6-30BA23306ADB}"/>
    <cellStyle name="40% - Accent3 2 2 8" xfId="4570" xr:uid="{00000000-0005-0000-0000-00002A050000}"/>
    <cellStyle name="40% - Accent3 2 2 8 2" xfId="13020" xr:uid="{A7D9916B-5168-4194-BBC9-469D2A75931C}"/>
    <cellStyle name="40% - Accent3 2 2 9" xfId="8802" xr:uid="{F4C94578-F99C-4EAE-AB71-77790A9B57E1}"/>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086B24FA-559F-46F5-AE1E-E78A115D4A6E}"/>
    <cellStyle name="40% - Accent3 2 3 2 2 3" xfId="11363" xr:uid="{CA965D4D-765D-4CEF-8FD8-C05981D1C26C}"/>
    <cellStyle name="40% - Accent3 2 3 2 3" xfId="4986" xr:uid="{00000000-0005-0000-0000-00002F050000}"/>
    <cellStyle name="40% - Accent3 2 3 2 3 2" xfId="13436" xr:uid="{35B3E578-F192-4503-8EB9-BB4BB61E584C}"/>
    <cellStyle name="40% - Accent3 2 3 2 4" xfId="9218" xr:uid="{CF3F597A-553F-4AB7-98C3-6AFFE49B4A0D}"/>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EC3C7A3A-B366-493C-BC3B-C52DF23C8CB8}"/>
    <cellStyle name="40% - Accent3 2 3 3 2 3" xfId="11776" xr:uid="{2FD15200-7648-4ACA-9D69-4326DC17D9E9}"/>
    <cellStyle name="40% - Accent3 2 3 3 3" xfId="5399" xr:uid="{00000000-0005-0000-0000-000033050000}"/>
    <cellStyle name="40% - Accent3 2 3 3 3 2" xfId="13849" xr:uid="{99D650B2-4A00-4957-9A67-8FAC5AC5B1C8}"/>
    <cellStyle name="40% - Accent3 2 3 3 4" xfId="9631" xr:uid="{6B74A894-89DA-453D-B26F-34EDA448CF2D}"/>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AA5CB042-F91B-4798-A236-AE92CB59C691}"/>
    <cellStyle name="40% - Accent3 2 3 4 2 3" xfId="12189" xr:uid="{098D357C-EB7D-4CB9-BE23-E3F122BB685D}"/>
    <cellStyle name="40% - Accent3 2 3 4 3" xfId="5812" xr:uid="{00000000-0005-0000-0000-000037050000}"/>
    <cellStyle name="40% - Accent3 2 3 4 3 2" xfId="14262" xr:uid="{04043C52-E896-462E-8283-0E3A6D46662A}"/>
    <cellStyle name="40% - Accent3 2 3 4 4" xfId="10044" xr:uid="{13B80CBB-9DF1-4F2E-9938-CE66635B7B86}"/>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7A89F0BB-DC8A-4E17-9DBB-DF3036B02226}"/>
    <cellStyle name="40% - Accent3 2 3 5 2 3" xfId="12602" xr:uid="{F4AD475A-CF05-4142-8630-8AA77CC2A8AE}"/>
    <cellStyle name="40% - Accent3 2 3 5 3" xfId="6225" xr:uid="{00000000-0005-0000-0000-00003B050000}"/>
    <cellStyle name="40% - Accent3 2 3 5 3 2" xfId="14675" xr:uid="{A5035CE4-1D74-4D2D-965A-070CE01E5D29}"/>
    <cellStyle name="40% - Accent3 2 3 5 4" xfId="10457" xr:uid="{2F5D54E1-F14B-4402-B4A3-2ACB9465E34C}"/>
    <cellStyle name="40% - Accent3 2 3 6" xfId="2332" xr:uid="{00000000-0005-0000-0000-00003C050000}"/>
    <cellStyle name="40% - Accent3 2 3 6 2" xfId="6638" xr:uid="{00000000-0005-0000-0000-00003D050000}"/>
    <cellStyle name="40% - Accent3 2 3 6 2 2" xfId="15088" xr:uid="{B489212F-011E-4D09-BB72-FDD6BFBBDF4C}"/>
    <cellStyle name="40% - Accent3 2 3 6 3" xfId="10870" xr:uid="{88CA2310-6924-4572-B08B-44643F1EBD0A}"/>
    <cellStyle name="40% - Accent3 2 3 7" xfId="4572" xr:uid="{00000000-0005-0000-0000-00003E050000}"/>
    <cellStyle name="40% - Accent3 2 3 7 2" xfId="13022" xr:uid="{A70872B3-055B-410F-B8D4-0B3B1DE84FB9}"/>
    <cellStyle name="40% - Accent3 2 3 8" xfId="8804" xr:uid="{726CD585-5CBB-470D-9ABA-0A40705E8616}"/>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AC2E29DE-B873-4A24-B016-71D63751DD82}"/>
    <cellStyle name="40% - Accent3 2 4 2 3" xfId="11360" xr:uid="{5297EBDA-E2C5-4318-A47F-34C51CDD15B9}"/>
    <cellStyle name="40% - Accent3 2 4 3" xfId="4983" xr:uid="{00000000-0005-0000-0000-000042050000}"/>
    <cellStyle name="40% - Accent3 2 4 3 2" xfId="13433" xr:uid="{EEC15909-EC6D-4AA4-95B2-E29812F1309B}"/>
    <cellStyle name="40% - Accent3 2 4 4" xfId="9215" xr:uid="{E36583A9-DDCD-401A-9A22-0C48DAE1B852}"/>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E9B84CB7-BB8B-457B-836F-483208DDFC7D}"/>
    <cellStyle name="40% - Accent3 2 5 2 3" xfId="11773" xr:uid="{B3EEADAB-C229-4288-BF7C-030ED20B591D}"/>
    <cellStyle name="40% - Accent3 2 5 3" xfId="5396" xr:uid="{00000000-0005-0000-0000-000046050000}"/>
    <cellStyle name="40% - Accent3 2 5 3 2" xfId="13846" xr:uid="{386953A7-8CC9-49D9-BDF9-566CCF817321}"/>
    <cellStyle name="40% - Accent3 2 5 4" xfId="9628" xr:uid="{2185DBEA-C18A-4661-85E5-5984CE532E81}"/>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90EA34B9-887A-4443-A7BE-D042B96F096B}"/>
    <cellStyle name="40% - Accent3 2 6 2 3" xfId="12186" xr:uid="{42C86CEF-29AE-4A19-B370-C2E78300AA42}"/>
    <cellStyle name="40% - Accent3 2 6 3" xfId="5809" xr:uid="{00000000-0005-0000-0000-00004A050000}"/>
    <cellStyle name="40% - Accent3 2 6 3 2" xfId="14259" xr:uid="{703F329E-EB23-40A1-9FD3-C476E5F965C5}"/>
    <cellStyle name="40% - Accent3 2 6 4" xfId="10041" xr:uid="{5EC2BC03-28F5-4820-AD69-B950D883EA1F}"/>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71203223-643B-431A-BD7E-38384105FC91}"/>
    <cellStyle name="40% - Accent3 2 7 2 3" xfId="12599" xr:uid="{4961C764-7CC4-4BAD-9C9B-64E15486A8C8}"/>
    <cellStyle name="40% - Accent3 2 7 3" xfId="6222" xr:uid="{00000000-0005-0000-0000-00004E050000}"/>
    <cellStyle name="40% - Accent3 2 7 3 2" xfId="14672" xr:uid="{8344091B-0D6B-4D6C-9D5F-0CF26DDB9A31}"/>
    <cellStyle name="40% - Accent3 2 7 4" xfId="10454" xr:uid="{83969001-D45C-46ED-A0FF-C126E46D328E}"/>
    <cellStyle name="40% - Accent3 2 8" xfId="2329" xr:uid="{00000000-0005-0000-0000-00004F050000}"/>
    <cellStyle name="40% - Accent3 2 8 2" xfId="6635" xr:uid="{00000000-0005-0000-0000-000050050000}"/>
    <cellStyle name="40% - Accent3 2 8 2 2" xfId="15085" xr:uid="{B031E38B-9E53-4D6F-AFE5-42F3DFBED9EF}"/>
    <cellStyle name="40% - Accent3 2 8 3" xfId="10867" xr:uid="{3D6B16E3-3DEE-4265-AEC1-7E0E64F45DF9}"/>
    <cellStyle name="40% - Accent3 2 9" xfId="4569" xr:uid="{00000000-0005-0000-0000-000051050000}"/>
    <cellStyle name="40% - Accent3 2 9 2" xfId="13019" xr:uid="{04917849-A4A1-49BE-8808-F33937A2B58C}"/>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41CA6E56-806D-4C7B-8E2B-EF5729074C0A}"/>
    <cellStyle name="40% - Accent3 3 2 2 2 3" xfId="11365" xr:uid="{365AC8B3-5F8C-49B3-B5AB-CDDEBA4B0AA0}"/>
    <cellStyle name="40% - Accent3 3 2 2 3" xfId="4988" xr:uid="{00000000-0005-0000-0000-000057050000}"/>
    <cellStyle name="40% - Accent3 3 2 2 3 2" xfId="13438" xr:uid="{66BB5C2E-F22F-4A15-A394-4DE254BF3E3B}"/>
    <cellStyle name="40% - Accent3 3 2 2 4" xfId="9220" xr:uid="{0239421E-5445-4307-AF86-5CFDEDD750CA}"/>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56A75E39-7607-4950-8863-B89DA1EEE0BF}"/>
    <cellStyle name="40% - Accent3 3 2 3 2 3" xfId="11778" xr:uid="{545ED936-7597-459D-853A-604EB87E0CEC}"/>
    <cellStyle name="40% - Accent3 3 2 3 3" xfId="5401" xr:uid="{00000000-0005-0000-0000-00005B050000}"/>
    <cellStyle name="40% - Accent3 3 2 3 3 2" xfId="13851" xr:uid="{CC93DF69-EF4B-42C2-9B94-55BAEEE276B3}"/>
    <cellStyle name="40% - Accent3 3 2 3 4" xfId="9633" xr:uid="{91BFA8F4-C5A7-4D6E-B060-3680FB17AD79}"/>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94D9BEDE-2120-4AC8-B9AE-45594C97886D}"/>
    <cellStyle name="40% - Accent3 3 2 4 2 3" xfId="12191" xr:uid="{37D9BD33-265C-4BEC-9AD8-7A3BAF5BC872}"/>
    <cellStyle name="40% - Accent3 3 2 4 3" xfId="5814" xr:uid="{00000000-0005-0000-0000-00005F050000}"/>
    <cellStyle name="40% - Accent3 3 2 4 3 2" xfId="14264" xr:uid="{FD39726D-1D6C-4058-810F-8E5CFFD595CD}"/>
    <cellStyle name="40% - Accent3 3 2 4 4" xfId="10046" xr:uid="{A48A5BC0-99DC-4AF3-8DDF-8FB2B862AA21}"/>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E6FBF0D5-DB6D-497E-96E1-5CBE859AE86C}"/>
    <cellStyle name="40% - Accent3 3 2 5 2 3" xfId="12604" xr:uid="{903A5B1D-27D7-415D-93B8-BF8DD8B24299}"/>
    <cellStyle name="40% - Accent3 3 2 5 3" xfId="6227" xr:uid="{00000000-0005-0000-0000-000063050000}"/>
    <cellStyle name="40% - Accent3 3 2 5 3 2" xfId="14677" xr:uid="{DE0D9319-05FC-4920-9BE8-7E95A8BF4CAA}"/>
    <cellStyle name="40% - Accent3 3 2 5 4" xfId="10459" xr:uid="{D6218CA7-6ADF-433A-BEDA-AA8C96EEE091}"/>
    <cellStyle name="40% - Accent3 3 2 6" xfId="2334" xr:uid="{00000000-0005-0000-0000-000064050000}"/>
    <cellStyle name="40% - Accent3 3 2 6 2" xfId="6640" xr:uid="{00000000-0005-0000-0000-000065050000}"/>
    <cellStyle name="40% - Accent3 3 2 6 2 2" xfId="15090" xr:uid="{0C8A1E1D-D813-4543-9647-B8AB1DD3B3DF}"/>
    <cellStyle name="40% - Accent3 3 2 6 3" xfId="10872" xr:uid="{DFEF4E79-113D-49E7-B510-57C294E114C7}"/>
    <cellStyle name="40% - Accent3 3 2 7" xfId="4574" xr:uid="{00000000-0005-0000-0000-000066050000}"/>
    <cellStyle name="40% - Accent3 3 2 7 2" xfId="13024" xr:uid="{1EAD5D2B-3D45-405E-BDAE-6679AFC62429}"/>
    <cellStyle name="40% - Accent3 3 2 8" xfId="8806" xr:uid="{BF59458F-F937-444B-B0C3-34807AF61021}"/>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664833A7-ACC3-4513-A95D-A2CC0A6425C0}"/>
    <cellStyle name="40% - Accent3 3 3 2 3" xfId="11364" xr:uid="{02AA2A51-14C3-49BE-9CFA-2EBE63457A9F}"/>
    <cellStyle name="40% - Accent3 3 3 3" xfId="4987" xr:uid="{00000000-0005-0000-0000-00006A050000}"/>
    <cellStyle name="40% - Accent3 3 3 3 2" xfId="13437" xr:uid="{7F710F6D-3249-4E6A-8A7D-9F2C80C0D0CC}"/>
    <cellStyle name="40% - Accent3 3 3 4" xfId="9219" xr:uid="{63EB50D9-58AC-478A-8A7A-61A7EE5D7F8F}"/>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9B52C0DE-4763-4C80-A806-641EF0460BD7}"/>
    <cellStyle name="40% - Accent3 3 4 2 3" xfId="11777" xr:uid="{7745E1AD-5BCF-47B5-9027-FDC03CB2B9C0}"/>
    <cellStyle name="40% - Accent3 3 4 3" xfId="5400" xr:uid="{00000000-0005-0000-0000-00006E050000}"/>
    <cellStyle name="40% - Accent3 3 4 3 2" xfId="13850" xr:uid="{078509E0-3D55-467C-B334-A1D9112D269B}"/>
    <cellStyle name="40% - Accent3 3 4 4" xfId="9632" xr:uid="{88478430-2301-4949-A7D2-9C72DA435212}"/>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DBC1C5D9-6538-4AF2-938F-BA218FA4620C}"/>
    <cellStyle name="40% - Accent3 3 5 2 3" xfId="12190" xr:uid="{992A5D10-EE10-4D95-BFE7-6E148E969522}"/>
    <cellStyle name="40% - Accent3 3 5 3" xfId="5813" xr:uid="{00000000-0005-0000-0000-000072050000}"/>
    <cellStyle name="40% - Accent3 3 5 3 2" xfId="14263" xr:uid="{551E9B09-B6DE-4044-BADF-E90888CF240B}"/>
    <cellStyle name="40% - Accent3 3 5 4" xfId="10045" xr:uid="{13A0F364-3EC1-4846-91CE-DCA1B8412219}"/>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2466DBEF-7BD3-4906-A393-260F7826BA03}"/>
    <cellStyle name="40% - Accent3 3 6 2 3" xfId="12603" xr:uid="{821F2805-B047-4782-95B2-8F20AD4FF4D1}"/>
    <cellStyle name="40% - Accent3 3 6 3" xfId="6226" xr:uid="{00000000-0005-0000-0000-000076050000}"/>
    <cellStyle name="40% - Accent3 3 6 3 2" xfId="14676" xr:uid="{92DF92DF-9693-4A70-BF50-CE55B0483440}"/>
    <cellStyle name="40% - Accent3 3 6 4" xfId="10458" xr:uid="{562ECA55-0BE0-40DB-8FE2-0A215638E156}"/>
    <cellStyle name="40% - Accent3 3 7" xfId="2333" xr:uid="{00000000-0005-0000-0000-000077050000}"/>
    <cellStyle name="40% - Accent3 3 7 2" xfId="6639" xr:uid="{00000000-0005-0000-0000-000078050000}"/>
    <cellStyle name="40% - Accent3 3 7 2 2" xfId="15089" xr:uid="{DDD90ABF-0524-4807-8AAA-3906B9451A03}"/>
    <cellStyle name="40% - Accent3 3 7 3" xfId="10871" xr:uid="{EC766444-250C-49D5-953F-11C2DB86B6E3}"/>
    <cellStyle name="40% - Accent3 3 8" xfId="4573" xr:uid="{00000000-0005-0000-0000-000079050000}"/>
    <cellStyle name="40% - Accent3 3 8 2" xfId="13023" xr:uid="{B1021DDC-1E21-475C-A3E9-06DA91FF4FD3}"/>
    <cellStyle name="40% - Accent3 3 9" xfId="8805" xr:uid="{3578C1A0-F8FB-4A49-B902-D9DB566B7E23}"/>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A8E9B1D7-A211-454C-8C9A-1999A08CEED3}"/>
    <cellStyle name="40% - Accent3 4 2 2 3" xfId="11366" xr:uid="{55596E71-D01E-4DAF-836A-498641D2DF76}"/>
    <cellStyle name="40% - Accent3 4 2 3" xfId="4989" xr:uid="{00000000-0005-0000-0000-00007E050000}"/>
    <cellStyle name="40% - Accent3 4 2 3 2" xfId="13439" xr:uid="{1DC60D4E-2D67-4B3D-8175-B35834488F5F}"/>
    <cellStyle name="40% - Accent3 4 2 4" xfId="9221" xr:uid="{17B7D013-35AD-4994-9524-8221810FA12D}"/>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6F34EE90-83E9-4052-BA7E-5AD45708425A}"/>
    <cellStyle name="40% - Accent3 4 3 2 3" xfId="11779" xr:uid="{376929DC-EE7B-4157-B428-A54C6AA6190D}"/>
    <cellStyle name="40% - Accent3 4 3 3" xfId="5402" xr:uid="{00000000-0005-0000-0000-000082050000}"/>
    <cellStyle name="40% - Accent3 4 3 3 2" xfId="13852" xr:uid="{F1DA0EEB-FD73-4D4F-9405-DC85C9EEE820}"/>
    <cellStyle name="40% - Accent3 4 3 4" xfId="9634" xr:uid="{B151ABD3-50E3-4FBF-B9A0-8D97250C6F6C}"/>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EFBB2B8C-8560-4EFC-94FE-9DA55506024D}"/>
    <cellStyle name="40% - Accent3 4 4 2 3" xfId="12192" xr:uid="{A097A3D9-0C97-4F57-A091-25C033A62FB2}"/>
    <cellStyle name="40% - Accent3 4 4 3" xfId="5815" xr:uid="{00000000-0005-0000-0000-000086050000}"/>
    <cellStyle name="40% - Accent3 4 4 3 2" xfId="14265" xr:uid="{1D5A237B-D1CE-40C1-B084-1C2F863BC70A}"/>
    <cellStyle name="40% - Accent3 4 4 4" xfId="10047" xr:uid="{7657179C-7D41-455D-B68F-29C2A0344D37}"/>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BC692760-99ED-448B-A4C6-EE4A5AC5ACFB}"/>
    <cellStyle name="40% - Accent3 4 5 2 3" xfId="12605" xr:uid="{0F260735-E86A-47F1-82C6-FD483F35EFDA}"/>
    <cellStyle name="40% - Accent3 4 5 3" xfId="6228" xr:uid="{00000000-0005-0000-0000-00008A050000}"/>
    <cellStyle name="40% - Accent3 4 5 3 2" xfId="14678" xr:uid="{E7E23711-BB4D-494B-AE9A-BFEC854CEC66}"/>
    <cellStyle name="40% - Accent3 4 5 4" xfId="10460" xr:uid="{78B7CB46-623A-4F5E-9B05-7B938F54C4C2}"/>
    <cellStyle name="40% - Accent3 4 6" xfId="2335" xr:uid="{00000000-0005-0000-0000-00008B050000}"/>
    <cellStyle name="40% - Accent3 4 6 2" xfId="6641" xr:uid="{00000000-0005-0000-0000-00008C050000}"/>
    <cellStyle name="40% - Accent3 4 6 2 2" xfId="15091" xr:uid="{4729D6FA-1F75-4785-8D7A-BA4E564482B6}"/>
    <cellStyle name="40% - Accent3 4 6 3" xfId="10873" xr:uid="{1B7EE026-8491-45D9-8B65-C3B6AE732AC7}"/>
    <cellStyle name="40% - Accent3 4 7" xfId="4575" xr:uid="{00000000-0005-0000-0000-00008D050000}"/>
    <cellStyle name="40% - Accent3 4 7 2" xfId="13025" xr:uid="{C679CB3D-F962-4369-B82D-4C19756ADA22}"/>
    <cellStyle name="40% - Accent3 4 8" xfId="8807" xr:uid="{39F88AC2-CF27-43BF-8573-CBCFE9510E10}"/>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36DD2202-834C-446A-8477-B4F8BC1F4C5D}"/>
    <cellStyle name="40% - Accent3 5 2 3" xfId="11359" xr:uid="{9164F273-3132-4B7B-A658-301683325EE1}"/>
    <cellStyle name="40% - Accent3 5 3" xfId="4982" xr:uid="{00000000-0005-0000-0000-000091050000}"/>
    <cellStyle name="40% - Accent3 5 3 2" xfId="13432" xr:uid="{8AAD9A16-1CA0-4293-A301-886504A1D132}"/>
    <cellStyle name="40% - Accent3 5 4" xfId="9214" xr:uid="{5489DF10-E404-4CE9-89B4-0863134EB3A7}"/>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352430C0-F91D-420E-B029-F1BCCD04D58A}"/>
    <cellStyle name="40% - Accent3 6 2 3" xfId="11772" xr:uid="{940DC0EE-898E-45E3-8A83-23FC5D5E5F7E}"/>
    <cellStyle name="40% - Accent3 6 3" xfId="5395" xr:uid="{00000000-0005-0000-0000-000095050000}"/>
    <cellStyle name="40% - Accent3 6 3 2" xfId="13845" xr:uid="{A3F854F4-4E67-44CC-AE11-2FD9E78BEE2A}"/>
    <cellStyle name="40% - Accent3 6 4" xfId="9627" xr:uid="{894E6882-2F70-4418-9F37-037A9AD2E589}"/>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E02084C0-168C-4749-8892-1A1AAC667CFA}"/>
    <cellStyle name="40% - Accent3 7 2 3" xfId="12185" xr:uid="{5C0173D6-F98E-4A2B-A607-880B52FD3366}"/>
    <cellStyle name="40% - Accent3 7 3" xfId="5808" xr:uid="{00000000-0005-0000-0000-000099050000}"/>
    <cellStyle name="40% - Accent3 7 3 2" xfId="14258" xr:uid="{F3B70994-D568-44BB-A25D-32BE591CA5A0}"/>
    <cellStyle name="40% - Accent3 7 4" xfId="10040" xr:uid="{FF2FF79D-B157-46E4-8D90-0834C34C3EB0}"/>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87C686AA-6FB1-4BC0-9177-7B1486523670}"/>
    <cellStyle name="40% - Accent3 8 2 3" xfId="12598" xr:uid="{066AB673-A68A-4A00-B6BE-113C048D6BC8}"/>
    <cellStyle name="40% - Accent3 8 3" xfId="6221" xr:uid="{00000000-0005-0000-0000-00009D050000}"/>
    <cellStyle name="40% - Accent3 8 3 2" xfId="14671" xr:uid="{734DB438-3E96-4845-B666-DCD776D1B451}"/>
    <cellStyle name="40% - Accent3 8 4" xfId="10453" xr:uid="{E69258D1-7BC1-4E3F-8ABF-916B80CC57B7}"/>
    <cellStyle name="40% - Accent3 9" xfId="2328" xr:uid="{00000000-0005-0000-0000-00009E050000}"/>
    <cellStyle name="40% - Accent3 9 2" xfId="6634" xr:uid="{00000000-0005-0000-0000-00009F050000}"/>
    <cellStyle name="40% - Accent3 9 2 2" xfId="15084" xr:uid="{C16D0708-7F95-4668-8878-8149EA9250D5}"/>
    <cellStyle name="40% - Accent3 9 3" xfId="10866" xr:uid="{E5DB1754-AC2D-4DD1-B17B-1F6D9B4F101C}"/>
    <cellStyle name="40% - Accent4" xfId="73" builtinId="43" customBuiltin="1"/>
    <cellStyle name="40% - Accent4 10" xfId="4576" xr:uid="{00000000-0005-0000-0000-0000A1050000}"/>
    <cellStyle name="40% - Accent4 10 2" xfId="13026" xr:uid="{1A577505-8D42-4EC5-BF80-065B88122EB4}"/>
    <cellStyle name="40% - Accent4 11" xfId="8808" xr:uid="{FFB32559-922A-4469-8DDB-FE28233CDFD2}"/>
    <cellStyle name="40% - Accent4 2" xfId="74" xr:uid="{00000000-0005-0000-0000-0000A2050000}"/>
    <cellStyle name="40% - Accent4 2 10" xfId="8809" xr:uid="{A0CA5F56-631D-4180-8B42-6A4B22ABE40F}"/>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32E91E4C-E127-4D83-B9FC-B63E7431A267}"/>
    <cellStyle name="40% - Accent4 2 2 2 2 2 3" xfId="11370" xr:uid="{506368C2-0F63-4BDC-B3DC-C3E96B2BFEAA}"/>
    <cellStyle name="40% - Accent4 2 2 2 2 3" xfId="4993" xr:uid="{00000000-0005-0000-0000-0000A8050000}"/>
    <cellStyle name="40% - Accent4 2 2 2 2 3 2" xfId="13443" xr:uid="{D44A2695-571E-4117-85AA-7F9439A02E2B}"/>
    <cellStyle name="40% - Accent4 2 2 2 2 4" xfId="9225" xr:uid="{AEEB3A0B-A2CE-4AB4-9B8F-08F5962E8A8C}"/>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98D2F8BD-DD3E-4ABE-A19C-257524CDC20D}"/>
    <cellStyle name="40% - Accent4 2 2 2 3 2 3" xfId="11783" xr:uid="{A9AE863D-C1EB-4631-B92E-1CA337554FA6}"/>
    <cellStyle name="40% - Accent4 2 2 2 3 3" xfId="5406" xr:uid="{00000000-0005-0000-0000-0000AC050000}"/>
    <cellStyle name="40% - Accent4 2 2 2 3 3 2" xfId="13856" xr:uid="{34FC8348-FE14-44A2-B706-2602F175F91F}"/>
    <cellStyle name="40% - Accent4 2 2 2 3 4" xfId="9638" xr:uid="{92D0D1F8-7A87-46C6-8C03-AFF96076593E}"/>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EE187D21-0FCE-41AF-9220-371AA814B252}"/>
    <cellStyle name="40% - Accent4 2 2 2 4 2 3" xfId="12196" xr:uid="{63596B94-0EF9-4EE3-BC97-C64C2DB9712E}"/>
    <cellStyle name="40% - Accent4 2 2 2 4 3" xfId="5819" xr:uid="{00000000-0005-0000-0000-0000B0050000}"/>
    <cellStyle name="40% - Accent4 2 2 2 4 3 2" xfId="14269" xr:uid="{CFD98026-53D4-44AC-B4CC-D4CA3DBF0585}"/>
    <cellStyle name="40% - Accent4 2 2 2 4 4" xfId="10051" xr:uid="{BE5F83C1-EAE8-43A4-BF83-989CD816F72A}"/>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A7476D08-D175-4465-A7C7-EC168C75BB23}"/>
    <cellStyle name="40% - Accent4 2 2 2 5 2 3" xfId="12609" xr:uid="{AE44B693-00F3-4437-8EFC-0BB51CE2FF06}"/>
    <cellStyle name="40% - Accent4 2 2 2 5 3" xfId="6232" xr:uid="{00000000-0005-0000-0000-0000B4050000}"/>
    <cellStyle name="40% - Accent4 2 2 2 5 3 2" xfId="14682" xr:uid="{FAA1116B-1928-43E7-B602-751FA52CF2BB}"/>
    <cellStyle name="40% - Accent4 2 2 2 5 4" xfId="10464" xr:uid="{D1B5DA4A-236C-4EA1-B0A8-BD69823D9FE8}"/>
    <cellStyle name="40% - Accent4 2 2 2 6" xfId="2339" xr:uid="{00000000-0005-0000-0000-0000B5050000}"/>
    <cellStyle name="40% - Accent4 2 2 2 6 2" xfId="6645" xr:uid="{00000000-0005-0000-0000-0000B6050000}"/>
    <cellStyle name="40% - Accent4 2 2 2 6 2 2" xfId="15095" xr:uid="{B70183E9-3C33-4E81-BDDC-87587BC24606}"/>
    <cellStyle name="40% - Accent4 2 2 2 6 3" xfId="10877" xr:uid="{B0FBC9E3-4B04-4F35-9963-D4EABBC2F067}"/>
    <cellStyle name="40% - Accent4 2 2 2 7" xfId="4579" xr:uid="{00000000-0005-0000-0000-0000B7050000}"/>
    <cellStyle name="40% - Accent4 2 2 2 7 2" xfId="13029" xr:uid="{5BB1A0A9-8A52-41C4-84C4-995B4574C275}"/>
    <cellStyle name="40% - Accent4 2 2 2 8" xfId="8811" xr:uid="{297AA526-D2F2-45BA-B252-AE8144EE76A0}"/>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138568D9-A5DB-4425-9291-875010FD9445}"/>
    <cellStyle name="40% - Accent4 2 2 3 2 3" xfId="11369" xr:uid="{59F07AC5-2D5D-45A7-87C9-C2CFCA916543}"/>
    <cellStyle name="40% - Accent4 2 2 3 3" xfId="4992" xr:uid="{00000000-0005-0000-0000-0000BB050000}"/>
    <cellStyle name="40% - Accent4 2 2 3 3 2" xfId="13442" xr:uid="{58E72017-23C4-4978-B028-BEC895435BE4}"/>
    <cellStyle name="40% - Accent4 2 2 3 4" xfId="9224" xr:uid="{5B2A46B1-80CF-4FDC-8E86-979029EFA60D}"/>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6755FE09-5F49-452A-A321-82FCE87C56DF}"/>
    <cellStyle name="40% - Accent4 2 2 4 2 3" xfId="11782" xr:uid="{65E866CB-CA80-4B41-9663-0687AEAC30E2}"/>
    <cellStyle name="40% - Accent4 2 2 4 3" xfId="5405" xr:uid="{00000000-0005-0000-0000-0000BF050000}"/>
    <cellStyle name="40% - Accent4 2 2 4 3 2" xfId="13855" xr:uid="{B2B311AA-F8B1-41ED-BA95-783CBD7DC9CB}"/>
    <cellStyle name="40% - Accent4 2 2 4 4" xfId="9637" xr:uid="{0D442EBA-016D-4B18-96AE-59EF02E628D8}"/>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2AECE75E-12AA-4FE8-8E17-86C033019BD0}"/>
    <cellStyle name="40% - Accent4 2 2 5 2 3" xfId="12195" xr:uid="{D27168A0-5670-4F46-945E-8EC367D9912C}"/>
    <cellStyle name="40% - Accent4 2 2 5 3" xfId="5818" xr:uid="{00000000-0005-0000-0000-0000C3050000}"/>
    <cellStyle name="40% - Accent4 2 2 5 3 2" xfId="14268" xr:uid="{93DF056B-81F0-400F-A4B0-CBD91200A122}"/>
    <cellStyle name="40% - Accent4 2 2 5 4" xfId="10050" xr:uid="{AE2F0056-995B-4534-A483-5B42F353ABA3}"/>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398EA1DA-4BE3-428B-9099-47FCC2624EC1}"/>
    <cellStyle name="40% - Accent4 2 2 6 2 3" xfId="12608" xr:uid="{445D643D-2A87-453E-995E-4524F1869210}"/>
    <cellStyle name="40% - Accent4 2 2 6 3" xfId="6231" xr:uid="{00000000-0005-0000-0000-0000C7050000}"/>
    <cellStyle name="40% - Accent4 2 2 6 3 2" xfId="14681" xr:uid="{81D4ECBA-4FDB-4AB8-ACC4-71EF98A57EC6}"/>
    <cellStyle name="40% - Accent4 2 2 6 4" xfId="10463" xr:uid="{B6A15CF8-C29A-44D2-AE36-3A2F751DC28E}"/>
    <cellStyle name="40% - Accent4 2 2 7" xfId="2338" xr:uid="{00000000-0005-0000-0000-0000C8050000}"/>
    <cellStyle name="40% - Accent4 2 2 7 2" xfId="6644" xr:uid="{00000000-0005-0000-0000-0000C9050000}"/>
    <cellStyle name="40% - Accent4 2 2 7 2 2" xfId="15094" xr:uid="{64533519-6DF8-432A-B0D3-2DB9E4059FF8}"/>
    <cellStyle name="40% - Accent4 2 2 7 3" xfId="10876" xr:uid="{805D681D-C618-4243-97C9-45B929A674D3}"/>
    <cellStyle name="40% - Accent4 2 2 8" xfId="4578" xr:uid="{00000000-0005-0000-0000-0000CA050000}"/>
    <cellStyle name="40% - Accent4 2 2 8 2" xfId="13028" xr:uid="{AE18571E-DACF-47B3-B2D4-A99C84BD002A}"/>
    <cellStyle name="40% - Accent4 2 2 9" xfId="8810" xr:uid="{B241083B-80DC-4C2E-A246-63F883738D06}"/>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4BF6D473-6E2C-4C99-85DE-0B529D0E4EEB}"/>
    <cellStyle name="40% - Accent4 2 3 2 2 3" xfId="11371" xr:uid="{EF0C025C-D75B-4C76-8901-2C95B0F33F85}"/>
    <cellStyle name="40% - Accent4 2 3 2 3" xfId="4994" xr:uid="{00000000-0005-0000-0000-0000CF050000}"/>
    <cellStyle name="40% - Accent4 2 3 2 3 2" xfId="13444" xr:uid="{17C77FA0-E683-4BC7-910F-2D61C3F7A9F8}"/>
    <cellStyle name="40% - Accent4 2 3 2 4" xfId="9226" xr:uid="{6583FB52-0CF1-498D-95F5-C5242981F79F}"/>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1BEDF708-D9A7-4BDB-9AC8-47B909454818}"/>
    <cellStyle name="40% - Accent4 2 3 3 2 3" xfId="11784" xr:uid="{9380BF3F-2B6C-43D8-BEE0-14E74746B810}"/>
    <cellStyle name="40% - Accent4 2 3 3 3" xfId="5407" xr:uid="{00000000-0005-0000-0000-0000D3050000}"/>
    <cellStyle name="40% - Accent4 2 3 3 3 2" xfId="13857" xr:uid="{9A43CE50-83A5-4B5D-9D18-4083B705BEEC}"/>
    <cellStyle name="40% - Accent4 2 3 3 4" xfId="9639" xr:uid="{4FC8F9D0-C02A-4EA2-BF4F-2CE2A7BA41C8}"/>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AFAD17BB-BF4C-47BB-B1C7-F0E0E8F41E32}"/>
    <cellStyle name="40% - Accent4 2 3 4 2 3" xfId="12197" xr:uid="{F0582AA8-C1A9-4C21-813C-B32F2410E9A8}"/>
    <cellStyle name="40% - Accent4 2 3 4 3" xfId="5820" xr:uid="{00000000-0005-0000-0000-0000D7050000}"/>
    <cellStyle name="40% - Accent4 2 3 4 3 2" xfId="14270" xr:uid="{73827C26-C857-46C9-B797-3D22725CEFFF}"/>
    <cellStyle name="40% - Accent4 2 3 4 4" xfId="10052" xr:uid="{ADB54182-D643-4BA4-BB75-DE54563F2946}"/>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1F212A35-AECF-4294-A7D1-BB0EB2E31CE9}"/>
    <cellStyle name="40% - Accent4 2 3 5 2 3" xfId="12610" xr:uid="{8D73590B-5F04-4913-A636-647D1EF57F8B}"/>
    <cellStyle name="40% - Accent4 2 3 5 3" xfId="6233" xr:uid="{00000000-0005-0000-0000-0000DB050000}"/>
    <cellStyle name="40% - Accent4 2 3 5 3 2" xfId="14683" xr:uid="{AF20F2EF-C1E7-43F4-AC49-074EEAEBADFE}"/>
    <cellStyle name="40% - Accent4 2 3 5 4" xfId="10465" xr:uid="{950919A1-E889-4DBF-B073-7517C53DA7D9}"/>
    <cellStyle name="40% - Accent4 2 3 6" xfId="2340" xr:uid="{00000000-0005-0000-0000-0000DC050000}"/>
    <cellStyle name="40% - Accent4 2 3 6 2" xfId="6646" xr:uid="{00000000-0005-0000-0000-0000DD050000}"/>
    <cellStyle name="40% - Accent4 2 3 6 2 2" xfId="15096" xr:uid="{658601D7-E39B-4DD5-AB7C-E99203A02104}"/>
    <cellStyle name="40% - Accent4 2 3 6 3" xfId="10878" xr:uid="{0DF5CA33-FA75-4D3F-AF59-FCBB3F49511F}"/>
    <cellStyle name="40% - Accent4 2 3 7" xfId="4580" xr:uid="{00000000-0005-0000-0000-0000DE050000}"/>
    <cellStyle name="40% - Accent4 2 3 7 2" xfId="13030" xr:uid="{F008EE64-54A8-4A0B-B237-E7C61E826F22}"/>
    <cellStyle name="40% - Accent4 2 3 8" xfId="8812" xr:uid="{4DD0EA40-F9D0-4FD5-BC3F-E785D377F25D}"/>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B3ECD4C0-62AE-4E24-8F1B-F17FE6F96C26}"/>
    <cellStyle name="40% - Accent4 2 4 2 3" xfId="11368" xr:uid="{46381766-CA05-4434-8855-8098F413CAC9}"/>
    <cellStyle name="40% - Accent4 2 4 3" xfId="4991" xr:uid="{00000000-0005-0000-0000-0000E2050000}"/>
    <cellStyle name="40% - Accent4 2 4 3 2" xfId="13441" xr:uid="{EF302319-1D4C-4E33-85C0-3A76199E7EB9}"/>
    <cellStyle name="40% - Accent4 2 4 4" xfId="9223" xr:uid="{C8E05A2B-067F-469D-9BF2-9903A01286A4}"/>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4879E8D2-7269-4F8D-905F-87B021DB4C41}"/>
    <cellStyle name="40% - Accent4 2 5 2 3" xfId="11781" xr:uid="{00C97594-ACBA-4783-AD5F-C34A50D7699B}"/>
    <cellStyle name="40% - Accent4 2 5 3" xfId="5404" xr:uid="{00000000-0005-0000-0000-0000E6050000}"/>
    <cellStyle name="40% - Accent4 2 5 3 2" xfId="13854" xr:uid="{3BAC42E0-A680-4750-B2F7-C5E5C60C08C1}"/>
    <cellStyle name="40% - Accent4 2 5 4" xfId="9636" xr:uid="{D7072913-7FAA-4888-B698-163CBD8B5DBC}"/>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936B76B1-8DDC-4D5C-8BD0-EFCBDBD535B0}"/>
    <cellStyle name="40% - Accent4 2 6 2 3" xfId="12194" xr:uid="{0597D709-F339-437C-BDB3-23658834B8BD}"/>
    <cellStyle name="40% - Accent4 2 6 3" xfId="5817" xr:uid="{00000000-0005-0000-0000-0000EA050000}"/>
    <cellStyle name="40% - Accent4 2 6 3 2" xfId="14267" xr:uid="{90EC2835-F182-41A1-93A4-491E3A5011B8}"/>
    <cellStyle name="40% - Accent4 2 6 4" xfId="10049" xr:uid="{8CB9C824-FF50-43DF-BD50-918AD64A6EF7}"/>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C40A661E-5BEC-4F22-BD14-CC9333EBB5F8}"/>
    <cellStyle name="40% - Accent4 2 7 2 3" xfId="12607" xr:uid="{76392119-170C-41AA-830B-B5B090E9B763}"/>
    <cellStyle name="40% - Accent4 2 7 3" xfId="6230" xr:uid="{00000000-0005-0000-0000-0000EE050000}"/>
    <cellStyle name="40% - Accent4 2 7 3 2" xfId="14680" xr:uid="{B3E77A63-95F8-4C2D-B93D-29BFCEBA8B48}"/>
    <cellStyle name="40% - Accent4 2 7 4" xfId="10462" xr:uid="{F3D353A9-D668-46E8-9D1E-FE886453A67C}"/>
    <cellStyle name="40% - Accent4 2 8" xfId="2337" xr:uid="{00000000-0005-0000-0000-0000EF050000}"/>
    <cellStyle name="40% - Accent4 2 8 2" xfId="6643" xr:uid="{00000000-0005-0000-0000-0000F0050000}"/>
    <cellStyle name="40% - Accent4 2 8 2 2" xfId="15093" xr:uid="{15ADA8E9-CCBD-411E-A1B4-755C66381343}"/>
    <cellStyle name="40% - Accent4 2 8 3" xfId="10875" xr:uid="{1007E8F4-CAFA-4BBF-934C-437F01B81866}"/>
    <cellStyle name="40% - Accent4 2 9" xfId="4577" xr:uid="{00000000-0005-0000-0000-0000F1050000}"/>
    <cellStyle name="40% - Accent4 2 9 2" xfId="13027" xr:uid="{34D58CAF-0BE1-45FC-96AE-3EFD336AB196}"/>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DE39A39F-A098-40B3-929A-BDA57C75FB59}"/>
    <cellStyle name="40% - Accent4 3 2 2 2 3" xfId="11373" xr:uid="{CC30851C-1C04-475F-A654-72C890A942E3}"/>
    <cellStyle name="40% - Accent4 3 2 2 3" xfId="4996" xr:uid="{00000000-0005-0000-0000-0000F7050000}"/>
    <cellStyle name="40% - Accent4 3 2 2 3 2" xfId="13446" xr:uid="{E55B5DA9-32CB-4D3B-BFD0-DBF2CEEA787C}"/>
    <cellStyle name="40% - Accent4 3 2 2 4" xfId="9228" xr:uid="{BE75F6CB-4D4C-407D-8F86-7CE15F81AA59}"/>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8CC5F0EA-E1EB-48B6-AB81-223CD38FBC46}"/>
    <cellStyle name="40% - Accent4 3 2 3 2 3" xfId="11786" xr:uid="{95F444B1-6072-4AF3-837B-1D5F14BFE8B7}"/>
    <cellStyle name="40% - Accent4 3 2 3 3" xfId="5409" xr:uid="{00000000-0005-0000-0000-0000FB050000}"/>
    <cellStyle name="40% - Accent4 3 2 3 3 2" xfId="13859" xr:uid="{06DEFBC9-D961-4932-A98C-339040837AB6}"/>
    <cellStyle name="40% - Accent4 3 2 3 4" xfId="9641" xr:uid="{AC562115-04B7-4221-9E00-71DF25B2BEB7}"/>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9CECA246-C903-4B21-AD25-84782129CFBB}"/>
    <cellStyle name="40% - Accent4 3 2 4 2 3" xfId="12199" xr:uid="{3E98B8B4-57B6-4BCF-BFFC-7DD85B758133}"/>
    <cellStyle name="40% - Accent4 3 2 4 3" xfId="5822" xr:uid="{00000000-0005-0000-0000-0000FF050000}"/>
    <cellStyle name="40% - Accent4 3 2 4 3 2" xfId="14272" xr:uid="{4FDF0665-8A03-4AC2-B5BB-0F41BDE551C3}"/>
    <cellStyle name="40% - Accent4 3 2 4 4" xfId="10054" xr:uid="{65387018-80D1-49A7-9FAF-FF381F2A75AF}"/>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5875781E-2C1F-4906-8081-1F14995EC27D}"/>
    <cellStyle name="40% - Accent4 3 2 5 2 3" xfId="12612" xr:uid="{E890872B-5255-4F3C-A947-617D5DFDC9C3}"/>
    <cellStyle name="40% - Accent4 3 2 5 3" xfId="6235" xr:uid="{00000000-0005-0000-0000-000003060000}"/>
    <cellStyle name="40% - Accent4 3 2 5 3 2" xfId="14685" xr:uid="{EE4AB956-B3BF-4AAC-AC36-A7CC4F99C978}"/>
    <cellStyle name="40% - Accent4 3 2 5 4" xfId="10467" xr:uid="{ED54AAE6-B7A0-4AFA-9949-FAC3AA515024}"/>
    <cellStyle name="40% - Accent4 3 2 6" xfId="2342" xr:uid="{00000000-0005-0000-0000-000004060000}"/>
    <cellStyle name="40% - Accent4 3 2 6 2" xfId="6648" xr:uid="{00000000-0005-0000-0000-000005060000}"/>
    <cellStyle name="40% - Accent4 3 2 6 2 2" xfId="15098" xr:uid="{0CF72211-5FED-4CB3-8696-FD363789F642}"/>
    <cellStyle name="40% - Accent4 3 2 6 3" xfId="10880" xr:uid="{170087A0-F172-4555-A7D8-ED5D746E79F8}"/>
    <cellStyle name="40% - Accent4 3 2 7" xfId="4582" xr:uid="{00000000-0005-0000-0000-000006060000}"/>
    <cellStyle name="40% - Accent4 3 2 7 2" xfId="13032" xr:uid="{0C5AE29D-893A-4358-994C-DB9C8E958CE9}"/>
    <cellStyle name="40% - Accent4 3 2 8" xfId="8814" xr:uid="{0E2774EC-C6B1-4F80-9BDA-4CACFA6D2EF9}"/>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5456B6D7-5C5B-4DF0-A867-6671E7A9C131}"/>
    <cellStyle name="40% - Accent4 3 3 2 3" xfId="11372" xr:uid="{33C964EB-5566-427B-8D43-78670C81AE03}"/>
    <cellStyle name="40% - Accent4 3 3 3" xfId="4995" xr:uid="{00000000-0005-0000-0000-00000A060000}"/>
    <cellStyle name="40% - Accent4 3 3 3 2" xfId="13445" xr:uid="{6D658A48-EF01-467C-89C2-482C47F199BD}"/>
    <cellStyle name="40% - Accent4 3 3 4" xfId="9227" xr:uid="{27EEAED9-7369-42CF-A04D-A5AC4A761AE2}"/>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54E0AF12-2503-4539-9A31-BCD0FB11D655}"/>
    <cellStyle name="40% - Accent4 3 4 2 3" xfId="11785" xr:uid="{10B6292A-CC3C-48B9-84A0-573162336FE2}"/>
    <cellStyle name="40% - Accent4 3 4 3" xfId="5408" xr:uid="{00000000-0005-0000-0000-00000E060000}"/>
    <cellStyle name="40% - Accent4 3 4 3 2" xfId="13858" xr:uid="{EC685A8E-2762-425A-A7A9-E57ACD46495F}"/>
    <cellStyle name="40% - Accent4 3 4 4" xfId="9640" xr:uid="{FFD69C33-9F7B-4ABA-AF81-DB31C3F75325}"/>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9522F595-F298-4383-83A2-AF27021DA957}"/>
    <cellStyle name="40% - Accent4 3 5 2 3" xfId="12198" xr:uid="{A085CFC4-416F-41FA-AE39-E636F4EFD6F1}"/>
    <cellStyle name="40% - Accent4 3 5 3" xfId="5821" xr:uid="{00000000-0005-0000-0000-000012060000}"/>
    <cellStyle name="40% - Accent4 3 5 3 2" xfId="14271" xr:uid="{B5F352F8-C89F-4CFA-9CAE-FF9BEDFE02E9}"/>
    <cellStyle name="40% - Accent4 3 5 4" xfId="10053" xr:uid="{74CB2C36-891F-44D9-8DE6-3B7E7EE20A17}"/>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C1A34C41-DC82-45A1-9A09-4125B0AE223C}"/>
    <cellStyle name="40% - Accent4 3 6 2 3" xfId="12611" xr:uid="{B7B4E799-1560-4E81-B5A7-66A51CD2D5F1}"/>
    <cellStyle name="40% - Accent4 3 6 3" xfId="6234" xr:uid="{00000000-0005-0000-0000-000016060000}"/>
    <cellStyle name="40% - Accent4 3 6 3 2" xfId="14684" xr:uid="{23DEAD1D-E11E-4B2D-96A9-0B07ADFA080F}"/>
    <cellStyle name="40% - Accent4 3 6 4" xfId="10466" xr:uid="{013F317D-FEBF-4ACD-81EB-5DC310615F49}"/>
    <cellStyle name="40% - Accent4 3 7" xfId="2341" xr:uid="{00000000-0005-0000-0000-000017060000}"/>
    <cellStyle name="40% - Accent4 3 7 2" xfId="6647" xr:uid="{00000000-0005-0000-0000-000018060000}"/>
    <cellStyle name="40% - Accent4 3 7 2 2" xfId="15097" xr:uid="{114DBA6A-847C-4A46-AB75-D63C4A0D47FC}"/>
    <cellStyle name="40% - Accent4 3 7 3" xfId="10879" xr:uid="{3D601D38-29E0-4C62-8714-939C0F35D3E4}"/>
    <cellStyle name="40% - Accent4 3 8" xfId="4581" xr:uid="{00000000-0005-0000-0000-000019060000}"/>
    <cellStyle name="40% - Accent4 3 8 2" xfId="13031" xr:uid="{456166D5-38DA-4EDB-B2B0-506626F31489}"/>
    <cellStyle name="40% - Accent4 3 9" xfId="8813" xr:uid="{91F1259C-3665-4A4A-B8AF-9016F2725B32}"/>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BF174401-1826-4CDC-BD14-46987E082DC5}"/>
    <cellStyle name="40% - Accent4 4 2 2 3" xfId="11374" xr:uid="{11387C87-BDC5-40F2-B5F4-34C2ED7445A3}"/>
    <cellStyle name="40% - Accent4 4 2 3" xfId="4997" xr:uid="{00000000-0005-0000-0000-00001E060000}"/>
    <cellStyle name="40% - Accent4 4 2 3 2" xfId="13447" xr:uid="{D4268768-E94B-4743-A44B-325907600E20}"/>
    <cellStyle name="40% - Accent4 4 2 4" xfId="9229" xr:uid="{17026787-A8E3-4053-B59B-B792FD9E28CE}"/>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8651E00E-013D-4D04-A007-EDAB42B7DD24}"/>
    <cellStyle name="40% - Accent4 4 3 2 3" xfId="11787" xr:uid="{16A121E0-2D7C-4F2E-9921-B38D2112965D}"/>
    <cellStyle name="40% - Accent4 4 3 3" xfId="5410" xr:uid="{00000000-0005-0000-0000-000022060000}"/>
    <cellStyle name="40% - Accent4 4 3 3 2" xfId="13860" xr:uid="{8D139FCD-A8B5-4A1A-B543-EFD5DE82CDCA}"/>
    <cellStyle name="40% - Accent4 4 3 4" xfId="9642" xr:uid="{C8A4FB87-ECE3-4E03-A7ED-0DCCE5815854}"/>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C7B84887-2871-450E-9C43-E51EA899A24A}"/>
    <cellStyle name="40% - Accent4 4 4 2 3" xfId="12200" xr:uid="{16BC188B-4DFD-4EDB-BC94-01BBC7788CE2}"/>
    <cellStyle name="40% - Accent4 4 4 3" xfId="5823" xr:uid="{00000000-0005-0000-0000-000026060000}"/>
    <cellStyle name="40% - Accent4 4 4 3 2" xfId="14273" xr:uid="{45C1EFC8-1DDD-4C41-AA65-DD34430C575C}"/>
    <cellStyle name="40% - Accent4 4 4 4" xfId="10055" xr:uid="{D4D78A56-A0FB-443B-B78A-DD7F98BA16B2}"/>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A3850A57-8FF7-4358-9AD5-D64CE7A2D890}"/>
    <cellStyle name="40% - Accent4 4 5 2 3" xfId="12613" xr:uid="{EF655A87-8380-42CB-97A1-EA5D275DF7DE}"/>
    <cellStyle name="40% - Accent4 4 5 3" xfId="6236" xr:uid="{00000000-0005-0000-0000-00002A060000}"/>
    <cellStyle name="40% - Accent4 4 5 3 2" xfId="14686" xr:uid="{AB62781B-EE18-402C-A5DE-AC9A171ACD3E}"/>
    <cellStyle name="40% - Accent4 4 5 4" xfId="10468" xr:uid="{0729CFFF-B78A-4571-96CD-BA07B2A47E20}"/>
    <cellStyle name="40% - Accent4 4 6" xfId="2343" xr:uid="{00000000-0005-0000-0000-00002B060000}"/>
    <cellStyle name="40% - Accent4 4 6 2" xfId="6649" xr:uid="{00000000-0005-0000-0000-00002C060000}"/>
    <cellStyle name="40% - Accent4 4 6 2 2" xfId="15099" xr:uid="{234E7F49-AC80-4994-9A2D-783B50BD543D}"/>
    <cellStyle name="40% - Accent4 4 6 3" xfId="10881" xr:uid="{C6E0E0BD-8D1A-40A5-B345-DEEFCE7F3567}"/>
    <cellStyle name="40% - Accent4 4 7" xfId="4583" xr:uid="{00000000-0005-0000-0000-00002D060000}"/>
    <cellStyle name="40% - Accent4 4 7 2" xfId="13033" xr:uid="{5B5DD8DC-5F95-4090-80FA-F08B0CA48D72}"/>
    <cellStyle name="40% - Accent4 4 8" xfId="8815" xr:uid="{42880A63-2BF1-4ABF-9DB8-64F15F5000F5}"/>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3224989B-FA5F-429F-8BAF-AE4B32AE8509}"/>
    <cellStyle name="40% - Accent4 5 2 3" xfId="11367" xr:uid="{5FFE8188-53A2-4497-B48C-1179F26BB907}"/>
    <cellStyle name="40% - Accent4 5 3" xfId="4990" xr:uid="{00000000-0005-0000-0000-000031060000}"/>
    <cellStyle name="40% - Accent4 5 3 2" xfId="13440" xr:uid="{7113D00F-5247-47F0-B2DF-8F99E5AE66FE}"/>
    <cellStyle name="40% - Accent4 5 4" xfId="9222" xr:uid="{09C33D04-D72B-48A3-9957-E95DD21967FA}"/>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DDA36B3C-6965-4368-976C-BB29F4D4ACBA}"/>
    <cellStyle name="40% - Accent4 6 2 3" xfId="11780" xr:uid="{C43D64FD-16C9-4E17-B704-61FABB64C35B}"/>
    <cellStyle name="40% - Accent4 6 3" xfId="5403" xr:uid="{00000000-0005-0000-0000-000035060000}"/>
    <cellStyle name="40% - Accent4 6 3 2" xfId="13853" xr:uid="{DCC3C3DF-2CB8-4C37-912E-641D322B3403}"/>
    <cellStyle name="40% - Accent4 6 4" xfId="9635" xr:uid="{C78EC841-3781-4300-A373-CCB6524AFD3A}"/>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84C71102-F2EC-4B17-8ACE-B92AF109F667}"/>
    <cellStyle name="40% - Accent4 7 2 3" xfId="12193" xr:uid="{681EE95E-4665-4DDB-A774-181D61F6B3FA}"/>
    <cellStyle name="40% - Accent4 7 3" xfId="5816" xr:uid="{00000000-0005-0000-0000-000039060000}"/>
    <cellStyle name="40% - Accent4 7 3 2" xfId="14266" xr:uid="{A0458846-7F13-442A-9C5A-B23E650F24E0}"/>
    <cellStyle name="40% - Accent4 7 4" xfId="10048" xr:uid="{D1E58C70-DEAE-4089-952A-A1E988654978}"/>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EE03FD65-3351-479F-A044-B952E8D3D8DE}"/>
    <cellStyle name="40% - Accent4 8 2 3" xfId="12606" xr:uid="{EA3E5BBF-3B71-4B00-886F-43C10B6BCAF1}"/>
    <cellStyle name="40% - Accent4 8 3" xfId="6229" xr:uid="{00000000-0005-0000-0000-00003D060000}"/>
    <cellStyle name="40% - Accent4 8 3 2" xfId="14679" xr:uid="{1EF22295-FD6E-4108-AD9E-C57FF87D371B}"/>
    <cellStyle name="40% - Accent4 8 4" xfId="10461" xr:uid="{E20BE1F6-FDE0-4A00-8EFC-318BDEF89B10}"/>
    <cellStyle name="40% - Accent4 9" xfId="2336" xr:uid="{00000000-0005-0000-0000-00003E060000}"/>
    <cellStyle name="40% - Accent4 9 2" xfId="6642" xr:uid="{00000000-0005-0000-0000-00003F060000}"/>
    <cellStyle name="40% - Accent4 9 2 2" xfId="15092" xr:uid="{9E4D4047-E906-448A-8F3B-DB9A4E2A4D6F}"/>
    <cellStyle name="40% - Accent4 9 3" xfId="10874" xr:uid="{B01CCAAE-3EC6-445E-9414-67B93C25EB8C}"/>
    <cellStyle name="40% - Accent5" xfId="81" builtinId="47" customBuiltin="1"/>
    <cellStyle name="40% - Accent5 10" xfId="4584" xr:uid="{00000000-0005-0000-0000-000041060000}"/>
    <cellStyle name="40% - Accent5 10 2" xfId="13034" xr:uid="{A7B54D7E-C0F7-492B-B63C-C723E12F1534}"/>
    <cellStyle name="40% - Accent5 11" xfId="8816" xr:uid="{F8B951AD-2916-4D7F-8334-033F7B3DD215}"/>
    <cellStyle name="40% - Accent5 2" xfId="82" xr:uid="{00000000-0005-0000-0000-000042060000}"/>
    <cellStyle name="40% - Accent5 2 10" xfId="8817" xr:uid="{0236DE18-7E49-4C6F-AAE2-8223C9C65B91}"/>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5BDAF7F9-76EA-4702-A2F3-2DD1AF92372D}"/>
    <cellStyle name="40% - Accent5 2 2 2 2 2 3" xfId="11378" xr:uid="{773E1506-99CB-4B6B-B4CF-ECE16C20909C}"/>
    <cellStyle name="40% - Accent5 2 2 2 2 3" xfId="5001" xr:uid="{00000000-0005-0000-0000-000048060000}"/>
    <cellStyle name="40% - Accent5 2 2 2 2 3 2" xfId="13451" xr:uid="{CAFE4B62-5288-4CD2-A5FC-8BADB8A3E438}"/>
    <cellStyle name="40% - Accent5 2 2 2 2 4" xfId="9233" xr:uid="{EEF4763B-A309-452A-AFA5-56209FE2589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251F0D9F-5A0D-459C-86F2-920C3923E14B}"/>
    <cellStyle name="40% - Accent5 2 2 2 3 2 3" xfId="11791" xr:uid="{3AA1B8F3-B590-47E7-BA5F-28EE30493623}"/>
    <cellStyle name="40% - Accent5 2 2 2 3 3" xfId="5414" xr:uid="{00000000-0005-0000-0000-00004C060000}"/>
    <cellStyle name="40% - Accent5 2 2 2 3 3 2" xfId="13864" xr:uid="{C6833501-9935-4831-97CD-A99B9235A22D}"/>
    <cellStyle name="40% - Accent5 2 2 2 3 4" xfId="9646" xr:uid="{0F21631A-E55E-4D0D-88F1-D785CE202168}"/>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0A19F4A6-003A-468F-B3FF-47F70E68CF72}"/>
    <cellStyle name="40% - Accent5 2 2 2 4 2 3" xfId="12204" xr:uid="{599B4F3F-AAC2-4913-87ED-96813D5D39BF}"/>
    <cellStyle name="40% - Accent5 2 2 2 4 3" xfId="5827" xr:uid="{00000000-0005-0000-0000-000050060000}"/>
    <cellStyle name="40% - Accent5 2 2 2 4 3 2" xfId="14277" xr:uid="{F667EAFF-6529-4D7B-9FC9-1640D624999F}"/>
    <cellStyle name="40% - Accent5 2 2 2 4 4" xfId="10059" xr:uid="{5D7E918A-E471-4478-95C5-159C89F71221}"/>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CE81A033-1C54-4BBF-A54A-0AB0ED22155D}"/>
    <cellStyle name="40% - Accent5 2 2 2 5 2 3" xfId="12617" xr:uid="{BBE6025A-5EAE-42B6-AA5B-3291E4762D4C}"/>
    <cellStyle name="40% - Accent5 2 2 2 5 3" xfId="6240" xr:uid="{00000000-0005-0000-0000-000054060000}"/>
    <cellStyle name="40% - Accent5 2 2 2 5 3 2" xfId="14690" xr:uid="{21A57DA2-CF6D-465A-97FF-A3F5B3140A22}"/>
    <cellStyle name="40% - Accent5 2 2 2 5 4" xfId="10472" xr:uid="{93FAF57C-FB2E-4C40-8B68-4520EFBA2C94}"/>
    <cellStyle name="40% - Accent5 2 2 2 6" xfId="2347" xr:uid="{00000000-0005-0000-0000-000055060000}"/>
    <cellStyle name="40% - Accent5 2 2 2 6 2" xfId="6653" xr:uid="{00000000-0005-0000-0000-000056060000}"/>
    <cellStyle name="40% - Accent5 2 2 2 6 2 2" xfId="15103" xr:uid="{1BE06A8E-B6C4-4679-B5DA-DA6827FE3E4D}"/>
    <cellStyle name="40% - Accent5 2 2 2 6 3" xfId="10885" xr:uid="{D1942260-11CB-4B53-AF82-C7B8AFDA693E}"/>
    <cellStyle name="40% - Accent5 2 2 2 7" xfId="4587" xr:uid="{00000000-0005-0000-0000-000057060000}"/>
    <cellStyle name="40% - Accent5 2 2 2 7 2" xfId="13037" xr:uid="{15DC0514-F357-4CB7-9137-EBAD1E6E09F7}"/>
    <cellStyle name="40% - Accent5 2 2 2 8" xfId="8819" xr:uid="{D1183800-E9DF-4A49-9C4C-C1A91BEDE18C}"/>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3297979B-6765-4560-9EA0-BD3BECBB3F2C}"/>
    <cellStyle name="40% - Accent5 2 2 3 2 3" xfId="11377" xr:uid="{11F9663B-DE38-4C73-BC30-79A06EFDFF66}"/>
    <cellStyle name="40% - Accent5 2 2 3 3" xfId="5000" xr:uid="{00000000-0005-0000-0000-00005B060000}"/>
    <cellStyle name="40% - Accent5 2 2 3 3 2" xfId="13450" xr:uid="{CA7B59DC-5434-4A91-A8DA-96F12C6817F9}"/>
    <cellStyle name="40% - Accent5 2 2 3 4" xfId="9232" xr:uid="{E9136A23-FD5E-4AFF-BDAE-2F109B2E43DC}"/>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C4A5895C-9D39-46A3-BAB2-D74EB340AC0F}"/>
    <cellStyle name="40% - Accent5 2 2 4 2 3" xfId="11790" xr:uid="{386E4F01-E403-4B8E-8887-7AAB20D255C5}"/>
    <cellStyle name="40% - Accent5 2 2 4 3" xfId="5413" xr:uid="{00000000-0005-0000-0000-00005F060000}"/>
    <cellStyle name="40% - Accent5 2 2 4 3 2" xfId="13863" xr:uid="{95CEC7BF-3AAD-4C29-82D0-965FFF27C2C7}"/>
    <cellStyle name="40% - Accent5 2 2 4 4" xfId="9645" xr:uid="{F22613CB-C20A-4551-9EC7-E946CC1E8495}"/>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31DAA2E6-CC5E-4DEF-8F5A-5E78501AFA2A}"/>
    <cellStyle name="40% - Accent5 2 2 5 2 3" xfId="12203" xr:uid="{8A344E29-532A-445D-87CE-192FEDB3CE99}"/>
    <cellStyle name="40% - Accent5 2 2 5 3" xfId="5826" xr:uid="{00000000-0005-0000-0000-000063060000}"/>
    <cellStyle name="40% - Accent5 2 2 5 3 2" xfId="14276" xr:uid="{7809BCA4-CD35-4C7A-B294-0766E6AD8576}"/>
    <cellStyle name="40% - Accent5 2 2 5 4" xfId="10058" xr:uid="{CAD869E0-36ED-43EA-97A2-37453597A502}"/>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C2B9F174-E7A2-45D0-B8B7-0127251B47F1}"/>
    <cellStyle name="40% - Accent5 2 2 6 2 3" xfId="12616" xr:uid="{2AB09CB1-E15B-4A02-94DA-DCF74977C071}"/>
    <cellStyle name="40% - Accent5 2 2 6 3" xfId="6239" xr:uid="{00000000-0005-0000-0000-000067060000}"/>
    <cellStyle name="40% - Accent5 2 2 6 3 2" xfId="14689" xr:uid="{764F4A91-DED6-47E5-883B-64C4F8ED50EE}"/>
    <cellStyle name="40% - Accent5 2 2 6 4" xfId="10471" xr:uid="{16025E4C-BAD6-44D8-9A4C-C87E297A8B74}"/>
    <cellStyle name="40% - Accent5 2 2 7" xfId="2346" xr:uid="{00000000-0005-0000-0000-000068060000}"/>
    <cellStyle name="40% - Accent5 2 2 7 2" xfId="6652" xr:uid="{00000000-0005-0000-0000-000069060000}"/>
    <cellStyle name="40% - Accent5 2 2 7 2 2" xfId="15102" xr:uid="{02D439C4-E62D-4457-A1AE-B0CEA075FC5B}"/>
    <cellStyle name="40% - Accent5 2 2 7 3" xfId="10884" xr:uid="{D5193A81-1556-43BF-A760-507DB2EB9FD6}"/>
    <cellStyle name="40% - Accent5 2 2 8" xfId="4586" xr:uid="{00000000-0005-0000-0000-00006A060000}"/>
    <cellStyle name="40% - Accent5 2 2 8 2" xfId="13036" xr:uid="{B1228125-4114-430A-AB1E-74F24BC13BA9}"/>
    <cellStyle name="40% - Accent5 2 2 9" xfId="8818" xr:uid="{1BE1EBF5-A8EE-4F74-B005-4583BE315A78}"/>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4C20DC5D-9A77-4DF3-8FC0-F66E9BF8E5EB}"/>
    <cellStyle name="40% - Accent5 2 3 2 2 3" xfId="11379" xr:uid="{874FAE8F-3C70-4333-AC8D-6308438E0E68}"/>
    <cellStyle name="40% - Accent5 2 3 2 3" xfId="5002" xr:uid="{00000000-0005-0000-0000-00006F060000}"/>
    <cellStyle name="40% - Accent5 2 3 2 3 2" xfId="13452" xr:uid="{C766E70A-B2FF-4367-A8FB-772146A61FF1}"/>
    <cellStyle name="40% - Accent5 2 3 2 4" xfId="9234" xr:uid="{F8DF1B60-E6C1-40F7-99D8-C1B44A450F9F}"/>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724BF6FB-6560-4DB2-AD3A-31DDAC818BA9}"/>
    <cellStyle name="40% - Accent5 2 3 3 2 3" xfId="11792" xr:uid="{0F032164-4E52-41B5-A6F8-A0668ADDF08F}"/>
    <cellStyle name="40% - Accent5 2 3 3 3" xfId="5415" xr:uid="{00000000-0005-0000-0000-000073060000}"/>
    <cellStyle name="40% - Accent5 2 3 3 3 2" xfId="13865" xr:uid="{D3CD62BE-70DD-4C3B-9AC1-DADC53AA1B01}"/>
    <cellStyle name="40% - Accent5 2 3 3 4" xfId="9647" xr:uid="{1F7592F4-B4AE-4174-9F7D-83D954707AD8}"/>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3ACDCC02-5221-4EA4-A2FC-8DAF3F7C104E}"/>
    <cellStyle name="40% - Accent5 2 3 4 2 3" xfId="12205" xr:uid="{01BF0103-725F-4D03-9AA5-D3A7762EABAA}"/>
    <cellStyle name="40% - Accent5 2 3 4 3" xfId="5828" xr:uid="{00000000-0005-0000-0000-000077060000}"/>
    <cellStyle name="40% - Accent5 2 3 4 3 2" xfId="14278" xr:uid="{9EFFE84E-8E58-41FA-81CF-CB8444F546D8}"/>
    <cellStyle name="40% - Accent5 2 3 4 4" xfId="10060" xr:uid="{EA68FD8C-B82E-41BF-A6CC-D627A490DA51}"/>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C858B460-315D-4288-A014-FA7462CDD740}"/>
    <cellStyle name="40% - Accent5 2 3 5 2 3" xfId="12618" xr:uid="{10798703-736C-4EA7-A523-A7AB0F955A5F}"/>
    <cellStyle name="40% - Accent5 2 3 5 3" xfId="6241" xr:uid="{00000000-0005-0000-0000-00007B060000}"/>
    <cellStyle name="40% - Accent5 2 3 5 3 2" xfId="14691" xr:uid="{A4AD8E22-8C2C-489B-9E1C-B4199F7BEF8A}"/>
    <cellStyle name="40% - Accent5 2 3 5 4" xfId="10473" xr:uid="{2F12E9A7-D5D8-47F5-A475-52BFB86D2BBC}"/>
    <cellStyle name="40% - Accent5 2 3 6" xfId="2348" xr:uid="{00000000-0005-0000-0000-00007C060000}"/>
    <cellStyle name="40% - Accent5 2 3 6 2" xfId="6654" xr:uid="{00000000-0005-0000-0000-00007D060000}"/>
    <cellStyle name="40% - Accent5 2 3 6 2 2" xfId="15104" xr:uid="{0C810346-E15B-4E7B-9A96-587ABD84459B}"/>
    <cellStyle name="40% - Accent5 2 3 6 3" xfId="10886" xr:uid="{8269240B-D6F7-4283-8EB3-88AD1911BABA}"/>
    <cellStyle name="40% - Accent5 2 3 7" xfId="4588" xr:uid="{00000000-0005-0000-0000-00007E060000}"/>
    <cellStyle name="40% - Accent5 2 3 7 2" xfId="13038" xr:uid="{2754D8FD-5315-4E47-A288-860F26719FDB}"/>
    <cellStyle name="40% - Accent5 2 3 8" xfId="8820" xr:uid="{E6542EBE-4F5E-4979-A3A8-55FC65BA2F4D}"/>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306EC700-3407-4F0B-A98A-54ED32D3AB8D}"/>
    <cellStyle name="40% - Accent5 2 4 2 3" xfId="11376" xr:uid="{0F715979-F804-4E0A-813B-F0698B2479DF}"/>
    <cellStyle name="40% - Accent5 2 4 3" xfId="4999" xr:uid="{00000000-0005-0000-0000-000082060000}"/>
    <cellStyle name="40% - Accent5 2 4 3 2" xfId="13449" xr:uid="{AEA62C98-F688-4DBB-814E-05DCC186F2EC}"/>
    <cellStyle name="40% - Accent5 2 4 4" xfId="9231" xr:uid="{3A82A5C2-9850-4254-99AD-7DFB20806DBD}"/>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F0A52574-193A-40D7-BAEF-AA54CFF732E3}"/>
    <cellStyle name="40% - Accent5 2 5 2 3" xfId="11789" xr:uid="{1AF8A03E-B932-41AD-88D1-D338AE33FC54}"/>
    <cellStyle name="40% - Accent5 2 5 3" xfId="5412" xr:uid="{00000000-0005-0000-0000-000086060000}"/>
    <cellStyle name="40% - Accent5 2 5 3 2" xfId="13862" xr:uid="{78DD2B0F-8DBE-44D3-A4B0-925E93A8AF43}"/>
    <cellStyle name="40% - Accent5 2 5 4" xfId="9644" xr:uid="{3CA1DAB4-F54B-42DB-BC0F-C4461225E1EF}"/>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95022037-ADDF-4DE0-B7CE-3DAE24CBA887}"/>
    <cellStyle name="40% - Accent5 2 6 2 3" xfId="12202" xr:uid="{65AF23F8-78AD-40F7-880A-22B11DBBB5C3}"/>
    <cellStyle name="40% - Accent5 2 6 3" xfId="5825" xr:uid="{00000000-0005-0000-0000-00008A060000}"/>
    <cellStyle name="40% - Accent5 2 6 3 2" xfId="14275" xr:uid="{7A3629D7-A58F-467A-8804-D94850BF5E27}"/>
    <cellStyle name="40% - Accent5 2 6 4" xfId="10057" xr:uid="{CF9E1E07-F68F-4C40-83F3-A42A7C4B4996}"/>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A0F1737D-9A98-400B-8C25-954ADA311BF0}"/>
    <cellStyle name="40% - Accent5 2 7 2 3" xfId="12615" xr:uid="{23980A8D-66D6-4841-8CDB-FB497ECEEC45}"/>
    <cellStyle name="40% - Accent5 2 7 3" xfId="6238" xr:uid="{00000000-0005-0000-0000-00008E060000}"/>
    <cellStyle name="40% - Accent5 2 7 3 2" xfId="14688" xr:uid="{0F7F0EAB-0409-4A33-B97B-CC66C5B254DC}"/>
    <cellStyle name="40% - Accent5 2 7 4" xfId="10470" xr:uid="{FFB2DA6E-0AA8-48BB-A3C3-996F7B0BB383}"/>
    <cellStyle name="40% - Accent5 2 8" xfId="2345" xr:uid="{00000000-0005-0000-0000-00008F060000}"/>
    <cellStyle name="40% - Accent5 2 8 2" xfId="6651" xr:uid="{00000000-0005-0000-0000-000090060000}"/>
    <cellStyle name="40% - Accent5 2 8 2 2" xfId="15101" xr:uid="{615B31A9-0D14-4774-AFDC-8ACA83D0E09A}"/>
    <cellStyle name="40% - Accent5 2 8 3" xfId="10883" xr:uid="{A9B26B4B-C98A-48E5-B927-6C2DA832F02C}"/>
    <cellStyle name="40% - Accent5 2 9" xfId="4585" xr:uid="{00000000-0005-0000-0000-000091060000}"/>
    <cellStyle name="40% - Accent5 2 9 2" xfId="13035" xr:uid="{87FE497D-4AD8-4586-A750-15E573CC6D2A}"/>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423BDD06-C662-43D7-A06E-1E305B89FAC7}"/>
    <cellStyle name="40% - Accent5 3 2 2 2 3" xfId="11381" xr:uid="{2E1881EA-C409-4F64-8521-4D871375413E}"/>
    <cellStyle name="40% - Accent5 3 2 2 3" xfId="5004" xr:uid="{00000000-0005-0000-0000-000097060000}"/>
    <cellStyle name="40% - Accent5 3 2 2 3 2" xfId="13454" xr:uid="{1A98B47A-CFEB-4E20-9E5A-EF66DDFDEE46}"/>
    <cellStyle name="40% - Accent5 3 2 2 4" xfId="9236" xr:uid="{4A85D8CC-D982-45FA-8B83-FCEF73B9A2EA}"/>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6B0B89AD-6AFE-4B58-8A5D-F7F11AB953F8}"/>
    <cellStyle name="40% - Accent5 3 2 3 2 3" xfId="11794" xr:uid="{C5453A19-F47F-412E-B47C-D1F7F789F44D}"/>
    <cellStyle name="40% - Accent5 3 2 3 3" xfId="5417" xr:uid="{00000000-0005-0000-0000-00009B060000}"/>
    <cellStyle name="40% - Accent5 3 2 3 3 2" xfId="13867" xr:uid="{0C3BE2CB-72B8-4547-B206-6E19223D76D4}"/>
    <cellStyle name="40% - Accent5 3 2 3 4" xfId="9649" xr:uid="{B9163E5E-59D5-4AD1-AB5E-79C24C873AEF}"/>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D2D81067-C75A-4DA4-9E51-200E0A78F9C6}"/>
    <cellStyle name="40% - Accent5 3 2 4 2 3" xfId="12207" xr:uid="{461D5720-665B-42B7-BFBE-CD6B94F0CE2F}"/>
    <cellStyle name="40% - Accent5 3 2 4 3" xfId="5830" xr:uid="{00000000-0005-0000-0000-00009F060000}"/>
    <cellStyle name="40% - Accent5 3 2 4 3 2" xfId="14280" xr:uid="{CC3C16D8-1F89-45CA-8E6C-306C703B1137}"/>
    <cellStyle name="40% - Accent5 3 2 4 4" xfId="10062" xr:uid="{3CDB14AF-B5C7-46E9-9AC2-8132F6207CC6}"/>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B6E9FB4E-A9C8-4F9A-BFEE-93B2FB980D3D}"/>
    <cellStyle name="40% - Accent5 3 2 5 2 3" xfId="12620" xr:uid="{26E56044-58C1-45DB-9902-E286144E66FE}"/>
    <cellStyle name="40% - Accent5 3 2 5 3" xfId="6243" xr:uid="{00000000-0005-0000-0000-0000A3060000}"/>
    <cellStyle name="40% - Accent5 3 2 5 3 2" xfId="14693" xr:uid="{1898BF72-AF5F-4686-B1AC-916156260AFE}"/>
    <cellStyle name="40% - Accent5 3 2 5 4" xfId="10475" xr:uid="{1A2ADA38-42CE-4F62-ACD9-43951B202617}"/>
    <cellStyle name="40% - Accent5 3 2 6" xfId="2350" xr:uid="{00000000-0005-0000-0000-0000A4060000}"/>
    <cellStyle name="40% - Accent5 3 2 6 2" xfId="6656" xr:uid="{00000000-0005-0000-0000-0000A5060000}"/>
    <cellStyle name="40% - Accent5 3 2 6 2 2" xfId="15106" xr:uid="{A5C443A6-1259-4AAA-9E73-F4799307EB27}"/>
    <cellStyle name="40% - Accent5 3 2 6 3" xfId="10888" xr:uid="{25272442-551A-4790-A24B-F1BB608B41D6}"/>
    <cellStyle name="40% - Accent5 3 2 7" xfId="4590" xr:uid="{00000000-0005-0000-0000-0000A6060000}"/>
    <cellStyle name="40% - Accent5 3 2 7 2" xfId="13040" xr:uid="{81831C33-1739-43A3-A54E-D912BCC4324F}"/>
    <cellStyle name="40% - Accent5 3 2 8" xfId="8822" xr:uid="{97F3F0B5-E331-4429-9D27-59127254FD94}"/>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9739D3A4-8767-483A-A9B6-22FD413A2D6F}"/>
    <cellStyle name="40% - Accent5 3 3 2 3" xfId="11380" xr:uid="{307E75C0-FC86-476A-A66B-BE47896524D9}"/>
    <cellStyle name="40% - Accent5 3 3 3" xfId="5003" xr:uid="{00000000-0005-0000-0000-0000AA060000}"/>
    <cellStyle name="40% - Accent5 3 3 3 2" xfId="13453" xr:uid="{2F962A60-B2D6-40E8-9AD2-1120A92CBBD3}"/>
    <cellStyle name="40% - Accent5 3 3 4" xfId="9235" xr:uid="{19210E3A-D56C-43B4-BC19-D374EF772BCE}"/>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903AAE62-2BD6-4819-831A-DBB0CE08DA7D}"/>
    <cellStyle name="40% - Accent5 3 4 2 3" xfId="11793" xr:uid="{EE0C434C-10CD-4C08-B8A9-9F5E91EE4E51}"/>
    <cellStyle name="40% - Accent5 3 4 3" xfId="5416" xr:uid="{00000000-0005-0000-0000-0000AE060000}"/>
    <cellStyle name="40% - Accent5 3 4 3 2" xfId="13866" xr:uid="{48E404C5-DD48-4832-A525-E83D416726B9}"/>
    <cellStyle name="40% - Accent5 3 4 4" xfId="9648" xr:uid="{01CCFDC1-E5EE-4DC2-8CFA-1EDE0A0A66FF}"/>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906ACD90-CAC7-47C8-B92D-763781A57488}"/>
    <cellStyle name="40% - Accent5 3 5 2 3" xfId="12206" xr:uid="{87CA13BC-17E5-4C77-9E15-16A5BC86CA1A}"/>
    <cellStyle name="40% - Accent5 3 5 3" xfId="5829" xr:uid="{00000000-0005-0000-0000-0000B2060000}"/>
    <cellStyle name="40% - Accent5 3 5 3 2" xfId="14279" xr:uid="{C94EEBF9-1518-4CA5-B55E-6A937F3B681E}"/>
    <cellStyle name="40% - Accent5 3 5 4" xfId="10061" xr:uid="{DB876BCA-C46B-4A47-BF04-4709F41325A0}"/>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2ACA861C-07DA-4589-B5F3-04480B4B9DD5}"/>
    <cellStyle name="40% - Accent5 3 6 2 3" xfId="12619" xr:uid="{9F9F7103-E7A4-47B8-B319-053CE48D3C79}"/>
    <cellStyle name="40% - Accent5 3 6 3" xfId="6242" xr:uid="{00000000-0005-0000-0000-0000B6060000}"/>
    <cellStyle name="40% - Accent5 3 6 3 2" xfId="14692" xr:uid="{9CC6E878-3F93-457B-9599-7FB8F1658BE9}"/>
    <cellStyle name="40% - Accent5 3 6 4" xfId="10474" xr:uid="{385CEF64-A8F3-4C17-9E2D-7DC2770F6373}"/>
    <cellStyle name="40% - Accent5 3 7" xfId="2349" xr:uid="{00000000-0005-0000-0000-0000B7060000}"/>
    <cellStyle name="40% - Accent5 3 7 2" xfId="6655" xr:uid="{00000000-0005-0000-0000-0000B8060000}"/>
    <cellStyle name="40% - Accent5 3 7 2 2" xfId="15105" xr:uid="{77D50330-938A-4E2E-9DE7-0CF81916E8E0}"/>
    <cellStyle name="40% - Accent5 3 7 3" xfId="10887" xr:uid="{FB67A56E-2021-4432-8ECA-8B122447F3EF}"/>
    <cellStyle name="40% - Accent5 3 8" xfId="4589" xr:uid="{00000000-0005-0000-0000-0000B9060000}"/>
    <cellStyle name="40% - Accent5 3 8 2" xfId="13039" xr:uid="{CBCCF291-B395-441A-A0EE-A15F8CAF9570}"/>
    <cellStyle name="40% - Accent5 3 9" xfId="8821" xr:uid="{D462B2CB-CB86-4663-8A7E-A85AAE5E21C9}"/>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8D2E9D7A-740F-4344-92F0-EC723294E31F}"/>
    <cellStyle name="40% - Accent5 4 2 2 3" xfId="11382" xr:uid="{EC8A1206-8C20-4F2A-8E5B-512705736D6B}"/>
    <cellStyle name="40% - Accent5 4 2 3" xfId="5005" xr:uid="{00000000-0005-0000-0000-0000BE060000}"/>
    <cellStyle name="40% - Accent5 4 2 3 2" xfId="13455" xr:uid="{5039DA72-C536-4EA9-8FDD-EEB644820261}"/>
    <cellStyle name="40% - Accent5 4 2 4" xfId="9237" xr:uid="{96BB6EDE-53E7-496C-BB9F-2D8E0EEA7974}"/>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4D45B25B-8E43-40DC-8DDA-EA994A0C838C}"/>
    <cellStyle name="40% - Accent5 4 3 2 3" xfId="11795" xr:uid="{080EDC6C-5ABF-44EC-877A-528B466111B0}"/>
    <cellStyle name="40% - Accent5 4 3 3" xfId="5418" xr:uid="{00000000-0005-0000-0000-0000C2060000}"/>
    <cellStyle name="40% - Accent5 4 3 3 2" xfId="13868" xr:uid="{CB9821D1-B2A9-46C1-ABF0-F4B31C5B48DB}"/>
    <cellStyle name="40% - Accent5 4 3 4" xfId="9650" xr:uid="{0991ED31-44F5-4D24-B62A-A19042799E45}"/>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957A29AF-8D8C-4BE9-B5AA-5ADC2B5B8839}"/>
    <cellStyle name="40% - Accent5 4 4 2 3" xfId="12208" xr:uid="{3AC480D0-63CE-4991-BCF1-41D544EA0F97}"/>
    <cellStyle name="40% - Accent5 4 4 3" xfId="5831" xr:uid="{00000000-0005-0000-0000-0000C6060000}"/>
    <cellStyle name="40% - Accent5 4 4 3 2" xfId="14281" xr:uid="{7C701D8E-8117-4C16-82BB-547DA82D38D2}"/>
    <cellStyle name="40% - Accent5 4 4 4" xfId="10063" xr:uid="{B3C6EE0B-949C-477B-951F-C30D91EB7234}"/>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FADF59D0-D53A-41C0-AD25-5F9635E86A97}"/>
    <cellStyle name="40% - Accent5 4 5 2 3" xfId="12621" xr:uid="{7EF36922-A1EB-4936-BFCC-B0C7A91077D6}"/>
    <cellStyle name="40% - Accent5 4 5 3" xfId="6244" xr:uid="{00000000-0005-0000-0000-0000CA060000}"/>
    <cellStyle name="40% - Accent5 4 5 3 2" xfId="14694" xr:uid="{09DF3194-8155-4D42-8A2F-C3DE2B1CCFD3}"/>
    <cellStyle name="40% - Accent5 4 5 4" xfId="10476" xr:uid="{624393F9-6FC3-4A1F-BD61-125720584CF0}"/>
    <cellStyle name="40% - Accent5 4 6" xfId="2351" xr:uid="{00000000-0005-0000-0000-0000CB060000}"/>
    <cellStyle name="40% - Accent5 4 6 2" xfId="6657" xr:uid="{00000000-0005-0000-0000-0000CC060000}"/>
    <cellStyle name="40% - Accent5 4 6 2 2" xfId="15107" xr:uid="{990008C5-C93D-4AC1-A252-2FD390B36725}"/>
    <cellStyle name="40% - Accent5 4 6 3" xfId="10889" xr:uid="{6FAA0DE6-F705-410F-AD35-C2E8F24BC214}"/>
    <cellStyle name="40% - Accent5 4 7" xfId="4591" xr:uid="{00000000-0005-0000-0000-0000CD060000}"/>
    <cellStyle name="40% - Accent5 4 7 2" xfId="13041" xr:uid="{AD4B8AB8-60A8-4A4C-AA98-F61AE15D01EE}"/>
    <cellStyle name="40% - Accent5 4 8" xfId="8823" xr:uid="{5B6FA5BD-E1AC-44F1-9591-769AC8D62D9F}"/>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DC792782-BCAB-4F49-9559-EBD2C8F8CD31}"/>
    <cellStyle name="40% - Accent5 5 2 3" xfId="11375" xr:uid="{B1F33684-2813-4EC5-A8DE-02F11977C347}"/>
    <cellStyle name="40% - Accent5 5 3" xfId="4998" xr:uid="{00000000-0005-0000-0000-0000D1060000}"/>
    <cellStyle name="40% - Accent5 5 3 2" xfId="13448" xr:uid="{3494724B-FE15-4B25-8A07-42186CB9FB65}"/>
    <cellStyle name="40% - Accent5 5 4" xfId="9230" xr:uid="{983E2E31-959C-434E-BDD1-B7D0B1F1E2A3}"/>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3EE373D7-9C95-4EB9-83C2-B6BFFE8C2987}"/>
    <cellStyle name="40% - Accent5 6 2 3" xfId="11788" xr:uid="{A84FFC65-948C-4D6A-B679-4B7AC876B86C}"/>
    <cellStyle name="40% - Accent5 6 3" xfId="5411" xr:uid="{00000000-0005-0000-0000-0000D5060000}"/>
    <cellStyle name="40% - Accent5 6 3 2" xfId="13861" xr:uid="{7E3DD307-FCD4-49E8-8519-F93788D910C0}"/>
    <cellStyle name="40% - Accent5 6 4" xfId="9643" xr:uid="{88E84F0D-90A5-43A5-B3B8-AEB5F4969261}"/>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3F0A4F82-9C6D-4F18-88BE-8009A997EFC6}"/>
    <cellStyle name="40% - Accent5 7 2 3" xfId="12201" xr:uid="{5E8584A4-6927-4E1E-B0C6-6DBCE02F5A96}"/>
    <cellStyle name="40% - Accent5 7 3" xfId="5824" xr:uid="{00000000-0005-0000-0000-0000D9060000}"/>
    <cellStyle name="40% - Accent5 7 3 2" xfId="14274" xr:uid="{1E5F6953-5C3B-453D-A788-AD3C3176682A}"/>
    <cellStyle name="40% - Accent5 7 4" xfId="10056" xr:uid="{7D2BA244-21B9-459B-ACB0-15A93CDCC996}"/>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E61B2E93-0CD3-4848-8DA9-76532A670EA2}"/>
    <cellStyle name="40% - Accent5 8 2 3" xfId="12614" xr:uid="{10181407-F88E-4C44-81F5-9EECB0912413}"/>
    <cellStyle name="40% - Accent5 8 3" xfId="6237" xr:uid="{00000000-0005-0000-0000-0000DD060000}"/>
    <cellStyle name="40% - Accent5 8 3 2" xfId="14687" xr:uid="{D70CF2A9-2D9D-496F-832E-0E879150BBBA}"/>
    <cellStyle name="40% - Accent5 8 4" xfId="10469" xr:uid="{7038FBD6-3AC3-4CF3-AE1F-DC95CC1A81B2}"/>
    <cellStyle name="40% - Accent5 9" xfId="2344" xr:uid="{00000000-0005-0000-0000-0000DE060000}"/>
    <cellStyle name="40% - Accent5 9 2" xfId="6650" xr:uid="{00000000-0005-0000-0000-0000DF060000}"/>
    <cellStyle name="40% - Accent5 9 2 2" xfId="15100" xr:uid="{07B6646E-AC98-43DB-B98B-F3F2F809A0A6}"/>
    <cellStyle name="40% - Accent5 9 3" xfId="10882" xr:uid="{1B01D12C-D77A-49EB-962C-EB48DB316556}"/>
    <cellStyle name="40% - Accent6" xfId="89" builtinId="51" customBuiltin="1"/>
    <cellStyle name="40% - Accent6 10" xfId="4592" xr:uid="{00000000-0005-0000-0000-0000E1060000}"/>
    <cellStyle name="40% - Accent6 10 2" xfId="13042" xr:uid="{94E65A59-FC2E-4A1F-805A-EF9FFCAB9898}"/>
    <cellStyle name="40% - Accent6 11" xfId="8824" xr:uid="{F411D986-5CB9-4C68-8791-DD3CEC5E056A}"/>
    <cellStyle name="40% - Accent6 2" xfId="90" xr:uid="{00000000-0005-0000-0000-0000E2060000}"/>
    <cellStyle name="40% - Accent6 2 10" xfId="8825" xr:uid="{12FC5EBA-6046-42D9-9926-27954BDCF0FA}"/>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BC3D2E91-E72D-4E91-B677-04A3D11AC2BC}"/>
    <cellStyle name="40% - Accent6 2 2 2 2 2 3" xfId="11386" xr:uid="{5CD3DB90-4BAE-4820-BCB4-BC0EAA6B7DEF}"/>
    <cellStyle name="40% - Accent6 2 2 2 2 3" xfId="5009" xr:uid="{00000000-0005-0000-0000-0000E8060000}"/>
    <cellStyle name="40% - Accent6 2 2 2 2 3 2" xfId="13459" xr:uid="{62CB5022-EB60-4427-B26E-1DB69500509C}"/>
    <cellStyle name="40% - Accent6 2 2 2 2 4" xfId="9241" xr:uid="{8D2231C9-E70E-43CC-91BD-A1B5BC0507B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457B6FA1-3574-45C9-BA13-3358D10BB6D5}"/>
    <cellStyle name="40% - Accent6 2 2 2 3 2 3" xfId="11799" xr:uid="{37FBF7C1-6263-41E6-B3DB-455CEAFAF84A}"/>
    <cellStyle name="40% - Accent6 2 2 2 3 3" xfId="5422" xr:uid="{00000000-0005-0000-0000-0000EC060000}"/>
    <cellStyle name="40% - Accent6 2 2 2 3 3 2" xfId="13872" xr:uid="{35689A40-3273-4F3F-B391-FF0239516D9B}"/>
    <cellStyle name="40% - Accent6 2 2 2 3 4" xfId="9654" xr:uid="{BAEB9821-8CEC-406F-B11A-B38E3942D85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D99BED54-7D21-41D3-BC0A-8F688DCA8C99}"/>
    <cellStyle name="40% - Accent6 2 2 2 4 2 3" xfId="12212" xr:uid="{75A40F80-1ABA-4A93-AA23-9DE5CF0D2489}"/>
    <cellStyle name="40% - Accent6 2 2 2 4 3" xfId="5835" xr:uid="{00000000-0005-0000-0000-0000F0060000}"/>
    <cellStyle name="40% - Accent6 2 2 2 4 3 2" xfId="14285" xr:uid="{6C9423A2-66E3-4F92-A08B-E7BFA4F3E9A1}"/>
    <cellStyle name="40% - Accent6 2 2 2 4 4" xfId="10067" xr:uid="{2F277D3C-9EE6-4456-AC98-7EB1079F3BEC}"/>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3D2005B1-92A0-4014-9659-302225567A21}"/>
    <cellStyle name="40% - Accent6 2 2 2 5 2 3" xfId="12625" xr:uid="{879A0471-162A-4060-AC6E-FF706F5508C8}"/>
    <cellStyle name="40% - Accent6 2 2 2 5 3" xfId="6248" xr:uid="{00000000-0005-0000-0000-0000F4060000}"/>
    <cellStyle name="40% - Accent6 2 2 2 5 3 2" xfId="14698" xr:uid="{5BB222BD-F5C8-42A7-A4A8-34784EBA5CBA}"/>
    <cellStyle name="40% - Accent6 2 2 2 5 4" xfId="10480" xr:uid="{9F81D2D1-9A1D-4066-B0F1-3E1F9A3AF3E1}"/>
    <cellStyle name="40% - Accent6 2 2 2 6" xfId="2355" xr:uid="{00000000-0005-0000-0000-0000F5060000}"/>
    <cellStyle name="40% - Accent6 2 2 2 6 2" xfId="6661" xr:uid="{00000000-0005-0000-0000-0000F6060000}"/>
    <cellStyle name="40% - Accent6 2 2 2 6 2 2" xfId="15111" xr:uid="{A3B2A9D7-3EA7-4A8B-B339-FA2544813A37}"/>
    <cellStyle name="40% - Accent6 2 2 2 6 3" xfId="10893" xr:uid="{095051BB-0D25-4531-B7EC-FC1C9E5DAC63}"/>
    <cellStyle name="40% - Accent6 2 2 2 7" xfId="4595" xr:uid="{00000000-0005-0000-0000-0000F7060000}"/>
    <cellStyle name="40% - Accent6 2 2 2 7 2" xfId="13045" xr:uid="{CE799C1A-A547-465B-A4CC-E85F7B603872}"/>
    <cellStyle name="40% - Accent6 2 2 2 8" xfId="8827" xr:uid="{732D8BBB-A31D-44D7-B632-51FD394225AB}"/>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899B19DD-2650-4B91-BA96-AEEEFDD97395}"/>
    <cellStyle name="40% - Accent6 2 2 3 2 3" xfId="11385" xr:uid="{2D48B893-4D59-49F5-9559-96C29624D094}"/>
    <cellStyle name="40% - Accent6 2 2 3 3" xfId="5008" xr:uid="{00000000-0005-0000-0000-0000FB060000}"/>
    <cellStyle name="40% - Accent6 2 2 3 3 2" xfId="13458" xr:uid="{FD0F9DD8-463D-4F91-8DF8-C2CC6AA98B57}"/>
    <cellStyle name="40% - Accent6 2 2 3 4" xfId="9240" xr:uid="{04F4C6AD-7912-4DFF-8218-C4DC73ED566D}"/>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4CDD2FB9-06E9-48E1-A460-B41461C3F892}"/>
    <cellStyle name="40% - Accent6 2 2 4 2 3" xfId="11798" xr:uid="{ED800E35-9ADF-48E2-A6A7-C12002B3FB34}"/>
    <cellStyle name="40% - Accent6 2 2 4 3" xfId="5421" xr:uid="{00000000-0005-0000-0000-0000FF060000}"/>
    <cellStyle name="40% - Accent6 2 2 4 3 2" xfId="13871" xr:uid="{830C960D-AFCB-43E1-BA9D-D19BE82C8326}"/>
    <cellStyle name="40% - Accent6 2 2 4 4" xfId="9653" xr:uid="{F12438AC-E2DB-48AC-A1B0-74C530EEF161}"/>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296EBB06-F2AE-497B-90A0-3E6839244A13}"/>
    <cellStyle name="40% - Accent6 2 2 5 2 3" xfId="12211" xr:uid="{AD07B532-4EE9-4568-BDFB-937661ED289B}"/>
    <cellStyle name="40% - Accent6 2 2 5 3" xfId="5834" xr:uid="{00000000-0005-0000-0000-000003070000}"/>
    <cellStyle name="40% - Accent6 2 2 5 3 2" xfId="14284" xr:uid="{B64FB939-D91C-4F4C-855C-1F87C86A2011}"/>
    <cellStyle name="40% - Accent6 2 2 5 4" xfId="10066" xr:uid="{06FB0415-8D1E-48B9-BE03-43542A209CFD}"/>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2AA956B5-E16D-4B22-8C84-1D7C2B812A9C}"/>
    <cellStyle name="40% - Accent6 2 2 6 2 3" xfId="12624" xr:uid="{0CB74AD2-2F0F-4EEB-978A-71ABF18070AA}"/>
    <cellStyle name="40% - Accent6 2 2 6 3" xfId="6247" xr:uid="{00000000-0005-0000-0000-000007070000}"/>
    <cellStyle name="40% - Accent6 2 2 6 3 2" xfId="14697" xr:uid="{F3FD1D08-8308-4244-BF45-C736081CEC33}"/>
    <cellStyle name="40% - Accent6 2 2 6 4" xfId="10479" xr:uid="{5BEAF2D4-F251-4B00-B0B1-8899E75F9C21}"/>
    <cellStyle name="40% - Accent6 2 2 7" xfId="2354" xr:uid="{00000000-0005-0000-0000-000008070000}"/>
    <cellStyle name="40% - Accent6 2 2 7 2" xfId="6660" xr:uid="{00000000-0005-0000-0000-000009070000}"/>
    <cellStyle name="40% - Accent6 2 2 7 2 2" xfId="15110" xr:uid="{92667113-8BC9-4C82-BEA4-714E701D8320}"/>
    <cellStyle name="40% - Accent6 2 2 7 3" xfId="10892" xr:uid="{9FF202F7-0EF3-4F41-A378-12CEC2BAAA57}"/>
    <cellStyle name="40% - Accent6 2 2 8" xfId="4594" xr:uid="{00000000-0005-0000-0000-00000A070000}"/>
    <cellStyle name="40% - Accent6 2 2 8 2" xfId="13044" xr:uid="{E807C5D4-6824-4711-9342-23BE6C7222CE}"/>
    <cellStyle name="40% - Accent6 2 2 9" xfId="8826" xr:uid="{D5C7E26D-EC76-4CDA-968D-208AED312AF3}"/>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67DD922E-6AFF-49B9-9AE7-5B36B1C9D4F0}"/>
    <cellStyle name="40% - Accent6 2 3 2 2 3" xfId="11387" xr:uid="{13A0EE53-949B-4ED4-B1D3-E51E4B76F509}"/>
    <cellStyle name="40% - Accent6 2 3 2 3" xfId="5010" xr:uid="{00000000-0005-0000-0000-00000F070000}"/>
    <cellStyle name="40% - Accent6 2 3 2 3 2" xfId="13460" xr:uid="{C042D055-65A3-42D7-B2AD-8C73101468BE}"/>
    <cellStyle name="40% - Accent6 2 3 2 4" xfId="9242" xr:uid="{3618F846-B984-4D59-8E76-A142CCFD07C6}"/>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60C977AA-8CB0-4C64-80AC-775B03694828}"/>
    <cellStyle name="40% - Accent6 2 3 3 2 3" xfId="11800" xr:uid="{359A868B-514E-4FCD-AAA2-72E9FD078BA1}"/>
    <cellStyle name="40% - Accent6 2 3 3 3" xfId="5423" xr:uid="{00000000-0005-0000-0000-000013070000}"/>
    <cellStyle name="40% - Accent6 2 3 3 3 2" xfId="13873" xr:uid="{956B10BB-DD7B-439F-9393-6E200C18D555}"/>
    <cellStyle name="40% - Accent6 2 3 3 4" xfId="9655" xr:uid="{73DC020B-E580-49E5-8884-08238A989BA1}"/>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0AACDD70-DDF0-4978-996D-2143D85A2980}"/>
    <cellStyle name="40% - Accent6 2 3 4 2 3" xfId="12213" xr:uid="{AFAF2B59-90D4-446C-A7D9-68218F70060B}"/>
    <cellStyle name="40% - Accent6 2 3 4 3" xfId="5836" xr:uid="{00000000-0005-0000-0000-000017070000}"/>
    <cellStyle name="40% - Accent6 2 3 4 3 2" xfId="14286" xr:uid="{C7762CDC-EECC-4042-82A6-23C44ACE2BD8}"/>
    <cellStyle name="40% - Accent6 2 3 4 4" xfId="10068" xr:uid="{9D78922E-C453-4BE7-BDA9-B98277AA3F02}"/>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A9D5FF63-51A9-43FC-9A6A-6E6A9E92240B}"/>
    <cellStyle name="40% - Accent6 2 3 5 2 3" xfId="12626" xr:uid="{52FBEEE0-FF73-4C16-BFB3-3F3B9C00D1FF}"/>
    <cellStyle name="40% - Accent6 2 3 5 3" xfId="6249" xr:uid="{00000000-0005-0000-0000-00001B070000}"/>
    <cellStyle name="40% - Accent6 2 3 5 3 2" xfId="14699" xr:uid="{A727AEAA-07C9-4F12-9A51-9E6D4D1519D9}"/>
    <cellStyle name="40% - Accent6 2 3 5 4" xfId="10481" xr:uid="{9EAF1C58-779A-447E-9351-48C675D54E9E}"/>
    <cellStyle name="40% - Accent6 2 3 6" xfId="2356" xr:uid="{00000000-0005-0000-0000-00001C070000}"/>
    <cellStyle name="40% - Accent6 2 3 6 2" xfId="6662" xr:uid="{00000000-0005-0000-0000-00001D070000}"/>
    <cellStyle name="40% - Accent6 2 3 6 2 2" xfId="15112" xr:uid="{8BFD1405-616A-4DA0-8967-7E43B6EB79D5}"/>
    <cellStyle name="40% - Accent6 2 3 6 3" xfId="10894" xr:uid="{93AA9537-23DA-4D2C-8FBF-222C4DD52734}"/>
    <cellStyle name="40% - Accent6 2 3 7" xfId="4596" xr:uid="{00000000-0005-0000-0000-00001E070000}"/>
    <cellStyle name="40% - Accent6 2 3 7 2" xfId="13046" xr:uid="{9CDD6C8A-6AD6-4217-9091-ECBFD4818A45}"/>
    <cellStyle name="40% - Accent6 2 3 8" xfId="8828" xr:uid="{43D5DE76-78FE-4812-BEDD-CADB441A695D}"/>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4A571919-7F28-4100-8ED2-FA23E4B6B02A}"/>
    <cellStyle name="40% - Accent6 2 4 2 3" xfId="11384" xr:uid="{A4B2D95A-46FE-4BD0-8242-FBF2A6F7C03B}"/>
    <cellStyle name="40% - Accent6 2 4 3" xfId="5007" xr:uid="{00000000-0005-0000-0000-000022070000}"/>
    <cellStyle name="40% - Accent6 2 4 3 2" xfId="13457" xr:uid="{4F33148F-7959-4921-81FF-2B6221972FCD}"/>
    <cellStyle name="40% - Accent6 2 4 4" xfId="9239" xr:uid="{957C829E-F9F2-4D7A-8CA5-3ACEBC3E09D9}"/>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6FA7E90B-88FF-41F6-AB5C-6743D847CA06}"/>
    <cellStyle name="40% - Accent6 2 5 2 3" xfId="11797" xr:uid="{3F06A1F5-94C3-4E59-AED8-9E911BFDB44E}"/>
    <cellStyle name="40% - Accent6 2 5 3" xfId="5420" xr:uid="{00000000-0005-0000-0000-000026070000}"/>
    <cellStyle name="40% - Accent6 2 5 3 2" xfId="13870" xr:uid="{6A1D9B8F-7BCC-4C45-8624-393327160A83}"/>
    <cellStyle name="40% - Accent6 2 5 4" xfId="9652" xr:uid="{8D3F7A5B-E9F7-41B1-B9A6-3AB7D6888240}"/>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E9B12CED-3CA5-427D-AE87-9A0077F9E9E7}"/>
    <cellStyle name="40% - Accent6 2 6 2 3" xfId="12210" xr:uid="{9E445E0F-5141-45CD-AC50-08C9E2A43C59}"/>
    <cellStyle name="40% - Accent6 2 6 3" xfId="5833" xr:uid="{00000000-0005-0000-0000-00002A070000}"/>
    <cellStyle name="40% - Accent6 2 6 3 2" xfId="14283" xr:uid="{39517916-D636-4A07-AA86-1A4432056A69}"/>
    <cellStyle name="40% - Accent6 2 6 4" xfId="10065" xr:uid="{36303152-7F6D-4A50-BEE9-7370E66D6BA2}"/>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FCC6EE26-ECB2-4270-80BB-646AA4E85CFE}"/>
    <cellStyle name="40% - Accent6 2 7 2 3" xfId="12623" xr:uid="{A8375D59-7445-4ABD-8F8F-CCAA688A2C9D}"/>
    <cellStyle name="40% - Accent6 2 7 3" xfId="6246" xr:uid="{00000000-0005-0000-0000-00002E070000}"/>
    <cellStyle name="40% - Accent6 2 7 3 2" xfId="14696" xr:uid="{A87D4AAA-7826-47E0-9E7F-5A1E7CAC4798}"/>
    <cellStyle name="40% - Accent6 2 7 4" xfId="10478" xr:uid="{D3BB81A8-3F36-4822-B2E4-77B1724BA50C}"/>
    <cellStyle name="40% - Accent6 2 8" xfId="2353" xr:uid="{00000000-0005-0000-0000-00002F070000}"/>
    <cellStyle name="40% - Accent6 2 8 2" xfId="6659" xr:uid="{00000000-0005-0000-0000-000030070000}"/>
    <cellStyle name="40% - Accent6 2 8 2 2" xfId="15109" xr:uid="{8E94DF32-F5E3-48B1-BFAF-8656ED7D1313}"/>
    <cellStyle name="40% - Accent6 2 8 3" xfId="10891" xr:uid="{CBEA5178-FE09-4829-80C6-A9E42181BB66}"/>
    <cellStyle name="40% - Accent6 2 9" xfId="4593" xr:uid="{00000000-0005-0000-0000-000031070000}"/>
    <cellStyle name="40% - Accent6 2 9 2" xfId="13043" xr:uid="{B7732916-5C7A-4719-852F-9EFCC29B52F2}"/>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B49F70A3-E960-48B1-9288-B3AA141BEBD6}"/>
    <cellStyle name="40% - Accent6 3 2 2 2 3" xfId="11389" xr:uid="{C730798E-9EB0-495A-96B2-73EF4D860290}"/>
    <cellStyle name="40% - Accent6 3 2 2 3" xfId="5012" xr:uid="{00000000-0005-0000-0000-000037070000}"/>
    <cellStyle name="40% - Accent6 3 2 2 3 2" xfId="13462" xr:uid="{71C2FEE2-0DDF-49C0-901C-B891C92743E5}"/>
    <cellStyle name="40% - Accent6 3 2 2 4" xfId="9244" xr:uid="{2DC380DB-01B3-49FE-A31B-6907A5129071}"/>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30AC7199-DF90-45BE-8996-102729A04CB7}"/>
    <cellStyle name="40% - Accent6 3 2 3 2 3" xfId="11802" xr:uid="{F44599CB-A861-401B-B71C-3617FDC041C4}"/>
    <cellStyle name="40% - Accent6 3 2 3 3" xfId="5425" xr:uid="{00000000-0005-0000-0000-00003B070000}"/>
    <cellStyle name="40% - Accent6 3 2 3 3 2" xfId="13875" xr:uid="{300E4FD3-DE3B-4517-8EF6-1B5541A3AB9B}"/>
    <cellStyle name="40% - Accent6 3 2 3 4" xfId="9657" xr:uid="{E1DF0E0D-7416-40B5-B111-D8D2361AC4C7}"/>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EA47C717-6CC7-4CDC-AF8B-245E6B488D08}"/>
    <cellStyle name="40% - Accent6 3 2 4 2 3" xfId="12215" xr:uid="{304F35D4-8544-459B-9878-ECAAC7DBEBC0}"/>
    <cellStyle name="40% - Accent6 3 2 4 3" xfId="5838" xr:uid="{00000000-0005-0000-0000-00003F070000}"/>
    <cellStyle name="40% - Accent6 3 2 4 3 2" xfId="14288" xr:uid="{E1BBFFBF-4F5A-4BF7-A447-F66CEA3F35D5}"/>
    <cellStyle name="40% - Accent6 3 2 4 4" xfId="10070" xr:uid="{E2D18822-6E14-4463-AA85-29A40D2CC9B9}"/>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5C8434B0-C145-4342-BBD8-E07EA89BE319}"/>
    <cellStyle name="40% - Accent6 3 2 5 2 3" xfId="12628" xr:uid="{3C3A9EEA-6AFB-40ED-B36C-20EB9D1FF6E8}"/>
    <cellStyle name="40% - Accent6 3 2 5 3" xfId="6251" xr:uid="{00000000-0005-0000-0000-000043070000}"/>
    <cellStyle name="40% - Accent6 3 2 5 3 2" xfId="14701" xr:uid="{76F92BAF-4F64-44FA-BCB0-080A8E690AA2}"/>
    <cellStyle name="40% - Accent6 3 2 5 4" xfId="10483" xr:uid="{68A2CFC2-01DA-497B-B1CE-C4F5F2D7C032}"/>
    <cellStyle name="40% - Accent6 3 2 6" xfId="2358" xr:uid="{00000000-0005-0000-0000-000044070000}"/>
    <cellStyle name="40% - Accent6 3 2 6 2" xfId="6664" xr:uid="{00000000-0005-0000-0000-000045070000}"/>
    <cellStyle name="40% - Accent6 3 2 6 2 2" xfId="15114" xr:uid="{558DA7E6-1767-477E-85AE-A28085248FB6}"/>
    <cellStyle name="40% - Accent6 3 2 6 3" xfId="10896" xr:uid="{51929876-4EFA-4A3F-874D-E6B8592683D5}"/>
    <cellStyle name="40% - Accent6 3 2 7" xfId="4598" xr:uid="{00000000-0005-0000-0000-000046070000}"/>
    <cellStyle name="40% - Accent6 3 2 7 2" xfId="13048" xr:uid="{E8827C5A-7C12-49D3-AF23-264232A0685B}"/>
    <cellStyle name="40% - Accent6 3 2 8" xfId="8830" xr:uid="{678E2AC8-E3CD-4A89-974E-E1AD5ADFECCC}"/>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9175CE11-1F1E-429D-96B0-5A7CBBB1A319}"/>
    <cellStyle name="40% - Accent6 3 3 2 3" xfId="11388" xr:uid="{04C780D5-EBFF-4829-9768-BDD2F3D27209}"/>
    <cellStyle name="40% - Accent6 3 3 3" xfId="5011" xr:uid="{00000000-0005-0000-0000-00004A070000}"/>
    <cellStyle name="40% - Accent6 3 3 3 2" xfId="13461" xr:uid="{1A4F56AC-FBA8-401A-949C-E15640D1D5DD}"/>
    <cellStyle name="40% - Accent6 3 3 4" xfId="9243" xr:uid="{5E6298D3-9448-426D-9C18-4AB598CBE1DF}"/>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A5C21414-E34C-406C-B774-5A4737B24131}"/>
    <cellStyle name="40% - Accent6 3 4 2 3" xfId="11801" xr:uid="{D39D2E1A-AD16-4AD0-98BD-EA0F18F53B28}"/>
    <cellStyle name="40% - Accent6 3 4 3" xfId="5424" xr:uid="{00000000-0005-0000-0000-00004E070000}"/>
    <cellStyle name="40% - Accent6 3 4 3 2" xfId="13874" xr:uid="{12422CD7-29D4-4F3B-AD88-25D0D8252FCE}"/>
    <cellStyle name="40% - Accent6 3 4 4" xfId="9656" xr:uid="{508DFD8B-56F5-4FAB-A5F3-CDEC3F671379}"/>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158EE4E2-523C-4255-AF66-CF158EEC8C05}"/>
    <cellStyle name="40% - Accent6 3 5 2 3" xfId="12214" xr:uid="{49EF100B-5C63-444B-A0D6-90EC3B03D5AA}"/>
    <cellStyle name="40% - Accent6 3 5 3" xfId="5837" xr:uid="{00000000-0005-0000-0000-000052070000}"/>
    <cellStyle name="40% - Accent6 3 5 3 2" xfId="14287" xr:uid="{796D2B61-6CF2-4EE5-8606-55C3DFF45B54}"/>
    <cellStyle name="40% - Accent6 3 5 4" xfId="10069" xr:uid="{F7BB100C-4220-4191-917F-A626E4BF9867}"/>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7E32181E-076B-4E01-9812-C20CD2CE77A0}"/>
    <cellStyle name="40% - Accent6 3 6 2 3" xfId="12627" xr:uid="{4D119C90-6404-4BBD-8422-4E3829C2D239}"/>
    <cellStyle name="40% - Accent6 3 6 3" xfId="6250" xr:uid="{00000000-0005-0000-0000-000056070000}"/>
    <cellStyle name="40% - Accent6 3 6 3 2" xfId="14700" xr:uid="{C18407BE-E19F-4E8D-9EB2-F8128DBC4FF8}"/>
    <cellStyle name="40% - Accent6 3 6 4" xfId="10482" xr:uid="{EAE20C00-2F5B-4681-AB40-C129486AD459}"/>
    <cellStyle name="40% - Accent6 3 7" xfId="2357" xr:uid="{00000000-0005-0000-0000-000057070000}"/>
    <cellStyle name="40% - Accent6 3 7 2" xfId="6663" xr:uid="{00000000-0005-0000-0000-000058070000}"/>
    <cellStyle name="40% - Accent6 3 7 2 2" xfId="15113" xr:uid="{46A4D25A-AD68-4A30-A937-6D96A8CB7D08}"/>
    <cellStyle name="40% - Accent6 3 7 3" xfId="10895" xr:uid="{B0DD5360-739D-49B5-8C40-981875F75C8E}"/>
    <cellStyle name="40% - Accent6 3 8" xfId="4597" xr:uid="{00000000-0005-0000-0000-000059070000}"/>
    <cellStyle name="40% - Accent6 3 8 2" xfId="13047" xr:uid="{08568885-14E2-4FE8-A461-D62365612038}"/>
    <cellStyle name="40% - Accent6 3 9" xfId="8829" xr:uid="{98E8C096-7F29-4DF7-AE59-2C4670E81A1C}"/>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7865381A-BC69-4F9C-9691-BFF649572002}"/>
    <cellStyle name="40% - Accent6 4 2 2 3" xfId="11390" xr:uid="{ECD07EAD-644F-4850-A770-CF1FCB808BC3}"/>
    <cellStyle name="40% - Accent6 4 2 3" xfId="5013" xr:uid="{00000000-0005-0000-0000-00005E070000}"/>
    <cellStyle name="40% - Accent6 4 2 3 2" xfId="13463" xr:uid="{00DC1F01-F30A-45E9-8E1A-1661B4FEBB56}"/>
    <cellStyle name="40% - Accent6 4 2 4" xfId="9245" xr:uid="{207F8E87-0BAE-4FFC-8D6C-5E162405B39F}"/>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2878A7EC-65C3-45EB-BDC7-D9379DD0F7DB}"/>
    <cellStyle name="40% - Accent6 4 3 2 3" xfId="11803" xr:uid="{0051BA6F-2B1D-4D5C-9478-C4774EEE5194}"/>
    <cellStyle name="40% - Accent6 4 3 3" xfId="5426" xr:uid="{00000000-0005-0000-0000-000062070000}"/>
    <cellStyle name="40% - Accent6 4 3 3 2" xfId="13876" xr:uid="{2B14804F-6989-46E7-86E8-8D3106028691}"/>
    <cellStyle name="40% - Accent6 4 3 4" xfId="9658" xr:uid="{1CBC36A9-B7B0-4018-8151-407727CE0CF2}"/>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3A1886BE-7B48-47D4-843F-BE8F918843EB}"/>
    <cellStyle name="40% - Accent6 4 4 2 3" xfId="12216" xr:uid="{1A806850-CAB4-423B-B62D-22E066EDC190}"/>
    <cellStyle name="40% - Accent6 4 4 3" xfId="5839" xr:uid="{00000000-0005-0000-0000-000066070000}"/>
    <cellStyle name="40% - Accent6 4 4 3 2" xfId="14289" xr:uid="{41348418-C9E4-4352-8FB3-8D7911FF5E1A}"/>
    <cellStyle name="40% - Accent6 4 4 4" xfId="10071" xr:uid="{34075E57-DE59-45CA-9AB0-D58D99C37218}"/>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89ECF952-3E27-4341-A244-C6DF9F40E970}"/>
    <cellStyle name="40% - Accent6 4 5 2 3" xfId="12629" xr:uid="{5B61CC81-AD7C-44D1-8253-0C8ED2B0526C}"/>
    <cellStyle name="40% - Accent6 4 5 3" xfId="6252" xr:uid="{00000000-0005-0000-0000-00006A070000}"/>
    <cellStyle name="40% - Accent6 4 5 3 2" xfId="14702" xr:uid="{9EDA995B-B727-44A8-860F-1C17AA47CBBF}"/>
    <cellStyle name="40% - Accent6 4 5 4" xfId="10484" xr:uid="{40AF22F8-8051-4148-BEEA-8E4F52119DE3}"/>
    <cellStyle name="40% - Accent6 4 6" xfId="2359" xr:uid="{00000000-0005-0000-0000-00006B070000}"/>
    <cellStyle name="40% - Accent6 4 6 2" xfId="6665" xr:uid="{00000000-0005-0000-0000-00006C070000}"/>
    <cellStyle name="40% - Accent6 4 6 2 2" xfId="15115" xr:uid="{C4132946-95F4-49F8-A336-7A32ABD71008}"/>
    <cellStyle name="40% - Accent6 4 6 3" xfId="10897" xr:uid="{D7440D85-2673-47B4-82C6-BF9F69A8CA7A}"/>
    <cellStyle name="40% - Accent6 4 7" xfId="4599" xr:uid="{00000000-0005-0000-0000-00006D070000}"/>
    <cellStyle name="40% - Accent6 4 7 2" xfId="13049" xr:uid="{77E3D431-064F-4B02-A4E3-98B84E241E64}"/>
    <cellStyle name="40% - Accent6 4 8" xfId="8831" xr:uid="{08D3F9E6-DDF7-4759-BA85-8DED6049AA05}"/>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C54CC090-A28E-4D9E-830F-1DCF3BB35D20}"/>
    <cellStyle name="40% - Accent6 5 2 3" xfId="11383" xr:uid="{BD3435A6-7946-4641-A646-F171E10209FE}"/>
    <cellStyle name="40% - Accent6 5 3" xfId="5006" xr:uid="{00000000-0005-0000-0000-000071070000}"/>
    <cellStyle name="40% - Accent6 5 3 2" xfId="13456" xr:uid="{8B2DCFC8-539C-48C7-AB17-359A5C72449A}"/>
    <cellStyle name="40% - Accent6 5 4" xfId="9238" xr:uid="{EF944EDE-F2C5-450B-B15C-4AB51687FC82}"/>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6A258A80-286F-4A32-A9AB-2EB57C871372}"/>
    <cellStyle name="40% - Accent6 6 2 3" xfId="11796" xr:uid="{D5AF4C47-7651-4579-968B-1E5F5068B13B}"/>
    <cellStyle name="40% - Accent6 6 3" xfId="5419" xr:uid="{00000000-0005-0000-0000-000075070000}"/>
    <cellStyle name="40% - Accent6 6 3 2" xfId="13869" xr:uid="{6CA5A791-0E55-44CF-8B92-6F4639CFF6A1}"/>
    <cellStyle name="40% - Accent6 6 4" xfId="9651" xr:uid="{C8CA7E44-74EC-46EE-B476-BAB5EB550476}"/>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35684803-E803-442C-A707-6AAD9D76E828}"/>
    <cellStyle name="40% - Accent6 7 2 3" xfId="12209" xr:uid="{C3AB0406-D416-4F6E-B088-6738751C268C}"/>
    <cellStyle name="40% - Accent6 7 3" xfId="5832" xr:uid="{00000000-0005-0000-0000-000079070000}"/>
    <cellStyle name="40% - Accent6 7 3 2" xfId="14282" xr:uid="{090C8A85-E136-4463-8FDB-9AC0927F4D5E}"/>
    <cellStyle name="40% - Accent6 7 4" xfId="10064" xr:uid="{4FB030BF-7D4B-4478-8F06-2B80BDB74E93}"/>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3BD34B2D-6A81-48FC-B0A1-EFB271E53158}"/>
    <cellStyle name="40% - Accent6 8 2 3" xfId="12622" xr:uid="{AA95DF59-9042-4273-82DD-67F2BFF0BC08}"/>
    <cellStyle name="40% - Accent6 8 3" xfId="6245" xr:uid="{00000000-0005-0000-0000-00007D070000}"/>
    <cellStyle name="40% - Accent6 8 3 2" xfId="14695" xr:uid="{4A797E57-3EE9-4AD3-AC1E-05C084645AFE}"/>
    <cellStyle name="40% - Accent6 8 4" xfId="10477" xr:uid="{84991645-D494-47A2-9812-6B628AFE93BB}"/>
    <cellStyle name="40% - Accent6 9" xfId="2352" xr:uid="{00000000-0005-0000-0000-00007E070000}"/>
    <cellStyle name="40% - Accent6 9 2" xfId="6658" xr:uid="{00000000-0005-0000-0000-00007F070000}"/>
    <cellStyle name="40% - Accent6 9 2 2" xfId="15108" xr:uid="{E5C4C180-2DC2-4490-B18E-9266ABC99F33}"/>
    <cellStyle name="40% - Accent6 9 3" xfId="10890" xr:uid="{E4BFEBFA-3F8B-4952-9297-91A614EFC6DF}"/>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570B4081-3085-4D36-AF71-627E916E04FF}"/>
    <cellStyle name="Comma 4 2 2 2 10 3" xfId="11215" xr:uid="{4CBFE5BF-2B28-49DF-97B0-3A65D1E0BB20}"/>
    <cellStyle name="Comma 4 2 2 2 11" xfId="4600" xr:uid="{00000000-0005-0000-0000-0000A3070000}"/>
    <cellStyle name="Comma 4 2 2 2 11 2" xfId="13050" xr:uid="{33D2F1B6-E1DC-4E9E-AC11-22A5C98ABE50}"/>
    <cellStyle name="Comma 4 2 2 2 12" xfId="8832" xr:uid="{4F4C2596-5178-4B99-957A-F38E788A5272}"/>
    <cellStyle name="Comma 4 2 2 2 2" xfId="129" xr:uid="{00000000-0005-0000-0000-0000A4070000}"/>
    <cellStyle name="Comma 4 2 2 2 2 10" xfId="4601" xr:uid="{00000000-0005-0000-0000-0000A5070000}"/>
    <cellStyle name="Comma 4 2 2 2 2 10 2" xfId="13051" xr:uid="{9AA74A40-BAAF-4BBE-BA41-9AAD25084353}"/>
    <cellStyle name="Comma 4 2 2 2 2 11" xfId="8833" xr:uid="{AF0EA38D-E983-4B33-B19A-DFCFBDD3BAF9}"/>
    <cellStyle name="Comma 4 2 2 2 2 2" xfId="130" xr:uid="{00000000-0005-0000-0000-0000A6070000}"/>
    <cellStyle name="Comma 4 2 2 2 2 2 10" xfId="8834" xr:uid="{F981DF23-0AA6-414B-A2A5-C387A879457C}"/>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C67BC889-8C21-4091-9223-C34E8317E98B}"/>
    <cellStyle name="Comma 4 2 2 2 2 2 2 2 3" xfId="11393" xr:uid="{9DB4E37F-2374-4DFA-8D22-8BE65E56037D}"/>
    <cellStyle name="Comma 4 2 2 2 2 2 2 3" xfId="5016" xr:uid="{00000000-0005-0000-0000-0000AA070000}"/>
    <cellStyle name="Comma 4 2 2 2 2 2 2 3 2" xfId="13466" xr:uid="{71E76428-B2A3-488B-8573-2E0C036BB81B}"/>
    <cellStyle name="Comma 4 2 2 2 2 2 2 4" xfId="9248" xr:uid="{4E35503E-CAB3-4D6D-9945-B718C1B8BC3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968C481D-FEF5-4D51-9391-BB2736A0B444}"/>
    <cellStyle name="Comma 4 2 2 2 2 2 3 2 3" xfId="11806" xr:uid="{02EEDA17-4307-46F3-B456-87501F927D2F}"/>
    <cellStyle name="Comma 4 2 2 2 2 2 3 3" xfId="5429" xr:uid="{00000000-0005-0000-0000-0000AE070000}"/>
    <cellStyle name="Comma 4 2 2 2 2 2 3 3 2" xfId="13879" xr:uid="{B530908C-E15B-4D55-BA5F-CFA5298756A4}"/>
    <cellStyle name="Comma 4 2 2 2 2 2 3 4" xfId="9661" xr:uid="{87570183-9475-4D36-B458-284FC913E889}"/>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BD113D57-73BF-45EA-9EB4-900C81F678EB}"/>
    <cellStyle name="Comma 4 2 2 2 2 2 4 2 3" xfId="12219" xr:uid="{E07F17C3-5B4B-4E53-9AA9-8D4DCED2FF10}"/>
    <cellStyle name="Comma 4 2 2 2 2 2 4 3" xfId="5842" xr:uid="{00000000-0005-0000-0000-0000B2070000}"/>
    <cellStyle name="Comma 4 2 2 2 2 2 4 3 2" xfId="14292" xr:uid="{BF31A990-C8BB-4236-B88D-592FD4B9EC1F}"/>
    <cellStyle name="Comma 4 2 2 2 2 2 4 4" xfId="10074" xr:uid="{0FE2420C-DFC0-4A05-A07D-C57C70591A7F}"/>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2E76E9C7-46E0-4C11-AB3D-BE363AD8B3FF}"/>
    <cellStyle name="Comma 4 2 2 2 2 2 5 2 3" xfId="12632" xr:uid="{B619B3B1-A897-4E3C-9E86-B67EFE2DD6ED}"/>
    <cellStyle name="Comma 4 2 2 2 2 2 5 3" xfId="6255" xr:uid="{00000000-0005-0000-0000-0000B6070000}"/>
    <cellStyle name="Comma 4 2 2 2 2 2 5 3 2" xfId="14705" xr:uid="{35C9FB5D-DC51-4954-B0F1-CCF70C86F1D7}"/>
    <cellStyle name="Comma 4 2 2 2 2 2 5 4" xfId="10487" xr:uid="{C2E43A91-6C18-4FFC-AAD5-E033C74C5C8C}"/>
    <cellStyle name="Comma 4 2 2 2 2 2 6" xfId="2384" xr:uid="{00000000-0005-0000-0000-0000B7070000}"/>
    <cellStyle name="Comma 4 2 2 2 2 2 6 2" xfId="6668" xr:uid="{00000000-0005-0000-0000-0000B8070000}"/>
    <cellStyle name="Comma 4 2 2 2 2 2 6 2 2" xfId="15118" xr:uid="{DC3B9614-5A05-4626-80BD-9DA7B2806683}"/>
    <cellStyle name="Comma 4 2 2 2 2 2 6 3" xfId="10900" xr:uid="{65E15485-6B0B-4A52-A745-5B335A8C9B0D}"/>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EC8F09B8-5AA6-479A-B274-1530D2892959}"/>
    <cellStyle name="Comma 4 2 2 2 2 2 8 3" xfId="11217" xr:uid="{B947EDA0-5FAB-4D18-956C-0EE79DB53860}"/>
    <cellStyle name="Comma 4 2 2 2 2 2 9" xfId="4602" xr:uid="{00000000-0005-0000-0000-0000BC070000}"/>
    <cellStyle name="Comma 4 2 2 2 2 2 9 2" xfId="13052" xr:uid="{10A9D6FE-51A6-4812-980E-165B03287174}"/>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D321BAFF-E6E6-48FB-9393-BB3ED6D66935}"/>
    <cellStyle name="Comma 4 2 2 2 2 3 2 3" xfId="11392" xr:uid="{DC7B9487-A336-41AD-834C-A410FE801C40}"/>
    <cellStyle name="Comma 4 2 2 2 2 3 3" xfId="5015" xr:uid="{00000000-0005-0000-0000-0000C0070000}"/>
    <cellStyle name="Comma 4 2 2 2 2 3 3 2" xfId="13465" xr:uid="{87619C99-EF47-459E-BDC0-1DF4C8AE23C3}"/>
    <cellStyle name="Comma 4 2 2 2 2 3 4" xfId="9247" xr:uid="{A315A4EA-2B7B-49F3-B754-A1E0C153E61F}"/>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206A53FE-5B7F-4D6F-ACF7-9F2F7DED37AF}"/>
    <cellStyle name="Comma 4 2 2 2 2 4 2 3" xfId="11805" xr:uid="{7C806B99-90FD-4C8F-8424-C3CDAA560CDB}"/>
    <cellStyle name="Comma 4 2 2 2 2 4 3" xfId="5428" xr:uid="{00000000-0005-0000-0000-0000C4070000}"/>
    <cellStyle name="Comma 4 2 2 2 2 4 3 2" xfId="13878" xr:uid="{640D9C40-0306-488F-92C1-7521A25F6C62}"/>
    <cellStyle name="Comma 4 2 2 2 2 4 4" xfId="9660" xr:uid="{583F6CB6-E364-4E4F-B58F-1EB911F6EE10}"/>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C85FCAEE-1E4F-47D9-B1F8-2C2846179580}"/>
    <cellStyle name="Comma 4 2 2 2 2 5 2 3" xfId="12218" xr:uid="{DC9E40BD-FFE2-439F-BA4D-ADB0C235DA8D}"/>
    <cellStyle name="Comma 4 2 2 2 2 5 3" xfId="5841" xr:uid="{00000000-0005-0000-0000-0000C8070000}"/>
    <cellStyle name="Comma 4 2 2 2 2 5 3 2" xfId="14291" xr:uid="{403DFFFA-D1F3-4A94-A68E-9CFD3A22E75C}"/>
    <cellStyle name="Comma 4 2 2 2 2 5 4" xfId="10073" xr:uid="{B67E1BC7-B650-4BAC-A603-C629F4A3EC2E}"/>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42217DC6-406B-4929-AE50-ECB432A9A67C}"/>
    <cellStyle name="Comma 4 2 2 2 2 6 2 3" xfId="12631" xr:uid="{329E813B-CAEC-4FAC-9431-DE4BA418AE4B}"/>
    <cellStyle name="Comma 4 2 2 2 2 6 3" xfId="6254" xr:uid="{00000000-0005-0000-0000-0000CC070000}"/>
    <cellStyle name="Comma 4 2 2 2 2 6 3 2" xfId="14704" xr:uid="{2B3828C6-2FA5-4266-B479-3A0874DE4347}"/>
    <cellStyle name="Comma 4 2 2 2 2 6 4" xfId="10486" xr:uid="{23C6D90C-5950-4E76-82A1-A08ADAC8E578}"/>
    <cellStyle name="Comma 4 2 2 2 2 7" xfId="2383" xr:uid="{00000000-0005-0000-0000-0000CD070000}"/>
    <cellStyle name="Comma 4 2 2 2 2 7 2" xfId="6667" xr:uid="{00000000-0005-0000-0000-0000CE070000}"/>
    <cellStyle name="Comma 4 2 2 2 2 7 2 2" xfId="15117" xr:uid="{9D8FB32E-7D6D-47E7-8042-B457193CC7C8}"/>
    <cellStyle name="Comma 4 2 2 2 2 7 3" xfId="10899" xr:uid="{EE96E2CD-2ACC-43E8-8F18-75CC649FAD61}"/>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DB912EEE-3222-4AAB-8BCF-5D1015DFD153}"/>
    <cellStyle name="Comma 4 2 2 2 2 9 3" xfId="11216" xr:uid="{3EEDD3E9-7AF6-4377-BD17-BF0846D92C7C}"/>
    <cellStyle name="Comma 4 2 2 2 3" xfId="131" xr:uid="{00000000-0005-0000-0000-0000D2070000}"/>
    <cellStyle name="Comma 4 2 2 2 3 10" xfId="8835" xr:uid="{BE7ED326-058D-47B6-82C0-77A6CE2BBBF3}"/>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D1571CCE-1A61-4A69-8CDF-551A03190BA1}"/>
    <cellStyle name="Comma 4 2 2 2 3 2 2 3" xfId="11394" xr:uid="{405A849E-88C7-471F-8695-FA6E254FCEF1}"/>
    <cellStyle name="Comma 4 2 2 2 3 2 3" xfId="5017" xr:uid="{00000000-0005-0000-0000-0000D6070000}"/>
    <cellStyle name="Comma 4 2 2 2 3 2 3 2" xfId="13467" xr:uid="{C41F8272-7B9E-4388-B9C4-6A9F3C9391A3}"/>
    <cellStyle name="Comma 4 2 2 2 3 2 4" xfId="9249" xr:uid="{09F2177B-6657-47D6-A522-AB7ACC52DD2E}"/>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1A6A6CD0-B3F7-488C-BAB6-FC43604B961D}"/>
    <cellStyle name="Comma 4 2 2 2 3 3 2 3" xfId="11807" xr:uid="{1F3296CF-0078-4B4D-9B68-D52D7EB46BBC}"/>
    <cellStyle name="Comma 4 2 2 2 3 3 3" xfId="5430" xr:uid="{00000000-0005-0000-0000-0000DA070000}"/>
    <cellStyle name="Comma 4 2 2 2 3 3 3 2" xfId="13880" xr:uid="{57CB9A35-0C2B-4F5A-9CEA-FFDA7E9BC8B3}"/>
    <cellStyle name="Comma 4 2 2 2 3 3 4" xfId="9662" xr:uid="{D9B56873-7D5E-48F0-AC17-C6A307243F0E}"/>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58A2925C-C8ED-4DAD-8512-E69A1ACCC813}"/>
    <cellStyle name="Comma 4 2 2 2 3 4 2 3" xfId="12220" xr:uid="{49CEE4A3-6E33-401F-9CE0-AC2596B8A455}"/>
    <cellStyle name="Comma 4 2 2 2 3 4 3" xfId="5843" xr:uid="{00000000-0005-0000-0000-0000DE070000}"/>
    <cellStyle name="Comma 4 2 2 2 3 4 3 2" xfId="14293" xr:uid="{B709B218-D8E4-4F2F-A811-C4264514BE4B}"/>
    <cellStyle name="Comma 4 2 2 2 3 4 4" xfId="10075" xr:uid="{88B7C3DE-0CF3-4123-8771-9422AB1B497D}"/>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931C29F4-0025-4927-BECB-6ECF4959DB58}"/>
    <cellStyle name="Comma 4 2 2 2 3 5 2 3" xfId="12633" xr:uid="{39197AB7-7211-4283-A10E-100656526343}"/>
    <cellStyle name="Comma 4 2 2 2 3 5 3" xfId="6256" xr:uid="{00000000-0005-0000-0000-0000E2070000}"/>
    <cellStyle name="Comma 4 2 2 2 3 5 3 2" xfId="14706" xr:uid="{A3AA28B8-833A-4017-A101-76884804D58E}"/>
    <cellStyle name="Comma 4 2 2 2 3 5 4" xfId="10488" xr:uid="{77820EDA-2F75-45DB-BFF5-6A9C342911CD}"/>
    <cellStyle name="Comma 4 2 2 2 3 6" xfId="2385" xr:uid="{00000000-0005-0000-0000-0000E3070000}"/>
    <cellStyle name="Comma 4 2 2 2 3 6 2" xfId="6669" xr:uid="{00000000-0005-0000-0000-0000E4070000}"/>
    <cellStyle name="Comma 4 2 2 2 3 6 2 2" xfId="15119" xr:uid="{C544845B-EBB1-4090-9E11-07C56D082EC4}"/>
    <cellStyle name="Comma 4 2 2 2 3 6 3" xfId="10901" xr:uid="{A30616B0-32BE-4F4F-85F6-782F2EDEF27A}"/>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047BC70A-57E0-4D96-8277-D4E16BD3F6FF}"/>
    <cellStyle name="Comma 4 2 2 2 3 8 3" xfId="11218" xr:uid="{EBA88C96-9D52-4459-A323-85B0B77D44DF}"/>
    <cellStyle name="Comma 4 2 2 2 3 9" xfId="4603" xr:uid="{00000000-0005-0000-0000-0000E8070000}"/>
    <cellStyle name="Comma 4 2 2 2 3 9 2" xfId="13053" xr:uid="{3C626DDC-2ECF-497C-97B7-6595B4889131}"/>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59BCA6C2-BA62-46A0-8899-966068FF3A17}"/>
    <cellStyle name="Comma 4 2 2 2 4 2 3" xfId="11391" xr:uid="{3DAB1BCA-03DB-402E-B5AD-1E10A249BCEE}"/>
    <cellStyle name="Comma 4 2 2 2 4 3" xfId="5014" xr:uid="{00000000-0005-0000-0000-0000EC070000}"/>
    <cellStyle name="Comma 4 2 2 2 4 3 2" xfId="13464" xr:uid="{9016EFD4-8FE8-4BC5-AED1-B734B643DC09}"/>
    <cellStyle name="Comma 4 2 2 2 4 4" xfId="9246" xr:uid="{C8332554-7D69-4C1D-A087-A38083EFE0F2}"/>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061111B7-EFF0-474A-A6F3-469D39A8B10F}"/>
    <cellStyle name="Comma 4 2 2 2 5 2 3" xfId="11804" xr:uid="{DC47B187-B063-4020-A873-981919C3C90D}"/>
    <cellStyle name="Comma 4 2 2 2 5 3" xfId="5427" xr:uid="{00000000-0005-0000-0000-0000F0070000}"/>
    <cellStyle name="Comma 4 2 2 2 5 3 2" xfId="13877" xr:uid="{9BE52DC6-7B0C-453A-939A-5D0AD6FD3B60}"/>
    <cellStyle name="Comma 4 2 2 2 5 4" xfId="9659" xr:uid="{A2B814D0-75AB-41A0-90CE-8C8B088E9870}"/>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E9508D7D-B808-4CA6-997E-54E407D42822}"/>
    <cellStyle name="Comma 4 2 2 2 6 2 3" xfId="12217" xr:uid="{0A735F62-9126-472E-9AF1-904EF70EF5F0}"/>
    <cellStyle name="Comma 4 2 2 2 6 3" xfId="5840" xr:uid="{00000000-0005-0000-0000-0000F4070000}"/>
    <cellStyle name="Comma 4 2 2 2 6 3 2" xfId="14290" xr:uid="{26630F55-710A-4CA6-AE17-ACBB2C70DF88}"/>
    <cellStyle name="Comma 4 2 2 2 6 4" xfId="10072" xr:uid="{E3BDC166-0E57-4710-9DAD-6C2DB5D84D17}"/>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3F189282-EB6A-4190-AB5D-B1998C8FA240}"/>
    <cellStyle name="Comma 4 2 2 2 7 2 3" xfId="12630" xr:uid="{99ACDC91-29AC-4840-B01B-2CED114B1B4D}"/>
    <cellStyle name="Comma 4 2 2 2 7 3" xfId="6253" xr:uid="{00000000-0005-0000-0000-0000F8070000}"/>
    <cellStyle name="Comma 4 2 2 2 7 3 2" xfId="14703" xr:uid="{FB3E791D-8A0A-403E-9548-262B70EB658F}"/>
    <cellStyle name="Comma 4 2 2 2 7 4" xfId="10485" xr:uid="{4E1635C2-5053-4961-A923-3F1E25CCD761}"/>
    <cellStyle name="Comma 4 2 2 2 8" xfId="2382" xr:uid="{00000000-0005-0000-0000-0000F9070000}"/>
    <cellStyle name="Comma 4 2 2 2 8 2" xfId="6666" xr:uid="{00000000-0005-0000-0000-0000FA070000}"/>
    <cellStyle name="Comma 4 2 2 2 8 2 2" xfId="15116" xr:uid="{2B1AACAA-9ACD-413C-A40C-1F12F33B083C}"/>
    <cellStyle name="Comma 4 2 2 2 8 3" xfId="10898" xr:uid="{57810CD0-E386-421A-AFBD-0BF526AD20B2}"/>
    <cellStyle name="Comma 4 2 2 2 9" xfId="2381" xr:uid="{00000000-0005-0000-0000-0000FB070000}"/>
    <cellStyle name="Comma 4 2 2 3" xfId="132" xr:uid="{00000000-0005-0000-0000-0000FC070000}"/>
    <cellStyle name="Comma 4 2 2 3 10" xfId="4604" xr:uid="{00000000-0005-0000-0000-0000FD070000}"/>
    <cellStyle name="Comma 4 2 2 3 10 2" xfId="13054" xr:uid="{9B3E4E8C-D4BE-49EE-8C7B-661C9156D4A3}"/>
    <cellStyle name="Comma 4 2 2 3 11" xfId="8836" xr:uid="{846ECCA4-8EE1-49B1-9DBD-70657261C3AF}"/>
    <cellStyle name="Comma 4 2 2 3 2" xfId="133" xr:uid="{00000000-0005-0000-0000-0000FE070000}"/>
    <cellStyle name="Comma 4 2 2 3 2 10" xfId="8837" xr:uid="{DBA85E54-8E35-4375-A6CF-C2F5CC2A9B1C}"/>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C58E8F1B-A5B1-4E48-A823-42BB88E086FE}"/>
    <cellStyle name="Comma 4 2 2 3 2 2 2 3" xfId="11396" xr:uid="{4C092B40-B517-481E-96EE-0CB13EA9F6BD}"/>
    <cellStyle name="Comma 4 2 2 3 2 2 3" xfId="5019" xr:uid="{00000000-0005-0000-0000-000002080000}"/>
    <cellStyle name="Comma 4 2 2 3 2 2 3 2" xfId="13469" xr:uid="{3B03931A-706B-4D75-B848-4CE8ADD859EB}"/>
    <cellStyle name="Comma 4 2 2 3 2 2 4" xfId="9251" xr:uid="{D03236D2-4330-4803-9456-8542F86C77D7}"/>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F4C84664-483D-45A8-A471-0A5718AB323C}"/>
    <cellStyle name="Comma 4 2 2 3 2 3 2 3" xfId="11809" xr:uid="{8E51300E-1D63-4843-9DF0-08DA23B01460}"/>
    <cellStyle name="Comma 4 2 2 3 2 3 3" xfId="5432" xr:uid="{00000000-0005-0000-0000-000006080000}"/>
    <cellStyle name="Comma 4 2 2 3 2 3 3 2" xfId="13882" xr:uid="{142E84AC-AC13-4374-BDAB-E271FA67289C}"/>
    <cellStyle name="Comma 4 2 2 3 2 3 4" xfId="9664" xr:uid="{9E3FA496-6613-4D23-8157-EA63AE14CFC0}"/>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B9055F4E-D698-4544-A71A-63411C42A602}"/>
    <cellStyle name="Comma 4 2 2 3 2 4 2 3" xfId="12222" xr:uid="{EAEA296C-2BE6-46B0-9A59-D6291279B1AB}"/>
    <cellStyle name="Comma 4 2 2 3 2 4 3" xfId="5845" xr:uid="{00000000-0005-0000-0000-00000A080000}"/>
    <cellStyle name="Comma 4 2 2 3 2 4 3 2" xfId="14295" xr:uid="{09EBF7AB-ECF9-4C1B-8059-0F07CEB35075}"/>
    <cellStyle name="Comma 4 2 2 3 2 4 4" xfId="10077" xr:uid="{E44C3565-8E4C-4BD8-9761-6A90C70E33BB}"/>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7244787A-8A86-48B4-A99E-9EE0919E723E}"/>
    <cellStyle name="Comma 4 2 2 3 2 5 2 3" xfId="12635" xr:uid="{E8471ECD-0D79-4F7F-8804-282D4CC14702}"/>
    <cellStyle name="Comma 4 2 2 3 2 5 3" xfId="6258" xr:uid="{00000000-0005-0000-0000-00000E080000}"/>
    <cellStyle name="Comma 4 2 2 3 2 5 3 2" xfId="14708" xr:uid="{D909C723-9FBB-4D6B-B799-C16DA094D9DC}"/>
    <cellStyle name="Comma 4 2 2 3 2 5 4" xfId="10490" xr:uid="{84854CDA-3424-45BF-B017-7CF5C8CB4DE4}"/>
    <cellStyle name="Comma 4 2 2 3 2 6" xfId="2387" xr:uid="{00000000-0005-0000-0000-00000F080000}"/>
    <cellStyle name="Comma 4 2 2 3 2 6 2" xfId="6671" xr:uid="{00000000-0005-0000-0000-000010080000}"/>
    <cellStyle name="Comma 4 2 2 3 2 6 2 2" xfId="15121" xr:uid="{FD31F24B-1F11-49AD-A103-13853DC36CE0}"/>
    <cellStyle name="Comma 4 2 2 3 2 6 3" xfId="10903" xr:uid="{76ABD52E-1B6E-4F78-9F15-E65E90472A7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7AFC0E04-F7CB-4148-B1BB-74334DF78D92}"/>
    <cellStyle name="Comma 4 2 2 3 2 8 3" xfId="11220" xr:uid="{28EA0858-0BE4-4C2A-998B-534E54AE9818}"/>
    <cellStyle name="Comma 4 2 2 3 2 9" xfId="4605" xr:uid="{00000000-0005-0000-0000-000014080000}"/>
    <cellStyle name="Comma 4 2 2 3 2 9 2" xfId="13055" xr:uid="{9B7470AC-A166-43D0-9106-A97DDFC0316D}"/>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8F10F99B-650F-4DCF-9B35-C7F41011AF63}"/>
    <cellStyle name="Comma 4 2 2 3 3 2 3" xfId="11395" xr:uid="{67302FED-1A27-4C53-93B9-F404AF57A6E1}"/>
    <cellStyle name="Comma 4 2 2 3 3 3" xfId="5018" xr:uid="{00000000-0005-0000-0000-000018080000}"/>
    <cellStyle name="Comma 4 2 2 3 3 3 2" xfId="13468" xr:uid="{56C45438-690B-40C1-B1A9-D69542506EC4}"/>
    <cellStyle name="Comma 4 2 2 3 3 4" xfId="9250" xr:uid="{6D29E9ED-C015-4288-B7DF-1BCC6ADF1246}"/>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C9043AAD-913B-4A66-A48F-8ED7C6FF5287}"/>
    <cellStyle name="Comma 4 2 2 3 4 2 3" xfId="11808" xr:uid="{908789A8-03C4-45F5-BD39-3F32DE414135}"/>
    <cellStyle name="Comma 4 2 2 3 4 3" xfId="5431" xr:uid="{00000000-0005-0000-0000-00001C080000}"/>
    <cellStyle name="Comma 4 2 2 3 4 3 2" xfId="13881" xr:uid="{BBA28273-F178-41B1-9A90-E7DB1DB81E91}"/>
    <cellStyle name="Comma 4 2 2 3 4 4" xfId="9663" xr:uid="{BCFB2408-B716-48A6-8CDD-1835EC704C4C}"/>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8546DC1F-2490-4540-81CA-4E16AFA62430}"/>
    <cellStyle name="Comma 4 2 2 3 5 2 3" xfId="12221" xr:uid="{318DED30-33C4-46E1-BCE7-C060BF312D1A}"/>
    <cellStyle name="Comma 4 2 2 3 5 3" xfId="5844" xr:uid="{00000000-0005-0000-0000-000020080000}"/>
    <cellStyle name="Comma 4 2 2 3 5 3 2" xfId="14294" xr:uid="{08FE2F6F-00C6-4DE2-86E9-5D9094DF4FB1}"/>
    <cellStyle name="Comma 4 2 2 3 5 4" xfId="10076" xr:uid="{B69E7881-8CC2-4719-A98B-D74B136A10E5}"/>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B4A1E5C0-C500-469A-A2F1-6EF39D500AB5}"/>
    <cellStyle name="Comma 4 2 2 3 6 2 3" xfId="12634" xr:uid="{2B974699-3639-4780-9962-05EF469A0F50}"/>
    <cellStyle name="Comma 4 2 2 3 6 3" xfId="6257" xr:uid="{00000000-0005-0000-0000-000024080000}"/>
    <cellStyle name="Comma 4 2 2 3 6 3 2" xfId="14707" xr:uid="{FDE07F5F-1FDE-43F3-916B-0826567C172C}"/>
    <cellStyle name="Comma 4 2 2 3 6 4" xfId="10489" xr:uid="{AD99ED17-522A-41F4-842A-36E102FB92C5}"/>
    <cellStyle name="Comma 4 2 2 3 7" xfId="2386" xr:uid="{00000000-0005-0000-0000-000025080000}"/>
    <cellStyle name="Comma 4 2 2 3 7 2" xfId="6670" xr:uid="{00000000-0005-0000-0000-000026080000}"/>
    <cellStyle name="Comma 4 2 2 3 7 2 2" xfId="15120" xr:uid="{04075CD5-A36E-480E-B0B3-DA1A751BAC04}"/>
    <cellStyle name="Comma 4 2 2 3 7 3" xfId="10902" xr:uid="{6297904C-5F15-4160-B4B2-B035EC9E7058}"/>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5D0231B8-98B3-40D1-9279-72DE2A53DD27}"/>
    <cellStyle name="Comma 4 2 2 3 9 3" xfId="11219" xr:uid="{D652A0E6-6069-4BEC-8038-67881A5D7169}"/>
    <cellStyle name="Comma 4 2 2 4" xfId="134" xr:uid="{00000000-0005-0000-0000-00002A080000}"/>
    <cellStyle name="Comma 4 2 2 4 10" xfId="8838" xr:uid="{24D6C299-1A50-45EF-9732-77FDF8DF0447}"/>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F58D22D4-3B18-4E4B-989A-4F35433F90D3}"/>
    <cellStyle name="Comma 4 2 2 4 2 2 3" xfId="11397" xr:uid="{5D903786-C3C6-4E3C-8DE5-EE2C5200CC8D}"/>
    <cellStyle name="Comma 4 2 2 4 2 3" xfId="5020" xr:uid="{00000000-0005-0000-0000-00002E080000}"/>
    <cellStyle name="Comma 4 2 2 4 2 3 2" xfId="13470" xr:uid="{96D16012-0E9F-43B2-AA41-7E2B037F7858}"/>
    <cellStyle name="Comma 4 2 2 4 2 4" xfId="9252" xr:uid="{EE400447-9C92-48D2-9C1F-2B94F9451BF0}"/>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6EB023DE-1FBC-4B96-9AF1-3FCC455BD687}"/>
    <cellStyle name="Comma 4 2 2 4 3 2 3" xfId="11810" xr:uid="{032434FF-7996-44E3-9A7A-2E020C4021DB}"/>
    <cellStyle name="Comma 4 2 2 4 3 3" xfId="5433" xr:uid="{00000000-0005-0000-0000-000032080000}"/>
    <cellStyle name="Comma 4 2 2 4 3 3 2" xfId="13883" xr:uid="{DDAE433D-E3CA-4209-A67B-B3D4B6DA3177}"/>
    <cellStyle name="Comma 4 2 2 4 3 4" xfId="9665" xr:uid="{12A2A9C6-A59D-4ACD-99AB-DCDE121B292A}"/>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396FBC78-1D7B-4402-A6BA-6C8C9F245570}"/>
    <cellStyle name="Comma 4 2 2 4 4 2 3" xfId="12223" xr:uid="{DA0315CA-D81B-4B1E-95DF-3E210624E417}"/>
    <cellStyle name="Comma 4 2 2 4 4 3" xfId="5846" xr:uid="{00000000-0005-0000-0000-000036080000}"/>
    <cellStyle name="Comma 4 2 2 4 4 3 2" xfId="14296" xr:uid="{BA65CFB3-D69A-40E5-8E49-99EFB3852669}"/>
    <cellStyle name="Comma 4 2 2 4 4 4" xfId="10078" xr:uid="{5CDC5FD1-E114-4CE9-A8CC-18451EB3108A}"/>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D5241C65-CF24-4E19-9E00-9F4877222FB3}"/>
    <cellStyle name="Comma 4 2 2 4 5 2 3" xfId="12636" xr:uid="{5719EADB-DCE3-40F9-AD4F-E92734F16D2F}"/>
    <cellStyle name="Comma 4 2 2 4 5 3" xfId="6259" xr:uid="{00000000-0005-0000-0000-00003A080000}"/>
    <cellStyle name="Comma 4 2 2 4 5 3 2" xfId="14709" xr:uid="{8D86667D-97B6-403A-82D1-DF9BDB02B87C}"/>
    <cellStyle name="Comma 4 2 2 4 5 4" xfId="10491" xr:uid="{76909C1D-143D-4873-A6C9-583BA26BF168}"/>
    <cellStyle name="Comma 4 2 2 4 6" xfId="2388" xr:uid="{00000000-0005-0000-0000-00003B080000}"/>
    <cellStyle name="Comma 4 2 2 4 6 2" xfId="6672" xr:uid="{00000000-0005-0000-0000-00003C080000}"/>
    <cellStyle name="Comma 4 2 2 4 6 2 2" xfId="15122" xr:uid="{00FE9C5F-ADB2-4B87-9E41-3AADF106704E}"/>
    <cellStyle name="Comma 4 2 2 4 6 3" xfId="10904" xr:uid="{9FF8D9A2-B754-4DF9-B38A-79A356FDA088}"/>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499723BE-C73E-439A-8D74-9478A04DB5A9}"/>
    <cellStyle name="Comma 4 2 2 4 8 3" xfId="11221" xr:uid="{5044E8F4-A666-4622-9756-D38E0C49BB44}"/>
    <cellStyle name="Comma 4 2 2 4 9" xfId="4606" xr:uid="{00000000-0005-0000-0000-000040080000}"/>
    <cellStyle name="Comma 4 2 2 4 9 2" xfId="13056" xr:uid="{688C1B51-721A-4E4C-BA3C-8309E11E45EF}"/>
    <cellStyle name="Comma 4 2 2 5" xfId="135" xr:uid="{00000000-0005-0000-0000-000041080000}"/>
    <cellStyle name="Comma 4 2 2 5 10" xfId="8839" xr:uid="{72042637-EA25-4429-9CFE-86AC09130ABF}"/>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8CBFC9A1-56D2-48E8-A0DB-6CE2C97E92B8}"/>
    <cellStyle name="Comma 4 2 2 5 2 2 3" xfId="11398" xr:uid="{DBA36136-0EDE-4B3F-ABB5-844B2142D256}"/>
    <cellStyle name="Comma 4 2 2 5 2 3" xfId="5021" xr:uid="{00000000-0005-0000-0000-000045080000}"/>
    <cellStyle name="Comma 4 2 2 5 2 3 2" xfId="13471" xr:uid="{C0A18AC6-457D-44F7-804D-4DAB2414783E}"/>
    <cellStyle name="Comma 4 2 2 5 2 4" xfId="9253" xr:uid="{29A0C0D6-709D-46C9-8AC6-7F88BDF6F6B9}"/>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381788E5-0E90-444A-BB0D-E1736D239891}"/>
    <cellStyle name="Comma 4 2 2 5 3 2 3" xfId="11811" xr:uid="{43AD1847-0C49-4C85-8AF8-CB706B352469}"/>
    <cellStyle name="Comma 4 2 2 5 3 3" xfId="5434" xr:uid="{00000000-0005-0000-0000-000049080000}"/>
    <cellStyle name="Comma 4 2 2 5 3 3 2" xfId="13884" xr:uid="{9AE52EE0-01CB-486D-BD26-206B86126C8D}"/>
    <cellStyle name="Comma 4 2 2 5 3 4" xfId="9666" xr:uid="{23C32195-672E-4C7F-B176-18D8C433732F}"/>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B3F0222A-10C5-4902-8768-5B78BFC66311}"/>
    <cellStyle name="Comma 4 2 2 5 4 2 3" xfId="12224" xr:uid="{AAF1DA09-B989-420F-8CCA-E7E09F7BD9A4}"/>
    <cellStyle name="Comma 4 2 2 5 4 3" xfId="5847" xr:uid="{00000000-0005-0000-0000-00004D080000}"/>
    <cellStyle name="Comma 4 2 2 5 4 3 2" xfId="14297" xr:uid="{03650EBD-17C2-4073-82F0-3B61BA6C4DB5}"/>
    <cellStyle name="Comma 4 2 2 5 4 4" xfId="10079" xr:uid="{2FA72788-BB1D-4C4A-A86E-BC14656DD90E}"/>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95E20C23-4CA6-4BAB-A4F7-805F5136DF3D}"/>
    <cellStyle name="Comma 4 2 2 5 5 2 3" xfId="12637" xr:uid="{DFCA00F9-C5E4-4FB0-96EE-0D979E8BA239}"/>
    <cellStyle name="Comma 4 2 2 5 5 3" xfId="6260" xr:uid="{00000000-0005-0000-0000-000051080000}"/>
    <cellStyle name="Comma 4 2 2 5 5 3 2" xfId="14710" xr:uid="{7C3A2135-FACC-4A2D-A82E-25862C50A484}"/>
    <cellStyle name="Comma 4 2 2 5 5 4" xfId="10492" xr:uid="{B364A016-BE08-4E85-85BB-75C1B2B385D0}"/>
    <cellStyle name="Comma 4 2 2 5 6" xfId="2389" xr:uid="{00000000-0005-0000-0000-000052080000}"/>
    <cellStyle name="Comma 4 2 2 5 6 2" xfId="6673" xr:uid="{00000000-0005-0000-0000-000053080000}"/>
    <cellStyle name="Comma 4 2 2 5 6 2 2" xfId="15123" xr:uid="{4D561702-8760-4FBC-A84B-D4B1251EA3BD}"/>
    <cellStyle name="Comma 4 2 2 5 6 3" xfId="10905" xr:uid="{DB56C2DF-15EB-403C-AB23-69609C5E0E88}"/>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CD88D1D6-BE90-4814-B4D1-25767433BED3}"/>
    <cellStyle name="Comma 4 2 2 5 8 3" xfId="11222" xr:uid="{D76F6AB4-1BC0-4B9B-803D-985B38832E6A}"/>
    <cellStyle name="Comma 4 2 2 5 9" xfId="4607" xr:uid="{00000000-0005-0000-0000-000057080000}"/>
    <cellStyle name="Comma 4 2 2 5 9 2" xfId="13057" xr:uid="{05202D52-8EE3-48D8-A512-2C1455FE539F}"/>
    <cellStyle name="Comma 4 2 3" xfId="136" xr:uid="{00000000-0005-0000-0000-000058080000}"/>
    <cellStyle name="Comma 4 2 3 10" xfId="2768" xr:uid="{00000000-0005-0000-0000-000059080000}"/>
    <cellStyle name="Comma 4 2 3 10 2" xfId="6991" xr:uid="{00000000-0005-0000-0000-00005A080000}"/>
    <cellStyle name="Comma 4 2 3 10 2 2" xfId="15441" xr:uid="{C077D765-C16C-4B94-8B49-A36D5FBA2052}"/>
    <cellStyle name="Comma 4 2 3 10 3" xfId="11223" xr:uid="{09561B13-C0D8-4657-A4BD-13D60684F26D}"/>
    <cellStyle name="Comma 4 2 3 11" xfId="4608" xr:uid="{00000000-0005-0000-0000-00005B080000}"/>
    <cellStyle name="Comma 4 2 3 11 2" xfId="13058" xr:uid="{22C81A85-A1DB-4D49-A96E-85341724E7AE}"/>
    <cellStyle name="Comma 4 2 3 12" xfId="8840" xr:uid="{10E3E40C-3AEF-4CF8-9F46-B1081F224C54}"/>
    <cellStyle name="Comma 4 2 3 2" xfId="137" xr:uid="{00000000-0005-0000-0000-00005C080000}"/>
    <cellStyle name="Comma 4 2 3 2 10" xfId="4609" xr:uid="{00000000-0005-0000-0000-00005D080000}"/>
    <cellStyle name="Comma 4 2 3 2 10 2" xfId="13059" xr:uid="{812AEA75-AB7C-4C30-8111-9137F83F3B83}"/>
    <cellStyle name="Comma 4 2 3 2 11" xfId="8841" xr:uid="{4E9EC6FE-54AC-47EF-9A77-3AAFFC40A132}"/>
    <cellStyle name="Comma 4 2 3 2 2" xfId="138" xr:uid="{00000000-0005-0000-0000-00005E080000}"/>
    <cellStyle name="Comma 4 2 3 2 2 10" xfId="8842" xr:uid="{5766A31F-A629-48CB-B80F-4BFF8ED4ECD5}"/>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6C3CD4D7-110C-42D2-BB8A-0A368B5D6F50}"/>
    <cellStyle name="Comma 4 2 3 2 2 2 2 3" xfId="11401" xr:uid="{687C2E65-E24F-4ED3-8432-9CFA0530366A}"/>
    <cellStyle name="Comma 4 2 3 2 2 2 3" xfId="5024" xr:uid="{00000000-0005-0000-0000-000062080000}"/>
    <cellStyle name="Comma 4 2 3 2 2 2 3 2" xfId="13474" xr:uid="{EEB18D2E-6F0B-43DB-B241-5C48D6979C45}"/>
    <cellStyle name="Comma 4 2 3 2 2 2 4" xfId="9256" xr:uid="{5741A2C3-71A7-470C-9FF1-3A84B745D12C}"/>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B0FB9526-8504-4287-AB1E-9A519C88B4BB}"/>
    <cellStyle name="Comma 4 2 3 2 2 3 2 3" xfId="11814" xr:uid="{291BC9D6-E7FC-43AA-8EAF-3D8A73E4F777}"/>
    <cellStyle name="Comma 4 2 3 2 2 3 3" xfId="5437" xr:uid="{00000000-0005-0000-0000-000066080000}"/>
    <cellStyle name="Comma 4 2 3 2 2 3 3 2" xfId="13887" xr:uid="{08D615BA-2AD7-4C80-8D04-D6809CC6D226}"/>
    <cellStyle name="Comma 4 2 3 2 2 3 4" xfId="9669" xr:uid="{FCF1500D-546F-4950-9CB1-CF05DB635FBD}"/>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3B5BCF65-BEE8-4055-A07B-24D7C30E86F1}"/>
    <cellStyle name="Comma 4 2 3 2 2 4 2 3" xfId="12227" xr:uid="{BD05A2B3-3908-4F6A-ACA2-BD04FDF55E23}"/>
    <cellStyle name="Comma 4 2 3 2 2 4 3" xfId="5850" xr:uid="{00000000-0005-0000-0000-00006A080000}"/>
    <cellStyle name="Comma 4 2 3 2 2 4 3 2" xfId="14300" xr:uid="{E6CCB886-234A-4A0F-8FA8-0677D732A77C}"/>
    <cellStyle name="Comma 4 2 3 2 2 4 4" xfId="10082" xr:uid="{FBFFC43E-EA87-41DA-9D27-BC228220F600}"/>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B7C95F36-02CC-4BBA-9A2C-4BDA03692153}"/>
    <cellStyle name="Comma 4 2 3 2 2 5 2 3" xfId="12640" xr:uid="{7C7FEDAC-7417-455B-822E-863290995D47}"/>
    <cellStyle name="Comma 4 2 3 2 2 5 3" xfId="6263" xr:uid="{00000000-0005-0000-0000-00006E080000}"/>
    <cellStyle name="Comma 4 2 3 2 2 5 3 2" xfId="14713" xr:uid="{DE88CD23-A34F-4A23-BE6C-D407C0EF7508}"/>
    <cellStyle name="Comma 4 2 3 2 2 5 4" xfId="10495" xr:uid="{3C8ADAB2-11FF-47CA-88AB-EE0F63FCC189}"/>
    <cellStyle name="Comma 4 2 3 2 2 6" xfId="2392" xr:uid="{00000000-0005-0000-0000-00006F080000}"/>
    <cellStyle name="Comma 4 2 3 2 2 6 2" xfId="6676" xr:uid="{00000000-0005-0000-0000-000070080000}"/>
    <cellStyle name="Comma 4 2 3 2 2 6 2 2" xfId="15126" xr:uid="{965D61FE-DC77-4736-AE47-A2D4D2FAA618}"/>
    <cellStyle name="Comma 4 2 3 2 2 6 3" xfId="10908" xr:uid="{48B820B3-5CD5-4302-A470-048EA57970E9}"/>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FF3821F1-C2B7-4DC7-8F67-C192868A46DA}"/>
    <cellStyle name="Comma 4 2 3 2 2 8 3" xfId="11225" xr:uid="{A12861B0-29E4-4601-B41B-5939FBC92A55}"/>
    <cellStyle name="Comma 4 2 3 2 2 9" xfId="4610" xr:uid="{00000000-0005-0000-0000-000074080000}"/>
    <cellStyle name="Comma 4 2 3 2 2 9 2" xfId="13060" xr:uid="{FA7D5A3B-734B-4A9C-A53F-7E6AB1C17D0C}"/>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95E88B53-913F-4BAE-88B8-C6D93FE3841F}"/>
    <cellStyle name="Comma 4 2 3 2 3 2 3" xfId="11400" xr:uid="{58956FF9-6CD3-47D1-BFE3-24C014799E2E}"/>
    <cellStyle name="Comma 4 2 3 2 3 3" xfId="5023" xr:uid="{00000000-0005-0000-0000-000078080000}"/>
    <cellStyle name="Comma 4 2 3 2 3 3 2" xfId="13473" xr:uid="{538A499C-E925-4E9D-8CB0-19828EB3B799}"/>
    <cellStyle name="Comma 4 2 3 2 3 4" xfId="9255" xr:uid="{B956996E-234B-461B-891D-8A70017EF30C}"/>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6886B021-D9C8-4A96-AE67-9194CCBD8AA4}"/>
    <cellStyle name="Comma 4 2 3 2 4 2 3" xfId="11813" xr:uid="{5757A53B-10E2-4D1B-A68E-15F041852C3F}"/>
    <cellStyle name="Comma 4 2 3 2 4 3" xfId="5436" xr:uid="{00000000-0005-0000-0000-00007C080000}"/>
    <cellStyle name="Comma 4 2 3 2 4 3 2" xfId="13886" xr:uid="{4C8E6BA5-BA11-4422-A634-411A57D05C9E}"/>
    <cellStyle name="Comma 4 2 3 2 4 4" xfId="9668" xr:uid="{1B074FC1-E3A8-4E01-A99B-7C0DB424BEF8}"/>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44A6F3FC-18B4-47A3-BE32-3930906F69A4}"/>
    <cellStyle name="Comma 4 2 3 2 5 2 3" xfId="12226" xr:uid="{CD3A38DD-7017-4B0E-890C-D69B6F90E710}"/>
    <cellStyle name="Comma 4 2 3 2 5 3" xfId="5849" xr:uid="{00000000-0005-0000-0000-000080080000}"/>
    <cellStyle name="Comma 4 2 3 2 5 3 2" xfId="14299" xr:uid="{D6925428-19F2-432F-AC95-3031907585F5}"/>
    <cellStyle name="Comma 4 2 3 2 5 4" xfId="10081" xr:uid="{2E2653A0-AA48-465A-9CCD-5B2FAD447F5C}"/>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68C3D209-33FD-432B-878F-BF6C5A2898C5}"/>
    <cellStyle name="Comma 4 2 3 2 6 2 3" xfId="12639" xr:uid="{7DC6EA4A-2FB7-4035-AC7B-1B8CD91C8C39}"/>
    <cellStyle name="Comma 4 2 3 2 6 3" xfId="6262" xr:uid="{00000000-0005-0000-0000-000084080000}"/>
    <cellStyle name="Comma 4 2 3 2 6 3 2" xfId="14712" xr:uid="{F7EEED9C-9B7A-41DC-8856-CE115F8C97FD}"/>
    <cellStyle name="Comma 4 2 3 2 6 4" xfId="10494" xr:uid="{29F3B0FB-E777-4EF3-B78F-784FA36273A6}"/>
    <cellStyle name="Comma 4 2 3 2 7" xfId="2391" xr:uid="{00000000-0005-0000-0000-000085080000}"/>
    <cellStyle name="Comma 4 2 3 2 7 2" xfId="6675" xr:uid="{00000000-0005-0000-0000-000086080000}"/>
    <cellStyle name="Comma 4 2 3 2 7 2 2" xfId="15125" xr:uid="{5B9DD0A2-1B4C-4A88-B049-A20B0FEC7332}"/>
    <cellStyle name="Comma 4 2 3 2 7 3" xfId="10907" xr:uid="{5C9FAAC9-BF3A-4B02-9E8C-E1C3133A012C}"/>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82B760F4-C731-4636-A437-62C33452326C}"/>
    <cellStyle name="Comma 4 2 3 2 9 3" xfId="11224" xr:uid="{D73CC13B-EECC-4437-931F-026C1BAAF7DC}"/>
    <cellStyle name="Comma 4 2 3 3" xfId="139" xr:uid="{00000000-0005-0000-0000-00008A080000}"/>
    <cellStyle name="Comma 4 2 3 3 10" xfId="8843" xr:uid="{7F838859-895B-4C41-B2A3-83E3DDFB3098}"/>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3CA7CBBD-0796-40D7-A1E2-115E3E874F86}"/>
    <cellStyle name="Comma 4 2 3 3 2 2 3" xfId="11402" xr:uid="{7C4506DD-7E05-4879-8094-B266F98C67AA}"/>
    <cellStyle name="Comma 4 2 3 3 2 3" xfId="5025" xr:uid="{00000000-0005-0000-0000-00008E080000}"/>
    <cellStyle name="Comma 4 2 3 3 2 3 2" xfId="13475" xr:uid="{59DAF08E-57D3-44CC-9AB8-9F5C6374F3BA}"/>
    <cellStyle name="Comma 4 2 3 3 2 4" xfId="9257" xr:uid="{9E8E44DA-0C59-4434-8165-C8F58B8D51DB}"/>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3583028B-B68A-4FD0-9B6A-8B2869FFCDFB}"/>
    <cellStyle name="Comma 4 2 3 3 3 2 3" xfId="11815" xr:uid="{3F1A3305-D3BF-4A67-8BA7-ACD593BAB0A4}"/>
    <cellStyle name="Comma 4 2 3 3 3 3" xfId="5438" xr:uid="{00000000-0005-0000-0000-000092080000}"/>
    <cellStyle name="Comma 4 2 3 3 3 3 2" xfId="13888" xr:uid="{6155589A-BDB9-4F7C-BDAE-E36A46C83857}"/>
    <cellStyle name="Comma 4 2 3 3 3 4" xfId="9670" xr:uid="{D3BD6372-14DF-4BCA-A8C6-21566C700422}"/>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F18C207F-4F15-40C2-A905-C1458C180420}"/>
    <cellStyle name="Comma 4 2 3 3 4 2 3" xfId="12228" xr:uid="{BE30983E-8692-406B-91FD-5DEFB753C16D}"/>
    <cellStyle name="Comma 4 2 3 3 4 3" xfId="5851" xr:uid="{00000000-0005-0000-0000-000096080000}"/>
    <cellStyle name="Comma 4 2 3 3 4 3 2" xfId="14301" xr:uid="{5F304EA1-4D64-4641-8235-8D682806F0D1}"/>
    <cellStyle name="Comma 4 2 3 3 4 4" xfId="10083" xr:uid="{097B64D3-1EBC-4A38-B281-283468E5426A}"/>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DBC7C7B5-C968-48A3-A53E-416891887696}"/>
    <cellStyle name="Comma 4 2 3 3 5 2 3" xfId="12641" xr:uid="{292A3F9E-813A-47C1-80AC-A48A97C0CE46}"/>
    <cellStyle name="Comma 4 2 3 3 5 3" xfId="6264" xr:uid="{00000000-0005-0000-0000-00009A080000}"/>
    <cellStyle name="Comma 4 2 3 3 5 3 2" xfId="14714" xr:uid="{C3ACE0D4-F924-44F0-9907-6BA0946FFEFA}"/>
    <cellStyle name="Comma 4 2 3 3 5 4" xfId="10496" xr:uid="{AEC32FEE-4786-4E20-8EF1-540E746F3BE7}"/>
    <cellStyle name="Comma 4 2 3 3 6" xfId="2393" xr:uid="{00000000-0005-0000-0000-00009B080000}"/>
    <cellStyle name="Comma 4 2 3 3 6 2" xfId="6677" xr:uid="{00000000-0005-0000-0000-00009C080000}"/>
    <cellStyle name="Comma 4 2 3 3 6 2 2" xfId="15127" xr:uid="{CFE05C8C-5E7D-46BB-8E5F-FB20951C2521}"/>
    <cellStyle name="Comma 4 2 3 3 6 3" xfId="10909" xr:uid="{9C1AD5A1-CA91-410B-83D6-1B4F4EAD7657}"/>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75AF0D83-337F-46F0-8ED4-B7804ECC2F49}"/>
    <cellStyle name="Comma 4 2 3 3 8 3" xfId="11226" xr:uid="{DF91C73D-07CB-47C8-B6C2-0EED1255574A}"/>
    <cellStyle name="Comma 4 2 3 3 9" xfId="4611" xr:uid="{00000000-0005-0000-0000-0000A0080000}"/>
    <cellStyle name="Comma 4 2 3 3 9 2" xfId="13061" xr:uid="{E71E93E8-2F24-47B8-AD28-CEB68F616281}"/>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89C20EA7-C990-4C2F-9A85-51EC616032AB}"/>
    <cellStyle name="Comma 4 2 3 4 2 3" xfId="11399" xr:uid="{6D24BAA0-6F07-4975-90A6-7FD97D34B2A4}"/>
    <cellStyle name="Comma 4 2 3 4 3" xfId="5022" xr:uid="{00000000-0005-0000-0000-0000A4080000}"/>
    <cellStyle name="Comma 4 2 3 4 3 2" xfId="13472" xr:uid="{22717FD9-1B9C-47B5-BA04-03DD585CB93F}"/>
    <cellStyle name="Comma 4 2 3 4 4" xfId="9254" xr:uid="{FACCF11C-9F3D-4BD5-BF4D-A7225F43073E}"/>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572A01F3-68ED-4E7B-81E9-708FDB3E2011}"/>
    <cellStyle name="Comma 4 2 3 5 2 3" xfId="11812" xr:uid="{18DC9AAF-7284-4A31-8061-09D4D7914154}"/>
    <cellStyle name="Comma 4 2 3 5 3" xfId="5435" xr:uid="{00000000-0005-0000-0000-0000A8080000}"/>
    <cellStyle name="Comma 4 2 3 5 3 2" xfId="13885" xr:uid="{0F387ECD-3903-4DCA-970D-883A996F4D08}"/>
    <cellStyle name="Comma 4 2 3 5 4" xfId="9667" xr:uid="{F8C4E99E-2016-4C2A-8C2C-2C9DEF21876C}"/>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99BA2DC7-3591-4D52-AEF3-B35B03606EE8}"/>
    <cellStyle name="Comma 4 2 3 6 2 3" xfId="12225" xr:uid="{869D4FD4-2D61-49A2-9188-32775C853BCC}"/>
    <cellStyle name="Comma 4 2 3 6 3" xfId="5848" xr:uid="{00000000-0005-0000-0000-0000AC080000}"/>
    <cellStyle name="Comma 4 2 3 6 3 2" xfId="14298" xr:uid="{86B75411-A4B5-4C24-96CB-F349D809B247}"/>
    <cellStyle name="Comma 4 2 3 6 4" xfId="10080" xr:uid="{1147825D-BD21-4410-8A2A-F244FBF63266}"/>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1CB02F34-56C8-4323-92A5-1F749D0DD82E}"/>
    <cellStyle name="Comma 4 2 3 7 2 3" xfId="12638" xr:uid="{7C908890-1903-4E81-A5BA-CAF487A1706B}"/>
    <cellStyle name="Comma 4 2 3 7 3" xfId="6261" xr:uid="{00000000-0005-0000-0000-0000B0080000}"/>
    <cellStyle name="Comma 4 2 3 7 3 2" xfId="14711" xr:uid="{833F014B-0703-4124-9714-34B7A0F25D72}"/>
    <cellStyle name="Comma 4 2 3 7 4" xfId="10493" xr:uid="{9F4DEA23-1FA9-4AD9-BE98-D5D053BD4231}"/>
    <cellStyle name="Comma 4 2 3 8" xfId="2390" xr:uid="{00000000-0005-0000-0000-0000B1080000}"/>
    <cellStyle name="Comma 4 2 3 8 2" xfId="6674" xr:uid="{00000000-0005-0000-0000-0000B2080000}"/>
    <cellStyle name="Comma 4 2 3 8 2 2" xfId="15124" xr:uid="{71EE306D-0452-4B71-AB44-7D793375C1FB}"/>
    <cellStyle name="Comma 4 2 3 8 3" xfId="10906" xr:uid="{DABAB242-85BA-4D73-8CDE-AAD373C48C4F}"/>
    <cellStyle name="Comma 4 2 3 9" xfId="2373" xr:uid="{00000000-0005-0000-0000-0000B3080000}"/>
    <cellStyle name="Comma 4 2 4" xfId="140" xr:uid="{00000000-0005-0000-0000-0000B4080000}"/>
    <cellStyle name="Comma 4 2 4 10" xfId="4612" xr:uid="{00000000-0005-0000-0000-0000B5080000}"/>
    <cellStyle name="Comma 4 2 4 10 2" xfId="13062" xr:uid="{8BD3361A-5100-4DD3-ACEB-E72E82C854C7}"/>
    <cellStyle name="Comma 4 2 4 11" xfId="8844" xr:uid="{368F2F9E-A571-4703-9D5C-6897BB30CA19}"/>
    <cellStyle name="Comma 4 2 4 2" xfId="141" xr:uid="{00000000-0005-0000-0000-0000B6080000}"/>
    <cellStyle name="Comma 4 2 4 2 10" xfId="8845" xr:uid="{4DCC8B7B-AC47-43E9-A003-6573EF0D2735}"/>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B1477C2A-DFBB-443F-A478-6530F57BA549}"/>
    <cellStyle name="Comma 4 2 4 2 2 2 3" xfId="11404" xr:uid="{5D7A1597-F1C0-4C85-BED5-EB7CB8C9D338}"/>
    <cellStyle name="Comma 4 2 4 2 2 3" xfId="5027" xr:uid="{00000000-0005-0000-0000-0000BA080000}"/>
    <cellStyle name="Comma 4 2 4 2 2 3 2" xfId="13477" xr:uid="{D80EFD9A-625C-488D-BDA1-1EA4F8C9587C}"/>
    <cellStyle name="Comma 4 2 4 2 2 4" xfId="9259" xr:uid="{4332660C-6751-41D2-A507-8CB0B5A44D44}"/>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5B7F3752-3BAB-4DD2-96AF-B5C81260592E}"/>
    <cellStyle name="Comma 4 2 4 2 3 2 3" xfId="11817" xr:uid="{6456D944-87D2-46AF-AF6F-E881AF86F740}"/>
    <cellStyle name="Comma 4 2 4 2 3 3" xfId="5440" xr:uid="{00000000-0005-0000-0000-0000BE080000}"/>
    <cellStyle name="Comma 4 2 4 2 3 3 2" xfId="13890" xr:uid="{43C35646-AD84-424F-B77B-BD8DBB3EE501}"/>
    <cellStyle name="Comma 4 2 4 2 3 4" xfId="9672" xr:uid="{AC9FFDC1-52CA-49B9-A9A3-6FEB0884740C}"/>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C6524551-2D93-4D18-93E5-65D0D329CBA6}"/>
    <cellStyle name="Comma 4 2 4 2 4 2 3" xfId="12230" xr:uid="{D106CDF7-739C-4C20-B764-7A25231506D3}"/>
    <cellStyle name="Comma 4 2 4 2 4 3" xfId="5853" xr:uid="{00000000-0005-0000-0000-0000C2080000}"/>
    <cellStyle name="Comma 4 2 4 2 4 3 2" xfId="14303" xr:uid="{AD3387A5-4785-4B93-8258-89CEB0CD2C3C}"/>
    <cellStyle name="Comma 4 2 4 2 4 4" xfId="10085" xr:uid="{84B7E9C3-A230-46A4-9E32-386DC3A4AB9D}"/>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C1B5D70B-FE80-4EB7-82F8-423E300C810E}"/>
    <cellStyle name="Comma 4 2 4 2 5 2 3" xfId="12643" xr:uid="{A11B512D-89FE-49B3-98AC-12246E38FAD5}"/>
    <cellStyle name="Comma 4 2 4 2 5 3" xfId="6266" xr:uid="{00000000-0005-0000-0000-0000C6080000}"/>
    <cellStyle name="Comma 4 2 4 2 5 3 2" xfId="14716" xr:uid="{6D0B5666-2C5B-49DE-A0BA-82D1A881A716}"/>
    <cellStyle name="Comma 4 2 4 2 5 4" xfId="10498" xr:uid="{DC78665F-6486-42DF-9231-9A7CB8BFB06A}"/>
    <cellStyle name="Comma 4 2 4 2 6" xfId="2395" xr:uid="{00000000-0005-0000-0000-0000C7080000}"/>
    <cellStyle name="Comma 4 2 4 2 6 2" xfId="6679" xr:uid="{00000000-0005-0000-0000-0000C8080000}"/>
    <cellStyle name="Comma 4 2 4 2 6 2 2" xfId="15129" xr:uid="{4542163B-44BB-4DBE-A068-6A0B95DB2E30}"/>
    <cellStyle name="Comma 4 2 4 2 6 3" xfId="10911" xr:uid="{53AE2E75-F219-4FD8-AA46-3F2007127DD6}"/>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4177FBE2-B213-491E-910C-F531E6E25103}"/>
    <cellStyle name="Comma 4 2 4 2 8 3" xfId="11228" xr:uid="{3735EBA4-1EE0-4893-8458-3D3659D540B2}"/>
    <cellStyle name="Comma 4 2 4 2 9" xfId="4613" xr:uid="{00000000-0005-0000-0000-0000CC080000}"/>
    <cellStyle name="Comma 4 2 4 2 9 2" xfId="13063" xr:uid="{0A37F7E6-EEEA-47AF-9149-AB4CEDA2D775}"/>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32391C40-8286-4AF3-9DAF-0E5E68BC67C5}"/>
    <cellStyle name="Comma 4 2 4 3 2 3" xfId="11403" xr:uid="{8B4873FD-BC17-478D-BC73-48A8E9512D2E}"/>
    <cellStyle name="Comma 4 2 4 3 3" xfId="5026" xr:uid="{00000000-0005-0000-0000-0000D0080000}"/>
    <cellStyle name="Comma 4 2 4 3 3 2" xfId="13476" xr:uid="{B8AA1D4F-AB69-46E1-BF7D-69DEED65FAFF}"/>
    <cellStyle name="Comma 4 2 4 3 4" xfId="9258" xr:uid="{22696506-B3B7-48A5-B1E2-E7838F2C83F8}"/>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57575E22-F4F7-4278-9CD5-27EB14430661}"/>
    <cellStyle name="Comma 4 2 4 4 2 3" xfId="11816" xr:uid="{6F7DDC51-D800-4107-A2D2-5DC2BD913533}"/>
    <cellStyle name="Comma 4 2 4 4 3" xfId="5439" xr:uid="{00000000-0005-0000-0000-0000D4080000}"/>
    <cellStyle name="Comma 4 2 4 4 3 2" xfId="13889" xr:uid="{6DA78FD8-960B-4DB1-BB7F-CBDC11BD0ECE}"/>
    <cellStyle name="Comma 4 2 4 4 4" xfId="9671" xr:uid="{FBF91B14-B321-4F1E-B15D-76B0B655F354}"/>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6FEED0F9-E36E-462E-BDA5-AD3AD528DAF8}"/>
    <cellStyle name="Comma 4 2 4 5 2 3" xfId="12229" xr:uid="{4CE340D9-788A-46C2-B997-8E15DFA76A7D}"/>
    <cellStyle name="Comma 4 2 4 5 3" xfId="5852" xr:uid="{00000000-0005-0000-0000-0000D8080000}"/>
    <cellStyle name="Comma 4 2 4 5 3 2" xfId="14302" xr:uid="{DFB6317D-A6B6-4FF3-B75A-CED413804C60}"/>
    <cellStyle name="Comma 4 2 4 5 4" xfId="10084" xr:uid="{C6121E53-9AA0-4502-9718-2D5FDE62A3E8}"/>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20D13FE2-FEDF-439D-BBFE-97DA75E70F8D}"/>
    <cellStyle name="Comma 4 2 4 6 2 3" xfId="12642" xr:uid="{7DD5D71E-7452-4853-BD57-A3E367C9604B}"/>
    <cellStyle name="Comma 4 2 4 6 3" xfId="6265" xr:uid="{00000000-0005-0000-0000-0000DC080000}"/>
    <cellStyle name="Comma 4 2 4 6 3 2" xfId="14715" xr:uid="{C4488D28-1AFC-4A72-995B-C96419F2DC65}"/>
    <cellStyle name="Comma 4 2 4 6 4" xfId="10497" xr:uid="{C369007D-AAD5-4BB5-B8C9-AC4B449BBCD0}"/>
    <cellStyle name="Comma 4 2 4 7" xfId="2394" xr:uid="{00000000-0005-0000-0000-0000DD080000}"/>
    <cellStyle name="Comma 4 2 4 7 2" xfId="6678" xr:uid="{00000000-0005-0000-0000-0000DE080000}"/>
    <cellStyle name="Comma 4 2 4 7 2 2" xfId="15128" xr:uid="{4F3DE8C2-8E04-4BDB-9770-848D4F4A0E1B}"/>
    <cellStyle name="Comma 4 2 4 7 3" xfId="10910" xr:uid="{889D7CBD-F9C1-49BF-8EB1-613AF4CF7E77}"/>
    <cellStyle name="Comma 4 2 4 8" xfId="2369" xr:uid="{00000000-0005-0000-0000-0000DF080000}"/>
    <cellStyle name="Comma 4 2 4 9" xfId="2772" xr:uid="{00000000-0005-0000-0000-0000E0080000}"/>
    <cellStyle name="Comma 4 2 4 9 2" xfId="6995" xr:uid="{00000000-0005-0000-0000-0000E1080000}"/>
    <cellStyle name="Comma 4 2 4 9 2 2" xfId="15445" xr:uid="{F772AA86-6D69-4E9B-A468-15EC3E0C9350}"/>
    <cellStyle name="Comma 4 2 4 9 3" xfId="11227" xr:uid="{5498475A-F9E8-4F74-BD6E-1B8F76C7B488}"/>
    <cellStyle name="Comma 4 2 5" xfId="142" xr:uid="{00000000-0005-0000-0000-0000E2080000}"/>
    <cellStyle name="Comma 4 2 5 10" xfId="8846" xr:uid="{DF3ABC47-D7BC-4D3A-9A8C-44CBE8D80BC4}"/>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6BACFA4E-79B4-4ACC-856C-F65C3F98F19A}"/>
    <cellStyle name="Comma 4 2 5 2 2 3" xfId="11405" xr:uid="{110A6BF0-24C5-4400-B2D6-D1272DB70223}"/>
    <cellStyle name="Comma 4 2 5 2 3" xfId="5028" xr:uid="{00000000-0005-0000-0000-0000E6080000}"/>
    <cellStyle name="Comma 4 2 5 2 3 2" xfId="13478" xr:uid="{2FC63C44-540C-4C5D-ADDE-1E4069452A86}"/>
    <cellStyle name="Comma 4 2 5 2 4" xfId="9260" xr:uid="{D816AB00-269C-4BA8-8C6A-1765B5A7929D}"/>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58F0332A-F822-49B0-9392-F4B6ADEE3AB3}"/>
    <cellStyle name="Comma 4 2 5 3 2 3" xfId="11818" xr:uid="{D46F7D4B-E4FA-4BEF-BBD3-4A2FDA614786}"/>
    <cellStyle name="Comma 4 2 5 3 3" xfId="5441" xr:uid="{00000000-0005-0000-0000-0000EA080000}"/>
    <cellStyle name="Comma 4 2 5 3 3 2" xfId="13891" xr:uid="{4BC18C52-BF1B-4BEC-889D-AC51189F1A0A}"/>
    <cellStyle name="Comma 4 2 5 3 4" xfId="9673" xr:uid="{A2A7D7CA-5197-42D5-ACEA-005040181567}"/>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A156ACBC-BFD0-45CE-8F08-95E8818A5DB3}"/>
    <cellStyle name="Comma 4 2 5 4 2 3" xfId="12231" xr:uid="{FB69E8CB-F001-4B6E-9F23-057213D2840F}"/>
    <cellStyle name="Comma 4 2 5 4 3" xfId="5854" xr:uid="{00000000-0005-0000-0000-0000EE080000}"/>
    <cellStyle name="Comma 4 2 5 4 3 2" xfId="14304" xr:uid="{0A483D29-D847-48A7-8ED6-F046885385D7}"/>
    <cellStyle name="Comma 4 2 5 4 4" xfId="10086" xr:uid="{E5ABBF7F-01E6-4047-AEF8-417518E3D23F}"/>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60B484AA-C224-46C4-817F-8C1D0153C580}"/>
    <cellStyle name="Comma 4 2 5 5 2 3" xfId="12644" xr:uid="{CC57C61B-6449-4A60-A357-7CBEC1DC3B84}"/>
    <cellStyle name="Comma 4 2 5 5 3" xfId="6267" xr:uid="{00000000-0005-0000-0000-0000F2080000}"/>
    <cellStyle name="Comma 4 2 5 5 3 2" xfId="14717" xr:uid="{DAAA1DB1-1A18-43F6-932D-5CCB644A33AA}"/>
    <cellStyle name="Comma 4 2 5 5 4" xfId="10499" xr:uid="{FB1ED4B1-70CE-4A52-A07B-245D2DFEF030}"/>
    <cellStyle name="Comma 4 2 5 6" xfId="2396" xr:uid="{00000000-0005-0000-0000-0000F3080000}"/>
    <cellStyle name="Comma 4 2 5 6 2" xfId="6680" xr:uid="{00000000-0005-0000-0000-0000F4080000}"/>
    <cellStyle name="Comma 4 2 5 6 2 2" xfId="15130" xr:uid="{30DA7452-16D0-4D2E-808D-667FCAAC28D7}"/>
    <cellStyle name="Comma 4 2 5 6 3" xfId="10912" xr:uid="{07DD3F5B-F587-495D-872E-68106B865FE2}"/>
    <cellStyle name="Comma 4 2 5 7" xfId="2367" xr:uid="{00000000-0005-0000-0000-0000F5080000}"/>
    <cellStyle name="Comma 4 2 5 8" xfId="2774" xr:uid="{00000000-0005-0000-0000-0000F6080000}"/>
    <cellStyle name="Comma 4 2 5 8 2" xfId="6997" xr:uid="{00000000-0005-0000-0000-0000F7080000}"/>
    <cellStyle name="Comma 4 2 5 8 2 2" xfId="15447" xr:uid="{ED609A5E-FA2E-41FE-8D8E-EC502947DA4A}"/>
    <cellStyle name="Comma 4 2 5 8 3" xfId="11229" xr:uid="{2BC7796C-0B8B-412B-8D65-0E969CF597D3}"/>
    <cellStyle name="Comma 4 2 5 9" xfId="4614" xr:uid="{00000000-0005-0000-0000-0000F8080000}"/>
    <cellStyle name="Comma 4 2 5 9 2" xfId="13064" xr:uid="{198CC964-7E6B-4C11-852B-88A8BA124793}"/>
    <cellStyle name="Comma 4 2 6" xfId="143" xr:uid="{00000000-0005-0000-0000-0000F9080000}"/>
    <cellStyle name="Comma 4 2 6 10" xfId="8847" xr:uid="{C8FB1232-CCF4-4B27-9316-F45D0BE54E70}"/>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83AA1306-739A-40DF-9FB4-429E077F876F}"/>
    <cellStyle name="Comma 4 2 6 2 2 3" xfId="11406" xr:uid="{698326CA-FC03-4CA6-925E-4DA212D56198}"/>
    <cellStyle name="Comma 4 2 6 2 3" xfId="5029" xr:uid="{00000000-0005-0000-0000-0000FD080000}"/>
    <cellStyle name="Comma 4 2 6 2 3 2" xfId="13479" xr:uid="{1F42FA01-8AB3-4044-AE98-49CBA633860E}"/>
    <cellStyle name="Comma 4 2 6 2 4" xfId="9261" xr:uid="{7A36893B-EDA1-41D1-9243-77CE85EBB48D}"/>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4E594A14-2D99-4D5F-B6E9-0CF6934C0DE1}"/>
    <cellStyle name="Comma 4 2 6 3 2 3" xfId="11819" xr:uid="{4CACCF34-7AD4-4B84-A845-F338E1CD7E26}"/>
    <cellStyle name="Comma 4 2 6 3 3" xfId="5442" xr:uid="{00000000-0005-0000-0000-000001090000}"/>
    <cellStyle name="Comma 4 2 6 3 3 2" xfId="13892" xr:uid="{3E296D8B-51ED-429B-9227-007F57A9DDC6}"/>
    <cellStyle name="Comma 4 2 6 3 4" xfId="9674" xr:uid="{5A9A4344-4C56-4813-ABE3-09A940A471E1}"/>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7E983216-40B7-4A98-9920-DB724919CF09}"/>
    <cellStyle name="Comma 4 2 6 4 2 3" xfId="12232" xr:uid="{41A764CC-4A9D-409F-99F3-FD3AC6803D51}"/>
    <cellStyle name="Comma 4 2 6 4 3" xfId="5855" xr:uid="{00000000-0005-0000-0000-000005090000}"/>
    <cellStyle name="Comma 4 2 6 4 3 2" xfId="14305" xr:uid="{8F40AE36-8756-4DBB-AE93-D1468BDF14A5}"/>
    <cellStyle name="Comma 4 2 6 4 4" xfId="10087" xr:uid="{89A6B52E-E812-4CA9-9F7F-016D82619BF3}"/>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D6645B8C-8BDE-4E1C-9F4E-B90DDED1B708}"/>
    <cellStyle name="Comma 4 2 6 5 2 3" xfId="12645" xr:uid="{026434C4-48B9-43EB-859F-2DBA816EB600}"/>
    <cellStyle name="Comma 4 2 6 5 3" xfId="6268" xr:uid="{00000000-0005-0000-0000-000009090000}"/>
    <cellStyle name="Comma 4 2 6 5 3 2" xfId="14718" xr:uid="{E6BB8BCD-1650-4928-8B4E-55DADB6999BF}"/>
    <cellStyle name="Comma 4 2 6 5 4" xfId="10500" xr:uid="{206BE0F5-1E14-4623-AC57-E8AA02A2C5F4}"/>
    <cellStyle name="Comma 4 2 6 6" xfId="2397" xr:uid="{00000000-0005-0000-0000-00000A090000}"/>
    <cellStyle name="Comma 4 2 6 6 2" xfId="6681" xr:uid="{00000000-0005-0000-0000-00000B090000}"/>
    <cellStyle name="Comma 4 2 6 6 2 2" xfId="15131" xr:uid="{E1AD9D96-35FB-4BA5-A6AF-991E1B500249}"/>
    <cellStyle name="Comma 4 2 6 6 3" xfId="10913" xr:uid="{50BA8A55-29AB-4240-A439-785878816166}"/>
    <cellStyle name="Comma 4 2 6 7" xfId="2366" xr:uid="{00000000-0005-0000-0000-00000C090000}"/>
    <cellStyle name="Comma 4 2 6 8" xfId="2775" xr:uid="{00000000-0005-0000-0000-00000D090000}"/>
    <cellStyle name="Comma 4 2 6 8 2" xfId="6998" xr:uid="{00000000-0005-0000-0000-00000E090000}"/>
    <cellStyle name="Comma 4 2 6 8 2 2" xfId="15448" xr:uid="{9B24DB4A-E454-4BC8-AFA8-2BFDE1607866}"/>
    <cellStyle name="Comma 4 2 6 8 3" xfId="11230" xr:uid="{D0E715D0-04F0-4F4A-85F9-C39143AB823C}"/>
    <cellStyle name="Comma 4 2 6 9" xfId="4615" xr:uid="{00000000-0005-0000-0000-00000F090000}"/>
    <cellStyle name="Comma 4 2 6 9 2" xfId="13065" xr:uid="{602C659A-FE55-49F8-A600-4CAD6D9908B1}"/>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87B09C39-3B86-4B23-8A8E-116AF76403A5}"/>
    <cellStyle name="Comma 4 3 2 10 3" xfId="11231" xr:uid="{AAEA9495-8AA7-41D8-A050-EF40BB7146D5}"/>
    <cellStyle name="Comma 4 3 2 11" xfId="4616" xr:uid="{00000000-0005-0000-0000-000014090000}"/>
    <cellStyle name="Comma 4 3 2 11 2" xfId="13066" xr:uid="{229B95A8-3F43-48A8-AFE7-EC2DBF2363EA}"/>
    <cellStyle name="Comma 4 3 2 12" xfId="8848" xr:uid="{33EFB7F8-F85A-4186-9D18-F3D3E7F0D0F2}"/>
    <cellStyle name="Comma 4 3 2 2" xfId="146" xr:uid="{00000000-0005-0000-0000-000015090000}"/>
    <cellStyle name="Comma 4 3 2 2 10" xfId="4617" xr:uid="{00000000-0005-0000-0000-000016090000}"/>
    <cellStyle name="Comma 4 3 2 2 10 2" xfId="13067" xr:uid="{D48EF6A9-F187-4857-958D-9EB65C74BED9}"/>
    <cellStyle name="Comma 4 3 2 2 11" xfId="8849" xr:uid="{4D55DF8D-3B9A-41E9-9293-CCAD6793E991}"/>
    <cellStyle name="Comma 4 3 2 2 2" xfId="147" xr:uid="{00000000-0005-0000-0000-000017090000}"/>
    <cellStyle name="Comma 4 3 2 2 2 10" xfId="8850" xr:uid="{CF23DA7D-3321-4928-8994-7F4BED8CC249}"/>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BC42411D-8B6F-4B68-9DC4-E480FDF21691}"/>
    <cellStyle name="Comma 4 3 2 2 2 2 2 3" xfId="11409" xr:uid="{54B4533D-0ABC-47F5-B179-A9BEE7CD26C1}"/>
    <cellStyle name="Comma 4 3 2 2 2 2 3" xfId="5032" xr:uid="{00000000-0005-0000-0000-00001B090000}"/>
    <cellStyle name="Comma 4 3 2 2 2 2 3 2" xfId="13482" xr:uid="{69E7C03D-E2E4-4087-B6AD-198DFA441F84}"/>
    <cellStyle name="Comma 4 3 2 2 2 2 4" xfId="9264" xr:uid="{9ADE4D17-21BB-4F1E-B6C0-AC1C783DCCED}"/>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4562F9EE-E017-4B41-8ACE-81AECBD7C4F9}"/>
    <cellStyle name="Comma 4 3 2 2 2 3 2 3" xfId="11822" xr:uid="{A59A24FD-E3BA-41E3-8302-03BC94229AA4}"/>
    <cellStyle name="Comma 4 3 2 2 2 3 3" xfId="5445" xr:uid="{00000000-0005-0000-0000-00001F090000}"/>
    <cellStyle name="Comma 4 3 2 2 2 3 3 2" xfId="13895" xr:uid="{82F72433-D45A-4759-A805-5A735C0D4C8E}"/>
    <cellStyle name="Comma 4 3 2 2 2 3 4" xfId="9677" xr:uid="{7D834E41-87DF-482E-920B-5C090C328C8B}"/>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0F6D6700-3F46-4D38-AEBA-59B09115C0D1}"/>
    <cellStyle name="Comma 4 3 2 2 2 4 2 3" xfId="12235" xr:uid="{CB56590A-D121-4ACF-9F7C-86C8BE74B03B}"/>
    <cellStyle name="Comma 4 3 2 2 2 4 3" xfId="5858" xr:uid="{00000000-0005-0000-0000-000023090000}"/>
    <cellStyle name="Comma 4 3 2 2 2 4 3 2" xfId="14308" xr:uid="{6327ED62-7A71-4ECF-A140-BCADE3051D45}"/>
    <cellStyle name="Comma 4 3 2 2 2 4 4" xfId="10090" xr:uid="{1C505E6C-A790-47EC-B994-6C3B7394D624}"/>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3AD42B8E-3AB7-440B-854E-141C30C47A7A}"/>
    <cellStyle name="Comma 4 3 2 2 2 5 2 3" xfId="12648" xr:uid="{37F03E1B-7169-4109-82C6-F92E040124DC}"/>
    <cellStyle name="Comma 4 3 2 2 2 5 3" xfId="6271" xr:uid="{00000000-0005-0000-0000-000027090000}"/>
    <cellStyle name="Comma 4 3 2 2 2 5 3 2" xfId="14721" xr:uid="{A0DA3B96-2CCA-4998-93F1-175D8BB4F008}"/>
    <cellStyle name="Comma 4 3 2 2 2 5 4" xfId="10503" xr:uid="{BF787FBF-8835-47B1-960F-32147AE9F3FC}"/>
    <cellStyle name="Comma 4 3 2 2 2 6" xfId="2400" xr:uid="{00000000-0005-0000-0000-000028090000}"/>
    <cellStyle name="Comma 4 3 2 2 2 6 2" xfId="6684" xr:uid="{00000000-0005-0000-0000-000029090000}"/>
    <cellStyle name="Comma 4 3 2 2 2 6 2 2" xfId="15134" xr:uid="{E64B95CC-38B0-4513-BF9F-95A1A7A5F19D}"/>
    <cellStyle name="Comma 4 3 2 2 2 6 3" xfId="10916" xr:uid="{CCB481DE-476A-4C0B-94CE-196AA89A8C7D}"/>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E2B60081-4E66-4837-AB67-9479B5E3208F}"/>
    <cellStyle name="Comma 4 3 2 2 2 8 3" xfId="11233" xr:uid="{FBA6A77B-0E3D-410A-9937-765E3BB36D99}"/>
    <cellStyle name="Comma 4 3 2 2 2 9" xfId="4618" xr:uid="{00000000-0005-0000-0000-00002D090000}"/>
    <cellStyle name="Comma 4 3 2 2 2 9 2" xfId="13068" xr:uid="{BEFC5D7E-8F43-4E71-84AB-61D6C0A7DBEB}"/>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52DB8034-B781-48D7-B60B-3E86E1CEA508}"/>
    <cellStyle name="Comma 4 3 2 2 3 2 3" xfId="11408" xr:uid="{A8DD5229-5BEA-4456-9ED2-DD28FD30F865}"/>
    <cellStyle name="Comma 4 3 2 2 3 3" xfId="5031" xr:uid="{00000000-0005-0000-0000-000031090000}"/>
    <cellStyle name="Comma 4 3 2 2 3 3 2" xfId="13481" xr:uid="{D9064C8B-9D32-4D81-8945-7080501B4968}"/>
    <cellStyle name="Comma 4 3 2 2 3 4" xfId="9263" xr:uid="{C564B7B0-675E-4772-A7D6-E59466B4F9AB}"/>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650D7148-3F7B-4583-8E79-6FC22253FCF1}"/>
    <cellStyle name="Comma 4 3 2 2 4 2 3" xfId="11821" xr:uid="{BC00E22E-B8C5-4C3A-91B8-DD6F1D0224D5}"/>
    <cellStyle name="Comma 4 3 2 2 4 3" xfId="5444" xr:uid="{00000000-0005-0000-0000-000035090000}"/>
    <cellStyle name="Comma 4 3 2 2 4 3 2" xfId="13894" xr:uid="{E7BC256A-93F0-453B-83BA-C5ACAA99576A}"/>
    <cellStyle name="Comma 4 3 2 2 4 4" xfId="9676" xr:uid="{CD6357F7-F63C-43CD-9AC9-4243540F8874}"/>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ACD1FE6B-B067-4E79-B488-0C3DFC14BF27}"/>
    <cellStyle name="Comma 4 3 2 2 5 2 3" xfId="12234" xr:uid="{98A34DC3-7983-4857-93E2-5850969C4926}"/>
    <cellStyle name="Comma 4 3 2 2 5 3" xfId="5857" xr:uid="{00000000-0005-0000-0000-000039090000}"/>
    <cellStyle name="Comma 4 3 2 2 5 3 2" xfId="14307" xr:uid="{2ADE022F-7280-4BB4-88AF-E5DD7DE13CA2}"/>
    <cellStyle name="Comma 4 3 2 2 5 4" xfId="10089" xr:uid="{534C9DE8-0D2D-4703-8170-6C6E500149A9}"/>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A2735951-77CE-4246-A5EC-BE895186CA9C}"/>
    <cellStyle name="Comma 4 3 2 2 6 2 3" xfId="12647" xr:uid="{A0903521-BC3F-49DE-A10D-61561B89321F}"/>
    <cellStyle name="Comma 4 3 2 2 6 3" xfId="6270" xr:uid="{00000000-0005-0000-0000-00003D090000}"/>
    <cellStyle name="Comma 4 3 2 2 6 3 2" xfId="14720" xr:uid="{41F45CFD-77CE-4940-916F-1A4C7509AF00}"/>
    <cellStyle name="Comma 4 3 2 2 6 4" xfId="10502" xr:uid="{E44CEB34-B0D2-47F8-97D7-AEB6218EAC89}"/>
    <cellStyle name="Comma 4 3 2 2 7" xfId="2399" xr:uid="{00000000-0005-0000-0000-00003E090000}"/>
    <cellStyle name="Comma 4 3 2 2 7 2" xfId="6683" xr:uid="{00000000-0005-0000-0000-00003F090000}"/>
    <cellStyle name="Comma 4 3 2 2 7 2 2" xfId="15133" xr:uid="{F4C06DCB-E435-4E7F-A709-244B3FB9BCA2}"/>
    <cellStyle name="Comma 4 3 2 2 7 3" xfId="10915" xr:uid="{95D25034-D78B-41AD-BF19-2F218F55E313}"/>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B2AF1046-DBE1-4FC9-8E1A-33FDE8F9B5B8}"/>
    <cellStyle name="Comma 4 3 2 2 9 3" xfId="11232" xr:uid="{71C59757-CBCF-4CCF-BB53-2287253CCCBF}"/>
    <cellStyle name="Comma 4 3 2 3" xfId="148" xr:uid="{00000000-0005-0000-0000-000043090000}"/>
    <cellStyle name="Comma 4 3 2 3 10" xfId="8851" xr:uid="{F0F95B0C-0729-4FE3-A2E4-F30FC9A51364}"/>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BD7FB0B5-8C49-471A-B848-E6B645DA9BCB}"/>
    <cellStyle name="Comma 4 3 2 3 2 2 3" xfId="11410" xr:uid="{276AE8DF-CC18-4708-BC3D-68C5524ED57F}"/>
    <cellStyle name="Comma 4 3 2 3 2 3" xfId="5033" xr:uid="{00000000-0005-0000-0000-000047090000}"/>
    <cellStyle name="Comma 4 3 2 3 2 3 2" xfId="13483" xr:uid="{0871656D-AA00-486F-9626-5F4EADD10A4F}"/>
    <cellStyle name="Comma 4 3 2 3 2 4" xfId="9265" xr:uid="{56B56431-D380-40DB-B0C6-70E2874FD2AC}"/>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44D9D45D-94A6-4BF7-97CF-D3F9D524C55A}"/>
    <cellStyle name="Comma 4 3 2 3 3 2 3" xfId="11823" xr:uid="{B17362F9-1E94-451E-9128-5EA7275EB3AE}"/>
    <cellStyle name="Comma 4 3 2 3 3 3" xfId="5446" xr:uid="{00000000-0005-0000-0000-00004B090000}"/>
    <cellStyle name="Comma 4 3 2 3 3 3 2" xfId="13896" xr:uid="{EB36EFE3-318F-481F-B617-194565AB053E}"/>
    <cellStyle name="Comma 4 3 2 3 3 4" xfId="9678" xr:uid="{FC0342E6-111F-4E06-B750-F69EB3B6C443}"/>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27BF66AA-7F24-4B92-88F4-8255DC4F17A0}"/>
    <cellStyle name="Comma 4 3 2 3 4 2 3" xfId="12236" xr:uid="{73EFB69F-335C-4A53-9E55-EB26B23E6ED4}"/>
    <cellStyle name="Comma 4 3 2 3 4 3" xfId="5859" xr:uid="{00000000-0005-0000-0000-00004F090000}"/>
    <cellStyle name="Comma 4 3 2 3 4 3 2" xfId="14309" xr:uid="{16EFEEA3-542F-4405-B3FC-73F967075328}"/>
    <cellStyle name="Comma 4 3 2 3 4 4" xfId="10091" xr:uid="{C699D821-801E-4D0C-AFD1-9140FA19D6BC}"/>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F4C9DC2A-CB53-4A77-B270-B6BED2CE32FF}"/>
    <cellStyle name="Comma 4 3 2 3 5 2 3" xfId="12649" xr:uid="{E3D574A1-9080-455D-A78C-2B0C9A8182AF}"/>
    <cellStyle name="Comma 4 3 2 3 5 3" xfId="6272" xr:uid="{00000000-0005-0000-0000-000053090000}"/>
    <cellStyle name="Comma 4 3 2 3 5 3 2" xfId="14722" xr:uid="{B86422F5-1A28-48C6-804E-268B48F43B5F}"/>
    <cellStyle name="Comma 4 3 2 3 5 4" xfId="10504" xr:uid="{DAA7C247-7A1A-4C21-94D1-543C0E512ABB}"/>
    <cellStyle name="Comma 4 3 2 3 6" xfId="2401" xr:uid="{00000000-0005-0000-0000-000054090000}"/>
    <cellStyle name="Comma 4 3 2 3 6 2" xfId="6685" xr:uid="{00000000-0005-0000-0000-000055090000}"/>
    <cellStyle name="Comma 4 3 2 3 6 2 2" xfId="15135" xr:uid="{F0534B73-637A-4F20-83DB-7BDEFF486B46}"/>
    <cellStyle name="Comma 4 3 2 3 6 3" xfId="10917" xr:uid="{72786C79-0E44-479C-A766-70864EF2B97D}"/>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3CFB0E06-0EC6-4B2A-919E-3300B5666048}"/>
    <cellStyle name="Comma 4 3 2 3 8 3" xfId="11234" xr:uid="{39600401-CA92-4666-A07E-61E8C8A9BFC1}"/>
    <cellStyle name="Comma 4 3 2 3 9" xfId="4619" xr:uid="{00000000-0005-0000-0000-000059090000}"/>
    <cellStyle name="Comma 4 3 2 3 9 2" xfId="13069" xr:uid="{2A5D9775-D60B-47D2-B9CC-285F675CDD5C}"/>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603A4771-2D03-4D93-89A0-1FA1F037974E}"/>
    <cellStyle name="Comma 4 3 2 4 2 3" xfId="11407" xr:uid="{1F2735EE-5184-4A80-8209-A030E6E81569}"/>
    <cellStyle name="Comma 4 3 2 4 3" xfId="5030" xr:uid="{00000000-0005-0000-0000-00005D090000}"/>
    <cellStyle name="Comma 4 3 2 4 3 2" xfId="13480" xr:uid="{41150FE9-370B-48DA-A9F1-1921A0B240FD}"/>
    <cellStyle name="Comma 4 3 2 4 4" xfId="9262" xr:uid="{16AF5181-9CA1-474A-9298-2C708D43A896}"/>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948EB474-ED1A-43A1-AE95-7764CD59C3EF}"/>
    <cellStyle name="Comma 4 3 2 5 2 3" xfId="11820" xr:uid="{1CED03E3-049E-40E5-9BE5-867E63C342AD}"/>
    <cellStyle name="Comma 4 3 2 5 3" xfId="5443" xr:uid="{00000000-0005-0000-0000-000061090000}"/>
    <cellStyle name="Comma 4 3 2 5 3 2" xfId="13893" xr:uid="{910F858C-A722-4555-9076-3CEF933429AA}"/>
    <cellStyle name="Comma 4 3 2 5 4" xfId="9675" xr:uid="{0CC07592-BE84-460E-9FA7-6AE22DB1625F}"/>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5B1D2235-3AFD-49F5-9440-7D6CA47F5C68}"/>
    <cellStyle name="Comma 4 3 2 6 2 3" xfId="12233" xr:uid="{0C625B86-B5FC-4C97-A475-0E900CAE06CA}"/>
    <cellStyle name="Comma 4 3 2 6 3" xfId="5856" xr:uid="{00000000-0005-0000-0000-000065090000}"/>
    <cellStyle name="Comma 4 3 2 6 3 2" xfId="14306" xr:uid="{B1CC19DF-412E-498B-B26D-23C508C75FD1}"/>
    <cellStyle name="Comma 4 3 2 6 4" xfId="10088" xr:uid="{E38A0C8B-1C85-4429-8353-12248B8209CE}"/>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A4838D30-D782-49D8-94C0-02031DF3BAE7}"/>
    <cellStyle name="Comma 4 3 2 7 2 3" xfId="12646" xr:uid="{618D7705-54F3-4B48-8440-A4DA92618062}"/>
    <cellStyle name="Comma 4 3 2 7 3" xfId="6269" xr:uid="{00000000-0005-0000-0000-000069090000}"/>
    <cellStyle name="Comma 4 3 2 7 3 2" xfId="14719" xr:uid="{EBF16622-F846-4DED-AD62-C38C556096E4}"/>
    <cellStyle name="Comma 4 3 2 7 4" xfId="10501" xr:uid="{389FB257-E5A2-4B6A-857D-5A9FC065AC8D}"/>
    <cellStyle name="Comma 4 3 2 8" xfId="2398" xr:uid="{00000000-0005-0000-0000-00006A090000}"/>
    <cellStyle name="Comma 4 3 2 8 2" xfId="6682" xr:uid="{00000000-0005-0000-0000-00006B090000}"/>
    <cellStyle name="Comma 4 3 2 8 2 2" xfId="15132" xr:uid="{1E686253-8A7C-474F-AF3F-4B3B242A3F7E}"/>
    <cellStyle name="Comma 4 3 2 8 3" xfId="10914" xr:uid="{F4177EBB-3E86-4870-A2B5-2193D65C5759}"/>
    <cellStyle name="Comma 4 3 2 9" xfId="2365" xr:uid="{00000000-0005-0000-0000-00006C090000}"/>
    <cellStyle name="Comma 4 3 3" xfId="149" xr:uid="{00000000-0005-0000-0000-00006D090000}"/>
    <cellStyle name="Comma 4 3 3 10" xfId="4620" xr:uid="{00000000-0005-0000-0000-00006E090000}"/>
    <cellStyle name="Comma 4 3 3 10 2" xfId="13070" xr:uid="{47B21A60-8A62-42D1-88AB-BB7CCCA81654}"/>
    <cellStyle name="Comma 4 3 3 11" xfId="8852" xr:uid="{5C8228D4-3988-4645-9931-F783C5D725E1}"/>
    <cellStyle name="Comma 4 3 3 2" xfId="150" xr:uid="{00000000-0005-0000-0000-00006F090000}"/>
    <cellStyle name="Comma 4 3 3 2 10" xfId="8853" xr:uid="{CFDE85CF-160C-4BE9-B2B8-10496362C916}"/>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2121C87C-6478-484B-AFE8-BCFA9132A3C2}"/>
    <cellStyle name="Comma 4 3 3 2 2 2 3" xfId="11412" xr:uid="{A0930786-99E8-4B04-94A5-0CFB323D5A30}"/>
    <cellStyle name="Comma 4 3 3 2 2 3" xfId="5035" xr:uid="{00000000-0005-0000-0000-000073090000}"/>
    <cellStyle name="Comma 4 3 3 2 2 3 2" xfId="13485" xr:uid="{C620465D-9B94-4D0C-9C58-2F783BA2E3D2}"/>
    <cellStyle name="Comma 4 3 3 2 2 4" xfId="9267" xr:uid="{CBFB6E26-C3AA-4EE6-93A8-3D958F5A95FD}"/>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7160F8BE-63BD-4E20-B8C9-DD4A5BD1B3FA}"/>
    <cellStyle name="Comma 4 3 3 2 3 2 3" xfId="11825" xr:uid="{7BE3B0B3-ECE1-4815-AD22-A59CA4FA12AC}"/>
    <cellStyle name="Comma 4 3 3 2 3 3" xfId="5448" xr:uid="{00000000-0005-0000-0000-000077090000}"/>
    <cellStyle name="Comma 4 3 3 2 3 3 2" xfId="13898" xr:uid="{83DB665F-E289-4456-A282-6135398B78BC}"/>
    <cellStyle name="Comma 4 3 3 2 3 4" xfId="9680" xr:uid="{B08C9710-DA03-4018-80E6-D61C390C1692}"/>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9F3641BE-478D-4DEF-BF62-5AD53920CB1F}"/>
    <cellStyle name="Comma 4 3 3 2 4 2 3" xfId="12238" xr:uid="{4E19E12A-25CD-4A85-9673-097477ABCE82}"/>
    <cellStyle name="Comma 4 3 3 2 4 3" xfId="5861" xr:uid="{00000000-0005-0000-0000-00007B090000}"/>
    <cellStyle name="Comma 4 3 3 2 4 3 2" xfId="14311" xr:uid="{FB89ECF9-2746-4344-87E9-323F6F79E983}"/>
    <cellStyle name="Comma 4 3 3 2 4 4" xfId="10093" xr:uid="{122C6602-55F1-489D-A75A-83BD8CA19A75}"/>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91FA6F2A-6D25-45AF-9FF4-36AEA7307720}"/>
    <cellStyle name="Comma 4 3 3 2 5 2 3" xfId="12651" xr:uid="{79004EC8-5CFD-4E5D-BBFF-3D7AF1F00415}"/>
    <cellStyle name="Comma 4 3 3 2 5 3" xfId="6274" xr:uid="{00000000-0005-0000-0000-00007F090000}"/>
    <cellStyle name="Comma 4 3 3 2 5 3 2" xfId="14724" xr:uid="{79759EC5-BE13-4A35-9CB7-657776D78661}"/>
    <cellStyle name="Comma 4 3 3 2 5 4" xfId="10506" xr:uid="{B63E263E-F9E2-48D2-8958-EA6CDA62AA5A}"/>
    <cellStyle name="Comma 4 3 3 2 6" xfId="2403" xr:uid="{00000000-0005-0000-0000-000080090000}"/>
    <cellStyle name="Comma 4 3 3 2 6 2" xfId="6687" xr:uid="{00000000-0005-0000-0000-000081090000}"/>
    <cellStyle name="Comma 4 3 3 2 6 2 2" xfId="15137" xr:uid="{35442B9B-FB8B-4B41-9089-3F5FF228FE4F}"/>
    <cellStyle name="Comma 4 3 3 2 6 3" xfId="10919" xr:uid="{042A02A2-A6BC-4F26-A0CB-40107B9AA521}"/>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6815EAC8-1C83-4D44-93F2-D41C023CD8E1}"/>
    <cellStyle name="Comma 4 3 3 2 8 3" xfId="11236" xr:uid="{FA5342E7-7862-4312-A61D-FDA7377B0A86}"/>
    <cellStyle name="Comma 4 3 3 2 9" xfId="4621" xr:uid="{00000000-0005-0000-0000-000085090000}"/>
    <cellStyle name="Comma 4 3 3 2 9 2" xfId="13071" xr:uid="{28958D00-E5AC-4795-84F3-3DF389C92C24}"/>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ACF9CA76-70BC-4AC7-AAC1-20D010D936FB}"/>
    <cellStyle name="Comma 4 3 3 3 2 3" xfId="11411" xr:uid="{B9FE51BD-6ED6-4BF6-9486-95364A5966C0}"/>
    <cellStyle name="Comma 4 3 3 3 3" xfId="5034" xr:uid="{00000000-0005-0000-0000-000089090000}"/>
    <cellStyle name="Comma 4 3 3 3 3 2" xfId="13484" xr:uid="{41DD9B9C-240A-4A25-8773-ACF7E1EDC183}"/>
    <cellStyle name="Comma 4 3 3 3 4" xfId="9266" xr:uid="{03796BE9-AF3E-4F7F-A141-D9FEF238CB96}"/>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4D5AAABC-60EE-483D-AB90-08EE12AA62F0}"/>
    <cellStyle name="Comma 4 3 3 4 2 3" xfId="11824" xr:uid="{D4AA08BB-CCBC-426C-B121-67817D5ADD1F}"/>
    <cellStyle name="Comma 4 3 3 4 3" xfId="5447" xr:uid="{00000000-0005-0000-0000-00008D090000}"/>
    <cellStyle name="Comma 4 3 3 4 3 2" xfId="13897" xr:uid="{2D341A3F-A8BD-4BDC-946C-A41B4626F861}"/>
    <cellStyle name="Comma 4 3 3 4 4" xfId="9679" xr:uid="{F0BEABF9-8AF7-41CD-BFAD-BC6430DE0C03}"/>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6ED0B6B4-D3F4-4A3F-960C-E4D9D55AFA68}"/>
    <cellStyle name="Comma 4 3 3 5 2 3" xfId="12237" xr:uid="{A8B02E7B-ABC3-4E80-A23C-C8D9FCDE1F96}"/>
    <cellStyle name="Comma 4 3 3 5 3" xfId="5860" xr:uid="{00000000-0005-0000-0000-000091090000}"/>
    <cellStyle name="Comma 4 3 3 5 3 2" xfId="14310" xr:uid="{65013C92-8EA6-486C-9B7F-E610683DE510}"/>
    <cellStyle name="Comma 4 3 3 5 4" xfId="10092" xr:uid="{330F5FD6-F250-4ED0-970D-51B564C6F96A}"/>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8DCCCF1E-DAC4-49DE-B845-7BA545693FB9}"/>
    <cellStyle name="Comma 4 3 3 6 2 3" xfId="12650" xr:uid="{44D98C95-9ED9-4558-B8CE-1A39F1AEEFF7}"/>
    <cellStyle name="Comma 4 3 3 6 3" xfId="6273" xr:uid="{00000000-0005-0000-0000-000095090000}"/>
    <cellStyle name="Comma 4 3 3 6 3 2" xfId="14723" xr:uid="{C8EF87A2-ADC8-4F72-8B96-9B4157DDED35}"/>
    <cellStyle name="Comma 4 3 3 6 4" xfId="10505" xr:uid="{F8C2F927-0928-4BF6-A183-C4DF605DDFD5}"/>
    <cellStyle name="Comma 4 3 3 7" xfId="2402" xr:uid="{00000000-0005-0000-0000-000096090000}"/>
    <cellStyle name="Comma 4 3 3 7 2" xfId="6686" xr:uid="{00000000-0005-0000-0000-000097090000}"/>
    <cellStyle name="Comma 4 3 3 7 2 2" xfId="15136" xr:uid="{6B754454-AD30-4996-AE25-FACED31A6DAB}"/>
    <cellStyle name="Comma 4 3 3 7 3" xfId="10918" xr:uid="{75159785-36A1-4227-9677-B786E4D9D586}"/>
    <cellStyle name="Comma 4 3 3 8" xfId="2361" xr:uid="{00000000-0005-0000-0000-000098090000}"/>
    <cellStyle name="Comma 4 3 3 9" xfId="2780" xr:uid="{00000000-0005-0000-0000-000099090000}"/>
    <cellStyle name="Comma 4 3 3 9 2" xfId="7003" xr:uid="{00000000-0005-0000-0000-00009A090000}"/>
    <cellStyle name="Comma 4 3 3 9 2 2" xfId="15453" xr:uid="{24F17411-F58B-4DD4-AD2E-9A87C859DCBE}"/>
    <cellStyle name="Comma 4 3 3 9 3" xfId="11235" xr:uid="{71521896-9A26-49FF-84A8-9BBD969D0C97}"/>
    <cellStyle name="Comma 4 3 4" xfId="151" xr:uid="{00000000-0005-0000-0000-00009B090000}"/>
    <cellStyle name="Comma 4 3 4 10" xfId="8854" xr:uid="{A63A366E-0BC6-4C71-82D4-9FEFC15A59BB}"/>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913ADCD9-103E-4737-AA67-1E674BB40D35}"/>
    <cellStyle name="Comma 4 3 4 2 2 3" xfId="11413" xr:uid="{3C9FD04B-A05B-4DCD-82EB-A2B66E2756F5}"/>
    <cellStyle name="Comma 4 3 4 2 3" xfId="5036" xr:uid="{00000000-0005-0000-0000-00009F090000}"/>
    <cellStyle name="Comma 4 3 4 2 3 2" xfId="13486" xr:uid="{BE4454F2-50DE-42DB-A848-8D990FB641FC}"/>
    <cellStyle name="Comma 4 3 4 2 4" xfId="9268" xr:uid="{CB6B3821-D9AA-4D81-90A1-93E5A98F0EE2}"/>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ECEB18C7-EBB7-4799-929D-132113DAB7D8}"/>
    <cellStyle name="Comma 4 3 4 3 2 3" xfId="11826" xr:uid="{14A5AB11-664B-4885-B06C-38A78A57C19F}"/>
    <cellStyle name="Comma 4 3 4 3 3" xfId="5449" xr:uid="{00000000-0005-0000-0000-0000A3090000}"/>
    <cellStyle name="Comma 4 3 4 3 3 2" xfId="13899" xr:uid="{F821EB92-1B11-47AC-A12F-FEA920BA4346}"/>
    <cellStyle name="Comma 4 3 4 3 4" xfId="9681" xr:uid="{58BE9E3E-A079-46F2-8A5E-47A026705CB0}"/>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D3B6BA28-A371-4F81-B688-AD600FFC30F9}"/>
    <cellStyle name="Comma 4 3 4 4 2 3" xfId="12239" xr:uid="{FE9F0827-28A1-4FE5-9DB7-A91CF838E0A5}"/>
    <cellStyle name="Comma 4 3 4 4 3" xfId="5862" xr:uid="{00000000-0005-0000-0000-0000A7090000}"/>
    <cellStyle name="Comma 4 3 4 4 3 2" xfId="14312" xr:uid="{1A497AB0-83F5-42B2-9D15-247D37E29A8C}"/>
    <cellStyle name="Comma 4 3 4 4 4" xfId="10094" xr:uid="{D48B6D22-1276-4A33-866F-FA73AFB4D0F6}"/>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F0210FBE-B0C8-441F-AB37-20EEBE80DCD2}"/>
    <cellStyle name="Comma 4 3 4 5 2 3" xfId="12652" xr:uid="{443AD5ED-F5CD-4474-AA36-37BCA30ADCFA}"/>
    <cellStyle name="Comma 4 3 4 5 3" xfId="6275" xr:uid="{00000000-0005-0000-0000-0000AB090000}"/>
    <cellStyle name="Comma 4 3 4 5 3 2" xfId="14725" xr:uid="{44E6421D-B861-4855-B933-3C0CE5FEBE4D}"/>
    <cellStyle name="Comma 4 3 4 5 4" xfId="10507" xr:uid="{2980435D-0F2B-446A-8D4C-0F8A9434CF8C}"/>
    <cellStyle name="Comma 4 3 4 6" xfId="2404" xr:uid="{00000000-0005-0000-0000-0000AC090000}"/>
    <cellStyle name="Comma 4 3 4 6 2" xfId="6688" xr:uid="{00000000-0005-0000-0000-0000AD090000}"/>
    <cellStyle name="Comma 4 3 4 6 2 2" xfId="15138" xr:uid="{A83B89D1-5EA3-4E06-AC35-C50A9CE1C5A2}"/>
    <cellStyle name="Comma 4 3 4 6 3" xfId="10920" xr:uid="{5906DF56-C428-4ACF-91FF-AD9B92900C8F}"/>
    <cellStyle name="Comma 4 3 4 7" xfId="2700" xr:uid="{00000000-0005-0000-0000-0000AE090000}"/>
    <cellStyle name="Comma 4 3 4 8" xfId="2782" xr:uid="{00000000-0005-0000-0000-0000AF090000}"/>
    <cellStyle name="Comma 4 3 4 8 2" xfId="7005" xr:uid="{00000000-0005-0000-0000-0000B0090000}"/>
    <cellStyle name="Comma 4 3 4 8 2 2" xfId="15455" xr:uid="{FED415C6-6959-4702-867C-C4A38A36EECA}"/>
    <cellStyle name="Comma 4 3 4 8 3" xfId="11237" xr:uid="{5E463E73-A10C-436C-BD6C-FCAADD8CB565}"/>
    <cellStyle name="Comma 4 3 4 9" xfId="4622" xr:uid="{00000000-0005-0000-0000-0000B1090000}"/>
    <cellStyle name="Comma 4 3 4 9 2" xfId="13072" xr:uid="{36FAB245-4A62-4C3A-9362-2F55A85A2FB0}"/>
    <cellStyle name="Comma 4 3 5" xfId="152" xr:uid="{00000000-0005-0000-0000-0000B2090000}"/>
    <cellStyle name="Comma 4 3 5 10" xfId="8855" xr:uid="{F8EC87CF-FB3F-4FF3-A32E-9E4E4913513E}"/>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FBF49E32-0AEB-41DE-9194-B5549C585284}"/>
    <cellStyle name="Comma 4 3 5 2 2 3" xfId="11414" xr:uid="{B05819BA-7479-4723-B455-ABBD431B122B}"/>
    <cellStyle name="Comma 4 3 5 2 3" xfId="5037" xr:uid="{00000000-0005-0000-0000-0000B6090000}"/>
    <cellStyle name="Comma 4 3 5 2 3 2" xfId="13487" xr:uid="{CF02E596-76D5-4D5C-880F-6799BC3881EA}"/>
    <cellStyle name="Comma 4 3 5 2 4" xfId="9269" xr:uid="{D9FE77FC-30CD-424C-BC20-C429356B79C7}"/>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1C47C540-0288-45AB-8C5B-DFC977804F97}"/>
    <cellStyle name="Comma 4 3 5 3 2 3" xfId="11827" xr:uid="{0CAE958C-B207-4475-8BAB-45E1EEDD57E9}"/>
    <cellStyle name="Comma 4 3 5 3 3" xfId="5450" xr:uid="{00000000-0005-0000-0000-0000BA090000}"/>
    <cellStyle name="Comma 4 3 5 3 3 2" xfId="13900" xr:uid="{9F42FA32-E0BA-4CA8-87E5-2E30CE9C1F09}"/>
    <cellStyle name="Comma 4 3 5 3 4" xfId="9682" xr:uid="{B9E9EC2B-6442-4C2C-9AC2-ECD9766570A6}"/>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93CA860A-5E4D-4B36-88CD-3999161890EE}"/>
    <cellStyle name="Comma 4 3 5 4 2 3" xfId="12240" xr:uid="{F8F45E4D-B92B-4B3B-AF05-E08BABD9C01E}"/>
    <cellStyle name="Comma 4 3 5 4 3" xfId="5863" xr:uid="{00000000-0005-0000-0000-0000BE090000}"/>
    <cellStyle name="Comma 4 3 5 4 3 2" xfId="14313" xr:uid="{31743B64-9F38-4D41-B3CD-77D80412A599}"/>
    <cellStyle name="Comma 4 3 5 4 4" xfId="10095" xr:uid="{F775339C-86CB-4813-89C7-7E3F8B084358}"/>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C709BC85-7BBC-4D2C-B221-B3291E5B01B4}"/>
    <cellStyle name="Comma 4 3 5 5 2 3" xfId="12653" xr:uid="{C77A2514-8D79-49A7-9B7C-97DE5714EB2C}"/>
    <cellStyle name="Comma 4 3 5 5 3" xfId="6276" xr:uid="{00000000-0005-0000-0000-0000C2090000}"/>
    <cellStyle name="Comma 4 3 5 5 3 2" xfId="14726" xr:uid="{444EC425-8DD5-452B-BF2A-354781E43AE5}"/>
    <cellStyle name="Comma 4 3 5 5 4" xfId="10508" xr:uid="{CA6F4222-6DD8-4600-85A5-5514126F4F5D}"/>
    <cellStyle name="Comma 4 3 5 6" xfId="2405" xr:uid="{00000000-0005-0000-0000-0000C3090000}"/>
    <cellStyle name="Comma 4 3 5 6 2" xfId="6689" xr:uid="{00000000-0005-0000-0000-0000C4090000}"/>
    <cellStyle name="Comma 4 3 5 6 2 2" xfId="15139" xr:uid="{BC7DE786-BBCC-4524-A4FE-2915969A11EC}"/>
    <cellStyle name="Comma 4 3 5 6 3" xfId="10921" xr:uid="{58C026E6-7386-44B5-9B6F-BAA0019A960C}"/>
    <cellStyle name="Comma 4 3 5 7" xfId="2701" xr:uid="{00000000-0005-0000-0000-0000C5090000}"/>
    <cellStyle name="Comma 4 3 5 8" xfId="2783" xr:uid="{00000000-0005-0000-0000-0000C6090000}"/>
    <cellStyle name="Comma 4 3 5 8 2" xfId="7006" xr:uid="{00000000-0005-0000-0000-0000C7090000}"/>
    <cellStyle name="Comma 4 3 5 8 2 2" xfId="15456" xr:uid="{64DC4951-7FD0-4003-8A8E-350462CA39E6}"/>
    <cellStyle name="Comma 4 3 5 8 3" xfId="11238" xr:uid="{C620D219-BA79-4206-8612-A5A5C1D6C3CA}"/>
    <cellStyle name="Comma 4 3 5 9" xfId="4623" xr:uid="{00000000-0005-0000-0000-0000C8090000}"/>
    <cellStyle name="Comma 4 3 5 9 2" xfId="13073" xr:uid="{D51E57F2-268F-4FF9-A943-35CC68A79EA4}"/>
    <cellStyle name="Comma 4 4" xfId="153" xr:uid="{00000000-0005-0000-0000-0000C9090000}"/>
    <cellStyle name="Comma 4 4 10" xfId="2784" xr:uid="{00000000-0005-0000-0000-0000CA090000}"/>
    <cellStyle name="Comma 4 4 10 2" xfId="7007" xr:uid="{00000000-0005-0000-0000-0000CB090000}"/>
    <cellStyle name="Comma 4 4 10 2 2" xfId="15457" xr:uid="{33EDB237-FE0F-49C7-8FBC-60FE9E7FA8F9}"/>
    <cellStyle name="Comma 4 4 10 3" xfId="11239" xr:uid="{5261FE81-2645-4D89-87EF-0F816740347B}"/>
    <cellStyle name="Comma 4 4 11" xfId="4624" xr:uid="{00000000-0005-0000-0000-0000CC090000}"/>
    <cellStyle name="Comma 4 4 11 2" xfId="13074" xr:uid="{6FFC5A46-0ACD-4339-BB8C-079C84BC0A2A}"/>
    <cellStyle name="Comma 4 4 12" xfId="8856" xr:uid="{258EB68B-56AC-4D49-A39B-149E3F8FD44A}"/>
    <cellStyle name="Comma 4 4 2" xfId="154" xr:uid="{00000000-0005-0000-0000-0000CD090000}"/>
    <cellStyle name="Comma 4 4 2 10" xfId="4625" xr:uid="{00000000-0005-0000-0000-0000CE090000}"/>
    <cellStyle name="Comma 4 4 2 10 2" xfId="13075" xr:uid="{E4AAEBA2-F3DE-4BFC-BFBE-1D8AFB16429A}"/>
    <cellStyle name="Comma 4 4 2 11" xfId="8857" xr:uid="{509A0ED1-3AB9-4052-AD34-01EEDA6A478A}"/>
    <cellStyle name="Comma 4 4 2 2" xfId="155" xr:uid="{00000000-0005-0000-0000-0000CF090000}"/>
    <cellStyle name="Comma 4 4 2 2 10" xfId="8858" xr:uid="{7D2A7D8D-1B53-48DC-9A5B-41FAA578326E}"/>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0ADCE56B-7DD6-48B2-A444-368818E861AB}"/>
    <cellStyle name="Comma 4 4 2 2 2 2 3" xfId="11417" xr:uid="{B0867FC4-1920-4398-8D77-138412B0AAF9}"/>
    <cellStyle name="Comma 4 4 2 2 2 3" xfId="5040" xr:uid="{00000000-0005-0000-0000-0000D3090000}"/>
    <cellStyle name="Comma 4 4 2 2 2 3 2" xfId="13490" xr:uid="{2F838338-2F16-425F-9866-A42EB33803FD}"/>
    <cellStyle name="Comma 4 4 2 2 2 4" xfId="9272" xr:uid="{DF5492C5-9FC7-4976-8137-6E52DE1D60C0}"/>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051DC075-F77F-4039-B0CB-07C7D2F583BC}"/>
    <cellStyle name="Comma 4 4 2 2 3 2 3" xfId="11830" xr:uid="{36A93F31-02C8-4AA2-B6CA-1BDFB24FFB0A}"/>
    <cellStyle name="Comma 4 4 2 2 3 3" xfId="5453" xr:uid="{00000000-0005-0000-0000-0000D7090000}"/>
    <cellStyle name="Comma 4 4 2 2 3 3 2" xfId="13903" xr:uid="{5DC6A0CD-FC38-47DB-9E23-46D9C5735163}"/>
    <cellStyle name="Comma 4 4 2 2 3 4" xfId="9685" xr:uid="{642F7267-2338-40E2-872A-694DFA6AD2C7}"/>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4AEC212F-1595-406A-8663-8250EBC08833}"/>
    <cellStyle name="Comma 4 4 2 2 4 2 3" xfId="12243" xr:uid="{A08DB77F-DF9D-48B2-B549-B65021DDF6FE}"/>
    <cellStyle name="Comma 4 4 2 2 4 3" xfId="5866" xr:uid="{00000000-0005-0000-0000-0000DB090000}"/>
    <cellStyle name="Comma 4 4 2 2 4 3 2" xfId="14316" xr:uid="{07D44986-1542-4800-8C0D-54C00851DB3B}"/>
    <cellStyle name="Comma 4 4 2 2 4 4" xfId="10098" xr:uid="{29F5988E-646A-414F-9C5F-DE4E7A5CF398}"/>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76ACD4AA-A6EB-4CE2-B149-76358E40DA01}"/>
    <cellStyle name="Comma 4 4 2 2 5 2 3" xfId="12656" xr:uid="{35B61ED8-A5BC-4F25-AB44-E734FC3704FD}"/>
    <cellStyle name="Comma 4 4 2 2 5 3" xfId="6279" xr:uid="{00000000-0005-0000-0000-0000DF090000}"/>
    <cellStyle name="Comma 4 4 2 2 5 3 2" xfId="14729" xr:uid="{67E0EB30-14BC-4D32-89A9-1C5834944FF3}"/>
    <cellStyle name="Comma 4 4 2 2 5 4" xfId="10511" xr:uid="{185D265B-1A0A-4C97-BC7D-65431BB73D27}"/>
    <cellStyle name="Comma 4 4 2 2 6" xfId="2408" xr:uid="{00000000-0005-0000-0000-0000E0090000}"/>
    <cellStyle name="Comma 4 4 2 2 6 2" xfId="6692" xr:uid="{00000000-0005-0000-0000-0000E1090000}"/>
    <cellStyle name="Comma 4 4 2 2 6 2 2" xfId="15142" xr:uid="{F6703213-9B84-4A5D-9052-6D0D29A02B44}"/>
    <cellStyle name="Comma 4 4 2 2 6 3" xfId="10924" xr:uid="{BB6D3BF6-2DF7-4A27-B7C1-237C15648C67}"/>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CB5F62B8-2C70-495E-8453-25CD8D9B321C}"/>
    <cellStyle name="Comma 4 4 2 2 8 3" xfId="11241" xr:uid="{B1F93BA3-53ED-4375-9A65-4179B400978E}"/>
    <cellStyle name="Comma 4 4 2 2 9" xfId="4626" xr:uid="{00000000-0005-0000-0000-0000E5090000}"/>
    <cellStyle name="Comma 4 4 2 2 9 2" xfId="13076" xr:uid="{CE096F8F-D822-418D-9E2E-1E8DD9FB79B7}"/>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E94E206E-8248-4321-904D-2C314E0BD54E}"/>
    <cellStyle name="Comma 4 4 2 3 2 3" xfId="11416" xr:uid="{C71FA8A4-F758-4398-867C-1657D84FDAC5}"/>
    <cellStyle name="Comma 4 4 2 3 3" xfId="5039" xr:uid="{00000000-0005-0000-0000-0000E9090000}"/>
    <cellStyle name="Comma 4 4 2 3 3 2" xfId="13489" xr:uid="{84F0F74F-C692-4E91-B0F2-AA0596FD47CE}"/>
    <cellStyle name="Comma 4 4 2 3 4" xfId="9271" xr:uid="{80318C31-7B6C-4203-BB1C-BA36EACAC2A3}"/>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1F9D1694-9996-4AD4-B5EF-5B6D36CF47F0}"/>
    <cellStyle name="Comma 4 4 2 4 2 3" xfId="11829" xr:uid="{FE81A198-867E-4F9F-99BA-C2AED1486976}"/>
    <cellStyle name="Comma 4 4 2 4 3" xfId="5452" xr:uid="{00000000-0005-0000-0000-0000ED090000}"/>
    <cellStyle name="Comma 4 4 2 4 3 2" xfId="13902" xr:uid="{D308CD1C-BC24-4958-8DDB-34743B922213}"/>
    <cellStyle name="Comma 4 4 2 4 4" xfId="9684" xr:uid="{3846C059-C24C-480E-8986-4B2DD0F0C2D1}"/>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BD3FD4C9-2E15-4AD5-9D5A-B551E4D11F43}"/>
    <cellStyle name="Comma 4 4 2 5 2 3" xfId="12242" xr:uid="{80C9231E-554F-4D3C-A0AE-B7159395147E}"/>
    <cellStyle name="Comma 4 4 2 5 3" xfId="5865" xr:uid="{00000000-0005-0000-0000-0000F1090000}"/>
    <cellStyle name="Comma 4 4 2 5 3 2" xfId="14315" xr:uid="{3F3F282E-0A85-4D1E-91B8-A9448825BDCD}"/>
    <cellStyle name="Comma 4 4 2 5 4" xfId="10097" xr:uid="{376B0CAC-07EB-4AA2-8524-E5283D2E3717}"/>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965A382F-D262-4A4F-B271-DC32D7E86202}"/>
    <cellStyle name="Comma 4 4 2 6 2 3" xfId="12655" xr:uid="{BD70E462-559C-41C6-88C6-BB66506C77C8}"/>
    <cellStyle name="Comma 4 4 2 6 3" xfId="6278" xr:uid="{00000000-0005-0000-0000-0000F5090000}"/>
    <cellStyle name="Comma 4 4 2 6 3 2" xfId="14728" xr:uid="{DD409EA2-B4CF-4184-9857-62DE64EA8F1A}"/>
    <cellStyle name="Comma 4 4 2 6 4" xfId="10510" xr:uid="{41BE663D-9D2A-428D-99CB-DA2A67B9C510}"/>
    <cellStyle name="Comma 4 4 2 7" xfId="2407" xr:uid="{00000000-0005-0000-0000-0000F6090000}"/>
    <cellStyle name="Comma 4 4 2 7 2" xfId="6691" xr:uid="{00000000-0005-0000-0000-0000F7090000}"/>
    <cellStyle name="Comma 4 4 2 7 2 2" xfId="15141" xr:uid="{7EA058EC-8833-4FFB-8AAC-A3A4397E9920}"/>
    <cellStyle name="Comma 4 4 2 7 3" xfId="10923" xr:uid="{BF40319A-4D24-498F-8149-E7C647EBDFCE}"/>
    <cellStyle name="Comma 4 4 2 8" xfId="2703" xr:uid="{00000000-0005-0000-0000-0000F8090000}"/>
    <cellStyle name="Comma 4 4 2 9" xfId="2785" xr:uid="{00000000-0005-0000-0000-0000F9090000}"/>
    <cellStyle name="Comma 4 4 2 9 2" xfId="7008" xr:uid="{00000000-0005-0000-0000-0000FA090000}"/>
    <cellStyle name="Comma 4 4 2 9 2 2" xfId="15458" xr:uid="{8C0A4332-7951-43B5-A8C9-3A5E09E4CF76}"/>
    <cellStyle name="Comma 4 4 2 9 3" xfId="11240" xr:uid="{A21851C4-9C09-4D36-9101-334C2D56324B}"/>
    <cellStyle name="Comma 4 4 3" xfId="156" xr:uid="{00000000-0005-0000-0000-0000FB090000}"/>
    <cellStyle name="Comma 4 4 3 10" xfId="8859" xr:uid="{1C36ABAE-4AD5-4ACD-8DDC-63A3187786C4}"/>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B0A02F8C-78FD-4F13-A527-26EEEAFC5FD4}"/>
    <cellStyle name="Comma 4 4 3 2 2 3" xfId="11418" xr:uid="{170A2073-2664-4FAD-BC82-F487B956F1CB}"/>
    <cellStyle name="Comma 4 4 3 2 3" xfId="5041" xr:uid="{00000000-0005-0000-0000-0000FF090000}"/>
    <cellStyle name="Comma 4 4 3 2 3 2" xfId="13491" xr:uid="{DE511E2E-E56C-4FC7-8B3A-8E0E4BA0CF7D}"/>
    <cellStyle name="Comma 4 4 3 2 4" xfId="9273" xr:uid="{02ED3CAA-BA9A-4360-869C-757C5F1B6EBB}"/>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88A9A3B1-F06D-4899-AE44-F37276AF171E}"/>
    <cellStyle name="Comma 4 4 3 3 2 3" xfId="11831" xr:uid="{09EBBF9E-D17B-45BA-9928-B35675D7F7F0}"/>
    <cellStyle name="Comma 4 4 3 3 3" xfId="5454" xr:uid="{00000000-0005-0000-0000-0000030A0000}"/>
    <cellStyle name="Comma 4 4 3 3 3 2" xfId="13904" xr:uid="{AD13EFFF-C659-4DC2-B15D-472C650115E5}"/>
    <cellStyle name="Comma 4 4 3 3 4" xfId="9686" xr:uid="{5F49A505-CED9-4423-883A-1F5392574F7B}"/>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39F10DE4-BDC4-4B7A-859C-03FA194808A3}"/>
    <cellStyle name="Comma 4 4 3 4 2 3" xfId="12244" xr:uid="{1E08EC6A-E31C-409F-8DF4-FDA796561BDE}"/>
    <cellStyle name="Comma 4 4 3 4 3" xfId="5867" xr:uid="{00000000-0005-0000-0000-0000070A0000}"/>
    <cellStyle name="Comma 4 4 3 4 3 2" xfId="14317" xr:uid="{4EB085FF-8555-485C-B3D8-743076CC2180}"/>
    <cellStyle name="Comma 4 4 3 4 4" xfId="10099" xr:uid="{69ACAAD2-C833-4F85-B848-C200C1EF5FD6}"/>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19BF207A-A35D-4B9F-92AF-7C7ADF394607}"/>
    <cellStyle name="Comma 4 4 3 5 2 3" xfId="12657" xr:uid="{D8AF33C4-E8DE-40D2-8B35-4A27F0509FE6}"/>
    <cellStyle name="Comma 4 4 3 5 3" xfId="6280" xr:uid="{00000000-0005-0000-0000-00000B0A0000}"/>
    <cellStyle name="Comma 4 4 3 5 3 2" xfId="14730" xr:uid="{EAED8B81-08BB-4390-B880-6ADD79B2A0AD}"/>
    <cellStyle name="Comma 4 4 3 5 4" xfId="10512" xr:uid="{E6727BD7-5B43-44DC-96FA-10CED6AFD017}"/>
    <cellStyle name="Comma 4 4 3 6" xfId="2409" xr:uid="{00000000-0005-0000-0000-00000C0A0000}"/>
    <cellStyle name="Comma 4 4 3 6 2" xfId="6693" xr:uid="{00000000-0005-0000-0000-00000D0A0000}"/>
    <cellStyle name="Comma 4 4 3 6 2 2" xfId="15143" xr:uid="{05EF12D3-9EF5-439F-BF5A-29DFDDFFF3CD}"/>
    <cellStyle name="Comma 4 4 3 6 3" xfId="10925" xr:uid="{FAD25868-8251-42EA-8878-AC976856023F}"/>
    <cellStyle name="Comma 4 4 3 7" xfId="2705" xr:uid="{00000000-0005-0000-0000-00000E0A0000}"/>
    <cellStyle name="Comma 4 4 3 8" xfId="2787" xr:uid="{00000000-0005-0000-0000-00000F0A0000}"/>
    <cellStyle name="Comma 4 4 3 8 2" xfId="7010" xr:uid="{00000000-0005-0000-0000-0000100A0000}"/>
    <cellStyle name="Comma 4 4 3 8 2 2" xfId="15460" xr:uid="{63B3420C-82BF-4B85-A520-FE74B83153DE}"/>
    <cellStyle name="Comma 4 4 3 8 3" xfId="11242" xr:uid="{437B2388-CC66-41B3-B60B-886AE51C13E4}"/>
    <cellStyle name="Comma 4 4 3 9" xfId="4627" xr:uid="{00000000-0005-0000-0000-0000110A0000}"/>
    <cellStyle name="Comma 4 4 3 9 2" xfId="13077" xr:uid="{B6749C7D-68F6-4181-A572-A9F24CF0A73A}"/>
    <cellStyle name="Comma 4 4 4" xfId="690" xr:uid="{00000000-0005-0000-0000-0000120A0000}"/>
    <cellStyle name="Comma 4 4 4 2" xfId="2961" xr:uid="{00000000-0005-0000-0000-0000130A0000}"/>
    <cellStyle name="Comma 4 4 4 2 2" xfId="7183" xr:uid="{00000000-0005-0000-0000-0000140A0000}"/>
    <cellStyle name="Comma 4 4 4 2 2 2" xfId="15633" xr:uid="{FC9A249A-0C77-4F16-A04B-F31FBF694743}"/>
    <cellStyle name="Comma 4 4 4 2 3" xfId="11415" xr:uid="{19AA4D3C-5E8D-48A1-B99B-5AD9C06FBA63}"/>
    <cellStyle name="Comma 4 4 4 3" xfId="5038" xr:uid="{00000000-0005-0000-0000-0000150A0000}"/>
    <cellStyle name="Comma 4 4 4 3 2" xfId="13488" xr:uid="{618678E6-E736-48C2-BBEE-463FD775C64D}"/>
    <cellStyle name="Comma 4 4 4 4" xfId="9270" xr:uid="{962F4DF4-97E9-465E-A3B3-8F6AA0063ACE}"/>
    <cellStyle name="Comma 4 4 5" xfId="1143" xr:uid="{00000000-0005-0000-0000-0000160A0000}"/>
    <cellStyle name="Comma 4 4 5 2" xfId="3374" xr:uid="{00000000-0005-0000-0000-0000170A0000}"/>
    <cellStyle name="Comma 4 4 5 2 2" xfId="7596" xr:uid="{00000000-0005-0000-0000-0000180A0000}"/>
    <cellStyle name="Comma 4 4 5 2 2 2" xfId="16046" xr:uid="{7662FEDF-DF2C-46B1-974A-BF668EAE52AC}"/>
    <cellStyle name="Comma 4 4 5 2 3" xfId="11828" xr:uid="{BEBB54F9-6C0F-4E46-87EE-EDCF60D87A0E}"/>
    <cellStyle name="Comma 4 4 5 3" xfId="5451" xr:uid="{00000000-0005-0000-0000-0000190A0000}"/>
    <cellStyle name="Comma 4 4 5 3 2" xfId="13901" xr:uid="{74A7BC81-8509-49BC-978D-CD89BBE723ED}"/>
    <cellStyle name="Comma 4 4 5 4" xfId="9683" xr:uid="{6041480D-7F89-4905-8F59-1601EB1C424B}"/>
    <cellStyle name="Comma 4 4 6" xfId="1557" xr:uid="{00000000-0005-0000-0000-00001A0A0000}"/>
    <cellStyle name="Comma 4 4 6 2" xfId="3787" xr:uid="{00000000-0005-0000-0000-00001B0A0000}"/>
    <cellStyle name="Comma 4 4 6 2 2" xfId="8009" xr:uid="{00000000-0005-0000-0000-00001C0A0000}"/>
    <cellStyle name="Comma 4 4 6 2 2 2" xfId="16459" xr:uid="{E3DCBBA6-8361-4343-B550-CC51227F9110}"/>
    <cellStyle name="Comma 4 4 6 2 3" xfId="12241" xr:uid="{64AFA946-510F-47F1-B5BF-C7B42C2EF9E3}"/>
    <cellStyle name="Comma 4 4 6 3" xfId="5864" xr:uid="{00000000-0005-0000-0000-00001D0A0000}"/>
    <cellStyle name="Comma 4 4 6 3 2" xfId="14314" xr:uid="{9512679B-6C91-4CA1-8938-D940EC5B671E}"/>
    <cellStyle name="Comma 4 4 6 4" xfId="10096" xr:uid="{E7384B6D-D7FF-4A92-BF04-D5D3A2A727B6}"/>
    <cellStyle name="Comma 4 4 7" xfId="1971" xr:uid="{00000000-0005-0000-0000-00001E0A0000}"/>
    <cellStyle name="Comma 4 4 7 2" xfId="4200" xr:uid="{00000000-0005-0000-0000-00001F0A0000}"/>
    <cellStyle name="Comma 4 4 7 2 2" xfId="8422" xr:uid="{00000000-0005-0000-0000-0000200A0000}"/>
    <cellStyle name="Comma 4 4 7 2 2 2" xfId="16872" xr:uid="{2B14C5AA-2544-408F-A412-AAB020087841}"/>
    <cellStyle name="Comma 4 4 7 2 3" xfId="12654" xr:uid="{A8ED395E-C7F1-48D9-BEB8-F2CC45CF66D3}"/>
    <cellStyle name="Comma 4 4 7 3" xfId="6277" xr:uid="{00000000-0005-0000-0000-0000210A0000}"/>
    <cellStyle name="Comma 4 4 7 3 2" xfId="14727" xr:uid="{FA7F6E4E-9CE9-425E-9F51-644DE21C4154}"/>
    <cellStyle name="Comma 4 4 7 4" xfId="10509" xr:uid="{28D25468-0744-4E0D-9FFF-86910246E068}"/>
    <cellStyle name="Comma 4 4 8" xfId="2406" xr:uid="{00000000-0005-0000-0000-0000220A0000}"/>
    <cellStyle name="Comma 4 4 8 2" xfId="6690" xr:uid="{00000000-0005-0000-0000-0000230A0000}"/>
    <cellStyle name="Comma 4 4 8 2 2" xfId="15140" xr:uid="{A3577186-1166-451B-85F5-FAB52C18C589}"/>
    <cellStyle name="Comma 4 4 8 3" xfId="10922" xr:uid="{20954774-8C5D-4D6F-89B4-2E8D078AAB94}"/>
    <cellStyle name="Comma 4 4 9" xfId="2702" xr:uid="{00000000-0005-0000-0000-0000240A0000}"/>
    <cellStyle name="Comma 4 5" xfId="157" xr:uid="{00000000-0005-0000-0000-0000250A0000}"/>
    <cellStyle name="Comma 4 5 10" xfId="4628" xr:uid="{00000000-0005-0000-0000-0000260A0000}"/>
    <cellStyle name="Comma 4 5 10 2" xfId="13078" xr:uid="{1FAED0A5-5946-482F-B91F-D2B46493261D}"/>
    <cellStyle name="Comma 4 5 11" xfId="8860" xr:uid="{0E5FA6B1-5D06-468D-B23B-9DED28C81711}"/>
    <cellStyle name="Comma 4 5 2" xfId="158" xr:uid="{00000000-0005-0000-0000-0000270A0000}"/>
    <cellStyle name="Comma 4 5 2 10" xfId="8861" xr:uid="{FC3DAD13-EAC3-40BD-84D0-652701FF4986}"/>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3AFEC28A-7EF8-4D77-81FE-D9E2B5FC8E84}"/>
    <cellStyle name="Comma 4 5 2 2 2 3" xfId="11420" xr:uid="{35712639-955A-46CE-8A82-4E0B791FCC33}"/>
    <cellStyle name="Comma 4 5 2 2 3" xfId="5043" xr:uid="{00000000-0005-0000-0000-00002B0A0000}"/>
    <cellStyle name="Comma 4 5 2 2 3 2" xfId="13493" xr:uid="{D1E17CF4-0BB9-4104-9629-AE292F18E23C}"/>
    <cellStyle name="Comma 4 5 2 2 4" xfId="9275" xr:uid="{6CEFB7C1-E0E8-40FF-A19C-E1CDC35542A3}"/>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7CE14E37-AF59-43F4-BBF5-DACDE2F4ABE8}"/>
    <cellStyle name="Comma 4 5 2 3 2 3" xfId="11833" xr:uid="{AAC45909-8D43-4735-88D7-EBCF38DDD51C}"/>
    <cellStyle name="Comma 4 5 2 3 3" xfId="5456" xr:uid="{00000000-0005-0000-0000-00002F0A0000}"/>
    <cellStyle name="Comma 4 5 2 3 3 2" xfId="13906" xr:uid="{3982A3C6-6AF5-4C30-9383-E63950966D91}"/>
    <cellStyle name="Comma 4 5 2 3 4" xfId="9688" xr:uid="{EA209A7E-8989-4ADD-B6C5-CA54FE9DAAAB}"/>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A05BA2EB-123B-4BEF-948A-A2D7EA9B3885}"/>
    <cellStyle name="Comma 4 5 2 4 2 3" xfId="12246" xr:uid="{7E26C25E-963B-43A8-89B7-AAD1AA324640}"/>
    <cellStyle name="Comma 4 5 2 4 3" xfId="5869" xr:uid="{00000000-0005-0000-0000-0000330A0000}"/>
    <cellStyle name="Comma 4 5 2 4 3 2" xfId="14319" xr:uid="{55F74250-AD37-4EB6-8365-4E10BFC3C85E}"/>
    <cellStyle name="Comma 4 5 2 4 4" xfId="10101" xr:uid="{2D747C87-D09B-47F3-AF8E-C2DF5BE455CA}"/>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B81FEECC-A496-41F3-9B48-762BC0339ACA}"/>
    <cellStyle name="Comma 4 5 2 5 2 3" xfId="12659" xr:uid="{032DCD50-731A-4A6F-94B7-9AE740387241}"/>
    <cellStyle name="Comma 4 5 2 5 3" xfId="6282" xr:uid="{00000000-0005-0000-0000-0000370A0000}"/>
    <cellStyle name="Comma 4 5 2 5 3 2" xfId="14732" xr:uid="{377D4E56-7436-4F5A-AE41-15035C31CE35}"/>
    <cellStyle name="Comma 4 5 2 5 4" xfId="10514" xr:uid="{0A954431-2D35-4EA7-BE9E-F0B6EE0F9B66}"/>
    <cellStyle name="Comma 4 5 2 6" xfId="2411" xr:uid="{00000000-0005-0000-0000-0000380A0000}"/>
    <cellStyle name="Comma 4 5 2 6 2" xfId="6695" xr:uid="{00000000-0005-0000-0000-0000390A0000}"/>
    <cellStyle name="Comma 4 5 2 6 2 2" xfId="15145" xr:uid="{689E820A-6772-412C-B8DE-715D8EA1B749}"/>
    <cellStyle name="Comma 4 5 2 6 3" xfId="10927" xr:uid="{93B5E32B-6F1D-4E6E-B3AB-855EDA545047}"/>
    <cellStyle name="Comma 4 5 2 7" xfId="2707" xr:uid="{00000000-0005-0000-0000-00003A0A0000}"/>
    <cellStyle name="Comma 4 5 2 8" xfId="2789" xr:uid="{00000000-0005-0000-0000-00003B0A0000}"/>
    <cellStyle name="Comma 4 5 2 8 2" xfId="7012" xr:uid="{00000000-0005-0000-0000-00003C0A0000}"/>
    <cellStyle name="Comma 4 5 2 8 2 2" xfId="15462" xr:uid="{1C6367C1-A892-4BAC-A76C-890F46F6FFFD}"/>
    <cellStyle name="Comma 4 5 2 8 3" xfId="11244" xr:uid="{72231023-2BB7-4F61-967A-84A38953034A}"/>
    <cellStyle name="Comma 4 5 2 9" xfId="4629" xr:uid="{00000000-0005-0000-0000-00003D0A0000}"/>
    <cellStyle name="Comma 4 5 2 9 2" xfId="13079" xr:uid="{C9571C9C-3223-4556-964C-0A55B993BC8C}"/>
    <cellStyle name="Comma 4 5 3" xfId="694" xr:uid="{00000000-0005-0000-0000-00003E0A0000}"/>
    <cellStyle name="Comma 4 5 3 2" xfId="2965" xr:uid="{00000000-0005-0000-0000-00003F0A0000}"/>
    <cellStyle name="Comma 4 5 3 2 2" xfId="7187" xr:uid="{00000000-0005-0000-0000-0000400A0000}"/>
    <cellStyle name="Comma 4 5 3 2 2 2" xfId="15637" xr:uid="{694BF99B-D2A0-4865-A32C-DAC5085877E7}"/>
    <cellStyle name="Comma 4 5 3 2 3" xfId="11419" xr:uid="{C08606AA-89A3-4B3E-A169-FD49DAD08047}"/>
    <cellStyle name="Comma 4 5 3 3" xfId="5042" xr:uid="{00000000-0005-0000-0000-0000410A0000}"/>
    <cellStyle name="Comma 4 5 3 3 2" xfId="13492" xr:uid="{A29AE86A-D8C0-448A-9167-3648F91E3917}"/>
    <cellStyle name="Comma 4 5 3 4" xfId="9274" xr:uid="{0913B18A-2E29-4D34-B60B-DB16E75CBC14}"/>
    <cellStyle name="Comma 4 5 4" xfId="1147" xr:uid="{00000000-0005-0000-0000-0000420A0000}"/>
    <cellStyle name="Comma 4 5 4 2" xfId="3378" xr:uid="{00000000-0005-0000-0000-0000430A0000}"/>
    <cellStyle name="Comma 4 5 4 2 2" xfId="7600" xr:uid="{00000000-0005-0000-0000-0000440A0000}"/>
    <cellStyle name="Comma 4 5 4 2 2 2" xfId="16050" xr:uid="{B9BC632F-9C0D-4A1E-BA17-D45D01FBBBF6}"/>
    <cellStyle name="Comma 4 5 4 2 3" xfId="11832" xr:uid="{FB24917F-74AD-4EA1-9A91-F6CBA3219B67}"/>
    <cellStyle name="Comma 4 5 4 3" xfId="5455" xr:uid="{00000000-0005-0000-0000-0000450A0000}"/>
    <cellStyle name="Comma 4 5 4 3 2" xfId="13905" xr:uid="{E4AAEABE-C178-42EC-BD4D-AFFF1FC392E3}"/>
    <cellStyle name="Comma 4 5 4 4" xfId="9687" xr:uid="{5B2E2645-41F9-4A23-B78F-EC8AF80F4584}"/>
    <cellStyle name="Comma 4 5 5" xfId="1561" xr:uid="{00000000-0005-0000-0000-0000460A0000}"/>
    <cellStyle name="Comma 4 5 5 2" xfId="3791" xr:uid="{00000000-0005-0000-0000-0000470A0000}"/>
    <cellStyle name="Comma 4 5 5 2 2" xfId="8013" xr:uid="{00000000-0005-0000-0000-0000480A0000}"/>
    <cellStyle name="Comma 4 5 5 2 2 2" xfId="16463" xr:uid="{2CCB5D03-E43E-4C7F-96AF-6190D63AB013}"/>
    <cellStyle name="Comma 4 5 5 2 3" xfId="12245" xr:uid="{E929FC2E-81C5-4BE6-8CBA-71D2590F882E}"/>
    <cellStyle name="Comma 4 5 5 3" xfId="5868" xr:uid="{00000000-0005-0000-0000-0000490A0000}"/>
    <cellStyle name="Comma 4 5 5 3 2" xfId="14318" xr:uid="{6926E156-FD71-4745-A5D7-81A74C1B37CA}"/>
    <cellStyle name="Comma 4 5 5 4" xfId="10100" xr:uid="{689F7DFA-21C7-4BEC-A34E-5519AF7CBB62}"/>
    <cellStyle name="Comma 4 5 6" xfId="1975" xr:uid="{00000000-0005-0000-0000-00004A0A0000}"/>
    <cellStyle name="Comma 4 5 6 2" xfId="4204" xr:uid="{00000000-0005-0000-0000-00004B0A0000}"/>
    <cellStyle name="Comma 4 5 6 2 2" xfId="8426" xr:uid="{00000000-0005-0000-0000-00004C0A0000}"/>
    <cellStyle name="Comma 4 5 6 2 2 2" xfId="16876" xr:uid="{DD8CD81C-4F82-40C1-BDFE-322C54545D4B}"/>
    <cellStyle name="Comma 4 5 6 2 3" xfId="12658" xr:uid="{E814D822-B76E-445F-B7E2-D2EB31699540}"/>
    <cellStyle name="Comma 4 5 6 3" xfId="6281" xr:uid="{00000000-0005-0000-0000-00004D0A0000}"/>
    <cellStyle name="Comma 4 5 6 3 2" xfId="14731" xr:uid="{9EAFAE0A-5257-4D1A-9216-3B2B273CD149}"/>
    <cellStyle name="Comma 4 5 6 4" xfId="10513" xr:uid="{5CCF0EAF-CAFE-43FD-AE5F-13F3524D2E56}"/>
    <cellStyle name="Comma 4 5 7" xfId="2410" xr:uid="{00000000-0005-0000-0000-00004E0A0000}"/>
    <cellStyle name="Comma 4 5 7 2" xfId="6694" xr:uid="{00000000-0005-0000-0000-00004F0A0000}"/>
    <cellStyle name="Comma 4 5 7 2 2" xfId="15144" xr:uid="{46E90E35-F40A-4790-A275-38362F9492AF}"/>
    <cellStyle name="Comma 4 5 7 3" xfId="10926" xr:uid="{03DA7404-17D8-4CF9-BC5E-5ABCD9C21FD1}"/>
    <cellStyle name="Comma 4 5 8" xfId="2706" xr:uid="{00000000-0005-0000-0000-0000500A0000}"/>
    <cellStyle name="Comma 4 5 9" xfId="2788" xr:uid="{00000000-0005-0000-0000-0000510A0000}"/>
    <cellStyle name="Comma 4 5 9 2" xfId="7011" xr:uid="{00000000-0005-0000-0000-0000520A0000}"/>
    <cellStyle name="Comma 4 5 9 2 2" xfId="15461" xr:uid="{CB026F8C-9651-43E2-A861-A4C7B9A95206}"/>
    <cellStyle name="Comma 4 5 9 3" xfId="11243" xr:uid="{CBBABC3A-1799-4168-8B9A-8317F7B1EA92}"/>
    <cellStyle name="Comma 4 6" xfId="159" xr:uid="{00000000-0005-0000-0000-0000530A0000}"/>
    <cellStyle name="Comma 4 6 10" xfId="8862" xr:uid="{3FD941B4-89BD-49B8-B4F9-A224038BF393}"/>
    <cellStyle name="Comma 4 6 2" xfId="696" xr:uid="{00000000-0005-0000-0000-0000540A0000}"/>
    <cellStyle name="Comma 4 6 2 2" xfId="2967" xr:uid="{00000000-0005-0000-0000-0000550A0000}"/>
    <cellStyle name="Comma 4 6 2 2 2" xfId="7189" xr:uid="{00000000-0005-0000-0000-0000560A0000}"/>
    <cellStyle name="Comma 4 6 2 2 2 2" xfId="15639" xr:uid="{2950CBF6-E3D8-4F91-AEB3-5C6563842646}"/>
    <cellStyle name="Comma 4 6 2 2 3" xfId="11421" xr:uid="{6098C682-E727-4845-8EBB-FB5DA1D5F552}"/>
    <cellStyle name="Comma 4 6 2 3" xfId="5044" xr:uid="{00000000-0005-0000-0000-0000570A0000}"/>
    <cellStyle name="Comma 4 6 2 3 2" xfId="13494" xr:uid="{62905816-6E02-4F7D-A3F5-B6D71EAE92DC}"/>
    <cellStyle name="Comma 4 6 2 4" xfId="9276" xr:uid="{00754D47-2D25-411F-97D4-B5FFD116E9E8}"/>
    <cellStyle name="Comma 4 6 3" xfId="1149" xr:uid="{00000000-0005-0000-0000-0000580A0000}"/>
    <cellStyle name="Comma 4 6 3 2" xfId="3380" xr:uid="{00000000-0005-0000-0000-0000590A0000}"/>
    <cellStyle name="Comma 4 6 3 2 2" xfId="7602" xr:uid="{00000000-0005-0000-0000-00005A0A0000}"/>
    <cellStyle name="Comma 4 6 3 2 2 2" xfId="16052" xr:uid="{09089735-0EF9-46BB-8AEC-5C8C8FD7C151}"/>
    <cellStyle name="Comma 4 6 3 2 3" xfId="11834" xr:uid="{408BA2E9-BCA2-451A-89D4-92C358100D26}"/>
    <cellStyle name="Comma 4 6 3 3" xfId="5457" xr:uid="{00000000-0005-0000-0000-00005B0A0000}"/>
    <cellStyle name="Comma 4 6 3 3 2" xfId="13907" xr:uid="{4259D6D9-AA4E-4D4E-957A-4E3D817DB1DA}"/>
    <cellStyle name="Comma 4 6 3 4" xfId="9689" xr:uid="{D94206B1-C180-4AFE-8BB3-DD928EC3FB58}"/>
    <cellStyle name="Comma 4 6 4" xfId="1563" xr:uid="{00000000-0005-0000-0000-00005C0A0000}"/>
    <cellStyle name="Comma 4 6 4 2" xfId="3793" xr:uid="{00000000-0005-0000-0000-00005D0A0000}"/>
    <cellStyle name="Comma 4 6 4 2 2" xfId="8015" xr:uid="{00000000-0005-0000-0000-00005E0A0000}"/>
    <cellStyle name="Comma 4 6 4 2 2 2" xfId="16465" xr:uid="{51602C3E-3BDF-41E6-B967-94EF2103C126}"/>
    <cellStyle name="Comma 4 6 4 2 3" xfId="12247" xr:uid="{CFBC9075-AC3E-4DDB-AE71-8B66EA4C2DA5}"/>
    <cellStyle name="Comma 4 6 4 3" xfId="5870" xr:uid="{00000000-0005-0000-0000-00005F0A0000}"/>
    <cellStyle name="Comma 4 6 4 3 2" xfId="14320" xr:uid="{03AE9195-4B84-424D-8E9F-A310B5599EC6}"/>
    <cellStyle name="Comma 4 6 4 4" xfId="10102" xr:uid="{34A3AA6C-651F-479E-BEA5-85181A0B5804}"/>
    <cellStyle name="Comma 4 6 5" xfId="1977" xr:uid="{00000000-0005-0000-0000-0000600A0000}"/>
    <cellStyle name="Comma 4 6 5 2" xfId="4206" xr:uid="{00000000-0005-0000-0000-0000610A0000}"/>
    <cellStyle name="Comma 4 6 5 2 2" xfId="8428" xr:uid="{00000000-0005-0000-0000-0000620A0000}"/>
    <cellStyle name="Comma 4 6 5 2 2 2" xfId="16878" xr:uid="{05493343-4F21-42C0-BD7E-C675FADECEAC}"/>
    <cellStyle name="Comma 4 6 5 2 3" xfId="12660" xr:uid="{0F121AE5-8F67-444F-B130-20FA615AE819}"/>
    <cellStyle name="Comma 4 6 5 3" xfId="6283" xr:uid="{00000000-0005-0000-0000-0000630A0000}"/>
    <cellStyle name="Comma 4 6 5 3 2" xfId="14733" xr:uid="{715CB2A1-418E-40B2-A59C-C208C70437AC}"/>
    <cellStyle name="Comma 4 6 5 4" xfId="10515" xr:uid="{43DA5C3C-8866-4CC9-AF60-55EF4003927D}"/>
    <cellStyle name="Comma 4 6 6" xfId="2412" xr:uid="{00000000-0005-0000-0000-0000640A0000}"/>
    <cellStyle name="Comma 4 6 6 2" xfId="6696" xr:uid="{00000000-0005-0000-0000-0000650A0000}"/>
    <cellStyle name="Comma 4 6 6 2 2" xfId="15146" xr:uid="{D8A354F2-12B7-40E1-B846-28B2D9DC34E9}"/>
    <cellStyle name="Comma 4 6 6 3" xfId="10928" xr:uid="{1E41990C-6285-4698-AA18-5FE4FBF51196}"/>
    <cellStyle name="Comma 4 6 7" xfId="2708" xr:uid="{00000000-0005-0000-0000-0000660A0000}"/>
    <cellStyle name="Comma 4 6 8" xfId="2790" xr:uid="{00000000-0005-0000-0000-0000670A0000}"/>
    <cellStyle name="Comma 4 6 8 2" xfId="7013" xr:uid="{00000000-0005-0000-0000-0000680A0000}"/>
    <cellStyle name="Comma 4 6 8 2 2" xfId="15463" xr:uid="{86CA888A-FFA1-4625-A331-B2BFD06318AF}"/>
    <cellStyle name="Comma 4 6 8 3" xfId="11245" xr:uid="{D935A343-F009-4686-A956-2B892BAB0A8E}"/>
    <cellStyle name="Comma 4 6 9" xfId="4630" xr:uid="{00000000-0005-0000-0000-0000690A0000}"/>
    <cellStyle name="Comma 4 6 9 2" xfId="13080" xr:uid="{E12D239D-8ECE-4A6A-9562-CF694DBD37B6}"/>
    <cellStyle name="Comma 4 7" xfId="160" xr:uid="{00000000-0005-0000-0000-00006A0A0000}"/>
    <cellStyle name="Comma 4 7 10" xfId="8863" xr:uid="{67A2DE41-F9DE-4CC1-A9CF-906A11D245D4}"/>
    <cellStyle name="Comma 4 7 2" xfId="697" xr:uid="{00000000-0005-0000-0000-00006B0A0000}"/>
    <cellStyle name="Comma 4 7 2 2" xfId="2968" xr:uid="{00000000-0005-0000-0000-00006C0A0000}"/>
    <cellStyle name="Comma 4 7 2 2 2" xfId="7190" xr:uid="{00000000-0005-0000-0000-00006D0A0000}"/>
    <cellStyle name="Comma 4 7 2 2 2 2" xfId="15640" xr:uid="{F0362ED5-CB01-4024-9AE2-130F1FA5656B}"/>
    <cellStyle name="Comma 4 7 2 2 3" xfId="11422" xr:uid="{F8231741-C4AA-4240-82A4-A26DBF0B7E2A}"/>
    <cellStyle name="Comma 4 7 2 3" xfId="5045" xr:uid="{00000000-0005-0000-0000-00006E0A0000}"/>
    <cellStyle name="Comma 4 7 2 3 2" xfId="13495" xr:uid="{B7AE27DA-8466-4073-ABB3-0978375E28CD}"/>
    <cellStyle name="Comma 4 7 2 4" xfId="9277" xr:uid="{11352F41-63B9-45F8-B91F-4BCC52E72A96}"/>
    <cellStyle name="Comma 4 7 3" xfId="1150" xr:uid="{00000000-0005-0000-0000-00006F0A0000}"/>
    <cellStyle name="Comma 4 7 3 2" xfId="3381" xr:uid="{00000000-0005-0000-0000-0000700A0000}"/>
    <cellStyle name="Comma 4 7 3 2 2" xfId="7603" xr:uid="{00000000-0005-0000-0000-0000710A0000}"/>
    <cellStyle name="Comma 4 7 3 2 2 2" xfId="16053" xr:uid="{6C548856-7C91-407F-92F9-5D1A776F98EB}"/>
    <cellStyle name="Comma 4 7 3 2 3" xfId="11835" xr:uid="{A5B780DC-1A1F-46BF-BCBF-A433FF311B9A}"/>
    <cellStyle name="Comma 4 7 3 3" xfId="5458" xr:uid="{00000000-0005-0000-0000-0000720A0000}"/>
    <cellStyle name="Comma 4 7 3 3 2" xfId="13908" xr:uid="{3CD8F318-71C1-4BB6-9603-7160D0E6B987}"/>
    <cellStyle name="Comma 4 7 3 4" xfId="9690" xr:uid="{5895F318-25DD-4795-B359-39DE9E2E8296}"/>
    <cellStyle name="Comma 4 7 4" xfId="1564" xr:uid="{00000000-0005-0000-0000-0000730A0000}"/>
    <cellStyle name="Comma 4 7 4 2" xfId="3794" xr:uid="{00000000-0005-0000-0000-0000740A0000}"/>
    <cellStyle name="Comma 4 7 4 2 2" xfId="8016" xr:uid="{00000000-0005-0000-0000-0000750A0000}"/>
    <cellStyle name="Comma 4 7 4 2 2 2" xfId="16466" xr:uid="{7A38F491-CFCB-42B1-8F0D-920C719AB85E}"/>
    <cellStyle name="Comma 4 7 4 2 3" xfId="12248" xr:uid="{6E6EC44B-19CF-47CE-B48D-660CE48FA3D2}"/>
    <cellStyle name="Comma 4 7 4 3" xfId="5871" xr:uid="{00000000-0005-0000-0000-0000760A0000}"/>
    <cellStyle name="Comma 4 7 4 3 2" xfId="14321" xr:uid="{77538227-4BD0-4E0C-9484-C2C6C8D6056E}"/>
    <cellStyle name="Comma 4 7 4 4" xfId="10103" xr:uid="{9DFEFA6F-3A2C-4543-80EE-025A94D7AAE5}"/>
    <cellStyle name="Comma 4 7 5" xfId="1978" xr:uid="{00000000-0005-0000-0000-0000770A0000}"/>
    <cellStyle name="Comma 4 7 5 2" xfId="4207" xr:uid="{00000000-0005-0000-0000-0000780A0000}"/>
    <cellStyle name="Comma 4 7 5 2 2" xfId="8429" xr:uid="{00000000-0005-0000-0000-0000790A0000}"/>
    <cellStyle name="Comma 4 7 5 2 2 2" xfId="16879" xr:uid="{F269C5C0-95DA-4250-8ABC-7DFE89ECAFB0}"/>
    <cellStyle name="Comma 4 7 5 2 3" xfId="12661" xr:uid="{E7B67B6F-5833-4EF3-9C4C-2E95CECE8E6F}"/>
    <cellStyle name="Comma 4 7 5 3" xfId="6284" xr:uid="{00000000-0005-0000-0000-00007A0A0000}"/>
    <cellStyle name="Comma 4 7 5 3 2" xfId="14734" xr:uid="{02CD8F4D-EBD7-45FC-8C82-432830954057}"/>
    <cellStyle name="Comma 4 7 5 4" xfId="10516" xr:uid="{B59E992D-A171-4AE4-A2E4-DBA86DBD07EC}"/>
    <cellStyle name="Comma 4 7 6" xfId="2413" xr:uid="{00000000-0005-0000-0000-00007B0A0000}"/>
    <cellStyle name="Comma 4 7 6 2" xfId="6697" xr:uid="{00000000-0005-0000-0000-00007C0A0000}"/>
    <cellStyle name="Comma 4 7 6 2 2" xfId="15147" xr:uid="{AFB7D358-2EBB-4BA0-A958-7C971744AA94}"/>
    <cellStyle name="Comma 4 7 6 3" xfId="10929" xr:uid="{7636B724-BD86-44DC-960A-1C36BC35E913}"/>
    <cellStyle name="Comma 4 7 7" xfId="2709" xr:uid="{00000000-0005-0000-0000-00007D0A0000}"/>
    <cellStyle name="Comma 4 7 8" xfId="2791" xr:uid="{00000000-0005-0000-0000-00007E0A0000}"/>
    <cellStyle name="Comma 4 7 8 2" xfId="7014" xr:uid="{00000000-0005-0000-0000-00007F0A0000}"/>
    <cellStyle name="Comma 4 7 8 2 2" xfId="15464" xr:uid="{228D863D-47AC-4777-9EC2-9DCE7C33589D}"/>
    <cellStyle name="Comma 4 7 8 3" xfId="11246" xr:uid="{6D0FE033-67D4-4176-A3BF-5AE7B933DC8D}"/>
    <cellStyle name="Comma 4 7 9" xfId="4631" xr:uid="{00000000-0005-0000-0000-0000800A0000}"/>
    <cellStyle name="Comma 4 7 9 2" xfId="13081" xr:uid="{B2D0E8A4-3054-4FA8-A1DA-8C0F578772F2}"/>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85DD7D2F-DC61-4F30-9D84-9ED18A2A4E58}"/>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BA71EE96-67EB-4ABD-BD14-4C870CA1418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AA0AAD36-B34C-4DE7-A0D1-C654279EA71D}"/>
    <cellStyle name="Currency 14 3 2 2 2 3" xfId="17179" xr:uid="{732D16AB-8B63-4388-90CB-8E84CA95F118}"/>
    <cellStyle name="Currency 14 3 2 2 3" xfId="17175" xr:uid="{74C0339A-5687-44D1-807E-E4F3F8E5329B}"/>
    <cellStyle name="Currency 14 3 2 3" xfId="17172" xr:uid="{105642DD-8C13-48B1-9C6D-EBBACC90EB27}"/>
    <cellStyle name="Currency 14 3 3" xfId="17169" xr:uid="{B82E9E1E-3742-462C-BB36-0EC9636F550A}"/>
    <cellStyle name="Currency 14 4" xfId="12952" xr:uid="{663E54DC-5F42-45B1-AAB1-014D595FF494}"/>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AB163352-8CBE-458C-BEFB-14DFAF24D745}"/>
    <cellStyle name="Currency 3 2 2 10 3" xfId="11247" xr:uid="{B1DCED72-E7A5-4E86-B052-A1A34318CD8C}"/>
    <cellStyle name="Currency 3 2 2 11" xfId="4632" xr:uid="{00000000-0005-0000-0000-0000A50A0000}"/>
    <cellStyle name="Currency 3 2 2 11 2" xfId="13082" xr:uid="{70936921-51F6-4296-8D89-938410C2A3CB}"/>
    <cellStyle name="Currency 3 2 2 12" xfId="8864" xr:uid="{930A3CE6-445F-42A2-BEE4-D35B27687714}"/>
    <cellStyle name="Currency 3 2 2 2" xfId="179" xr:uid="{00000000-0005-0000-0000-0000A60A0000}"/>
    <cellStyle name="Currency 3 2 2 2 10" xfId="4633" xr:uid="{00000000-0005-0000-0000-0000A70A0000}"/>
    <cellStyle name="Currency 3 2 2 2 10 2" xfId="13083" xr:uid="{4641D7CD-05EB-44D9-87E2-3208412A1123}"/>
    <cellStyle name="Currency 3 2 2 2 11" xfId="8865" xr:uid="{6491723C-C5E1-45E8-A86A-417641D397E5}"/>
    <cellStyle name="Currency 3 2 2 2 2" xfId="180" xr:uid="{00000000-0005-0000-0000-0000A80A0000}"/>
    <cellStyle name="Currency 3 2 2 2 2 10" xfId="8866" xr:uid="{A11CA2FC-469C-4C5C-8154-76893C4CD8FF}"/>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31547A00-7420-4FC6-A95E-52132DD99B9A}"/>
    <cellStyle name="Currency 3 2 2 2 2 2 2 3" xfId="11425" xr:uid="{BC013EDF-AA1F-44CD-A9A8-22F9A6A1858D}"/>
    <cellStyle name="Currency 3 2 2 2 2 2 3" xfId="5048" xr:uid="{00000000-0005-0000-0000-0000AC0A0000}"/>
    <cellStyle name="Currency 3 2 2 2 2 2 3 2" xfId="13498" xr:uid="{F0C2ADBF-1CC9-4E61-99F0-46C5E27100A8}"/>
    <cellStyle name="Currency 3 2 2 2 2 2 4" xfId="9280" xr:uid="{65C61C3E-BC29-4334-A2D9-19614C0B26EE}"/>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9585F3F7-7414-4276-A0DE-DFA4123D8C4E}"/>
    <cellStyle name="Currency 3 2 2 2 2 3 2 3" xfId="11838" xr:uid="{18FC007F-6AA3-400A-86FD-B4203A3743BB}"/>
    <cellStyle name="Currency 3 2 2 2 2 3 3" xfId="5461" xr:uid="{00000000-0005-0000-0000-0000B00A0000}"/>
    <cellStyle name="Currency 3 2 2 2 2 3 3 2" xfId="13911" xr:uid="{5E06B5D4-52E8-41B5-B990-712A91A5C6F9}"/>
    <cellStyle name="Currency 3 2 2 2 2 3 4" xfId="9693" xr:uid="{10F2135E-B647-44BF-BB03-2BFA8D358182}"/>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698BEDA6-C983-44A6-B401-2226341B6060}"/>
    <cellStyle name="Currency 3 2 2 2 2 4 2 3" xfId="12251" xr:uid="{7710B041-F97E-4B3C-86B0-4BD8651618A6}"/>
    <cellStyle name="Currency 3 2 2 2 2 4 3" xfId="5874" xr:uid="{00000000-0005-0000-0000-0000B40A0000}"/>
    <cellStyle name="Currency 3 2 2 2 2 4 3 2" xfId="14324" xr:uid="{BF0E7A28-E1B2-4A6B-8A34-146F35078989}"/>
    <cellStyle name="Currency 3 2 2 2 2 4 4" xfId="10106" xr:uid="{C3831BE9-071F-4C8E-B70C-2EB9AE560E6C}"/>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95F9B002-A969-44F1-962A-727D87D7C2E2}"/>
    <cellStyle name="Currency 3 2 2 2 2 5 2 3" xfId="12664" xr:uid="{2DCFF726-7217-451D-A8F9-AE8FB7D2F831}"/>
    <cellStyle name="Currency 3 2 2 2 2 5 3" xfId="6287" xr:uid="{00000000-0005-0000-0000-0000B80A0000}"/>
    <cellStyle name="Currency 3 2 2 2 2 5 3 2" xfId="14737" xr:uid="{4F76B4C2-8C03-4D0C-8F99-19CF0EF81F15}"/>
    <cellStyle name="Currency 3 2 2 2 2 5 4" xfId="10519" xr:uid="{58E78F17-D662-400C-AC30-DB70DF0C2922}"/>
    <cellStyle name="Currency 3 2 2 2 2 6" xfId="2416" xr:uid="{00000000-0005-0000-0000-0000B90A0000}"/>
    <cellStyle name="Currency 3 2 2 2 2 6 2" xfId="6700" xr:uid="{00000000-0005-0000-0000-0000BA0A0000}"/>
    <cellStyle name="Currency 3 2 2 2 2 6 2 2" xfId="15150" xr:uid="{A9799AA6-A610-4756-A7E4-68ABBA94CFE9}"/>
    <cellStyle name="Currency 3 2 2 2 2 6 3" xfId="10932" xr:uid="{41799B45-80A7-48E6-BA55-C6A37D0482B6}"/>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E25C72E6-DB47-4C51-83DF-3A20AB28D280}"/>
    <cellStyle name="Currency 3 2 2 2 2 8 3" xfId="11249" xr:uid="{21748DC2-F91F-4FB7-8951-E95BA50C312A}"/>
    <cellStyle name="Currency 3 2 2 2 2 9" xfId="4634" xr:uid="{00000000-0005-0000-0000-0000BE0A0000}"/>
    <cellStyle name="Currency 3 2 2 2 2 9 2" xfId="13084" xr:uid="{6C18FD0D-2CF5-4D03-B51C-3BADBCB0F144}"/>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83977C57-6CFA-41DF-AA33-40DA2781E120}"/>
    <cellStyle name="Currency 3 2 2 2 3 2 3" xfId="11424" xr:uid="{3BE5C95C-4902-4E91-AC54-E3EB395F5D38}"/>
    <cellStyle name="Currency 3 2 2 2 3 3" xfId="5047" xr:uid="{00000000-0005-0000-0000-0000C20A0000}"/>
    <cellStyle name="Currency 3 2 2 2 3 3 2" xfId="13497" xr:uid="{4315AF76-60C6-4F0D-9149-55E3CFCA693A}"/>
    <cellStyle name="Currency 3 2 2 2 3 4" xfId="9279" xr:uid="{91D7E45B-A25F-42EC-B15B-BCD4B05C1C94}"/>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55BBFA34-A9F4-4ABE-827B-3B61686C052D}"/>
    <cellStyle name="Currency 3 2 2 2 4 2 3" xfId="11837" xr:uid="{335847B4-FC02-4618-9F0F-AFFCBC822A51}"/>
    <cellStyle name="Currency 3 2 2 2 4 3" xfId="5460" xr:uid="{00000000-0005-0000-0000-0000C60A0000}"/>
    <cellStyle name="Currency 3 2 2 2 4 3 2" xfId="13910" xr:uid="{FF825E98-1457-4802-91CA-347D1000F2CE}"/>
    <cellStyle name="Currency 3 2 2 2 4 4" xfId="9692" xr:uid="{37D0271B-A9A1-449C-A83D-B92A5CF8DF76}"/>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B81635DF-C312-492C-A6B3-1C4D097ADEAD}"/>
    <cellStyle name="Currency 3 2 2 2 5 2 3" xfId="12250" xr:uid="{8618829C-5D7A-456B-8CCC-5450E7FD73F6}"/>
    <cellStyle name="Currency 3 2 2 2 5 3" xfId="5873" xr:uid="{00000000-0005-0000-0000-0000CA0A0000}"/>
    <cellStyle name="Currency 3 2 2 2 5 3 2" xfId="14323" xr:uid="{C24D89DF-AB73-4D04-8C01-1488CC0C2090}"/>
    <cellStyle name="Currency 3 2 2 2 5 4" xfId="10105" xr:uid="{AF7E066E-FBA5-43FF-90FC-F40F3E416847}"/>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773EA686-D73C-4DF8-B528-1EFE737ABE1D}"/>
    <cellStyle name="Currency 3 2 2 2 6 2 3" xfId="12663" xr:uid="{E0F023F9-9586-47F4-9818-054589ADD599}"/>
    <cellStyle name="Currency 3 2 2 2 6 3" xfId="6286" xr:uid="{00000000-0005-0000-0000-0000CE0A0000}"/>
    <cellStyle name="Currency 3 2 2 2 6 3 2" xfId="14736" xr:uid="{4236DADD-4464-43C2-A908-31FAAAAB1354}"/>
    <cellStyle name="Currency 3 2 2 2 6 4" xfId="10518" xr:uid="{6FB2E54F-6E5B-4DA1-8A6D-5E93D8A28B0F}"/>
    <cellStyle name="Currency 3 2 2 2 7" xfId="2415" xr:uid="{00000000-0005-0000-0000-0000CF0A0000}"/>
    <cellStyle name="Currency 3 2 2 2 7 2" xfId="6699" xr:uid="{00000000-0005-0000-0000-0000D00A0000}"/>
    <cellStyle name="Currency 3 2 2 2 7 2 2" xfId="15149" xr:uid="{64434F17-2071-4783-81D6-FBDA067CBF6A}"/>
    <cellStyle name="Currency 3 2 2 2 7 3" xfId="10931" xr:uid="{D6533AB4-DED6-4E67-A276-41EB44F8A135}"/>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12E2B68A-F9FE-4909-B748-770070D793F1}"/>
    <cellStyle name="Currency 3 2 2 2 9 3" xfId="11248" xr:uid="{4431A19C-CBDE-40F9-8592-0324B66D2576}"/>
    <cellStyle name="Currency 3 2 2 3" xfId="181" xr:uid="{00000000-0005-0000-0000-0000D40A0000}"/>
    <cellStyle name="Currency 3 2 2 3 10" xfId="8867" xr:uid="{BC7179ED-273C-4918-8FF7-CEDDCDA3BC88}"/>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6207D752-557E-42A5-A1F4-3BACD60A2BEA}"/>
    <cellStyle name="Currency 3 2 2 3 2 2 3" xfId="11426" xr:uid="{1366EFC0-C321-4394-B343-4D09DE3176C9}"/>
    <cellStyle name="Currency 3 2 2 3 2 3" xfId="5049" xr:uid="{00000000-0005-0000-0000-0000D80A0000}"/>
    <cellStyle name="Currency 3 2 2 3 2 3 2" xfId="13499" xr:uid="{76014142-FCB1-4B83-97CF-35E16EDF887F}"/>
    <cellStyle name="Currency 3 2 2 3 2 4" xfId="9281" xr:uid="{35957DC6-AC03-4D13-993E-7E21C0B61BEF}"/>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379B0651-5C4A-4FD7-B13E-90A70DE22A67}"/>
    <cellStyle name="Currency 3 2 2 3 3 2 3" xfId="11839" xr:uid="{2E03A92F-45DC-43B2-8C66-32E32187A140}"/>
    <cellStyle name="Currency 3 2 2 3 3 3" xfId="5462" xr:uid="{00000000-0005-0000-0000-0000DC0A0000}"/>
    <cellStyle name="Currency 3 2 2 3 3 3 2" xfId="13912" xr:uid="{BCF7DB6A-FE49-487F-A5FA-E0488FC96FF7}"/>
    <cellStyle name="Currency 3 2 2 3 3 4" xfId="9694" xr:uid="{DCB73358-4114-4350-BC06-52E45D2D1F6C}"/>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64381692-AFE9-4954-8193-01A1E9158F50}"/>
    <cellStyle name="Currency 3 2 2 3 4 2 3" xfId="12252" xr:uid="{6CC0517C-F99A-431C-87C3-30E5ADCC440D}"/>
    <cellStyle name="Currency 3 2 2 3 4 3" xfId="5875" xr:uid="{00000000-0005-0000-0000-0000E00A0000}"/>
    <cellStyle name="Currency 3 2 2 3 4 3 2" xfId="14325" xr:uid="{5847E3DA-A49A-4463-8107-F940D7D5C9E9}"/>
    <cellStyle name="Currency 3 2 2 3 4 4" xfId="10107" xr:uid="{B86124C2-C4AC-4F4A-8487-A4149D7E0EE5}"/>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C630C4AB-E6FA-4D91-A7CE-70F1F8AE79C4}"/>
    <cellStyle name="Currency 3 2 2 3 5 2 3" xfId="12665" xr:uid="{84C60041-B2E9-4343-AA61-B0B615C34B14}"/>
    <cellStyle name="Currency 3 2 2 3 5 3" xfId="6288" xr:uid="{00000000-0005-0000-0000-0000E40A0000}"/>
    <cellStyle name="Currency 3 2 2 3 5 3 2" xfId="14738" xr:uid="{E7A58427-E7A9-4F8D-83CF-8654E62EAAFE}"/>
    <cellStyle name="Currency 3 2 2 3 5 4" xfId="10520" xr:uid="{D7BF9DF5-7DB6-4B9E-A1D8-2444FD7776C4}"/>
    <cellStyle name="Currency 3 2 2 3 6" xfId="2417" xr:uid="{00000000-0005-0000-0000-0000E50A0000}"/>
    <cellStyle name="Currency 3 2 2 3 6 2" xfId="6701" xr:uid="{00000000-0005-0000-0000-0000E60A0000}"/>
    <cellStyle name="Currency 3 2 2 3 6 2 2" xfId="15151" xr:uid="{06325DC1-044F-46BD-98F5-91B6DB4DF9AB}"/>
    <cellStyle name="Currency 3 2 2 3 6 3" xfId="10933" xr:uid="{9E34EEB0-05B6-410B-97D3-E4C7F88BB753}"/>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F6348259-7A47-4D13-843C-9407FB449DC3}"/>
    <cellStyle name="Currency 3 2 2 3 8 3" xfId="11250" xr:uid="{429F2AAA-59E1-48C8-BF54-7D169FC86799}"/>
    <cellStyle name="Currency 3 2 2 3 9" xfId="4635" xr:uid="{00000000-0005-0000-0000-0000EA0A0000}"/>
    <cellStyle name="Currency 3 2 2 3 9 2" xfId="13085" xr:uid="{AB66EF5F-0012-40F5-91D3-31B898EFB8E3}"/>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02722147-647A-406D-A567-F3EFEF9F4701}"/>
    <cellStyle name="Currency 3 2 2 4 2 3" xfId="11423" xr:uid="{DC0F00A4-D8C0-4290-AA9D-41E77F511BB3}"/>
    <cellStyle name="Currency 3 2 2 4 3" xfId="5046" xr:uid="{00000000-0005-0000-0000-0000EE0A0000}"/>
    <cellStyle name="Currency 3 2 2 4 3 2" xfId="13496" xr:uid="{0404B7AD-52BE-4207-AE81-29128DD91932}"/>
    <cellStyle name="Currency 3 2 2 4 4" xfId="9278" xr:uid="{AA2BC912-9C91-4687-AB37-A5DA3FF09B7D}"/>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5D7D1D28-0309-44DD-A54F-34CD155A05CF}"/>
    <cellStyle name="Currency 3 2 2 5 2 3" xfId="11836" xr:uid="{CBE15390-7CE8-4373-BC3C-1344B739E10B}"/>
    <cellStyle name="Currency 3 2 2 5 3" xfId="5459" xr:uid="{00000000-0005-0000-0000-0000F20A0000}"/>
    <cellStyle name="Currency 3 2 2 5 3 2" xfId="13909" xr:uid="{85ADCA12-C93A-4305-BCE8-F8DC933163B6}"/>
    <cellStyle name="Currency 3 2 2 5 4" xfId="9691" xr:uid="{FB312F96-4B3B-4D64-829A-ECAB244A9BD2}"/>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38D7D5FD-2B99-4464-9E54-1A65575C685A}"/>
    <cellStyle name="Currency 3 2 2 6 2 3" xfId="12249" xr:uid="{1AB901C1-B6E8-4850-A09E-40211907FF32}"/>
    <cellStyle name="Currency 3 2 2 6 3" xfId="5872" xr:uid="{00000000-0005-0000-0000-0000F60A0000}"/>
    <cellStyle name="Currency 3 2 2 6 3 2" xfId="14322" xr:uid="{3E34CDE7-0070-4C04-AC6C-3443C669CA17}"/>
    <cellStyle name="Currency 3 2 2 6 4" xfId="10104" xr:uid="{DE361BD9-4FFE-4F93-B540-A6588E2B1E3A}"/>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1F383F62-B7CB-47AD-8A17-3A50C8ABCF32}"/>
    <cellStyle name="Currency 3 2 2 7 2 3" xfId="12662" xr:uid="{EEC57016-5398-43B2-B0AA-60A733A1A5D0}"/>
    <cellStyle name="Currency 3 2 2 7 3" xfId="6285" xr:uid="{00000000-0005-0000-0000-0000FA0A0000}"/>
    <cellStyle name="Currency 3 2 2 7 3 2" xfId="14735" xr:uid="{A3069325-E573-4EB4-95FD-3377566187CF}"/>
    <cellStyle name="Currency 3 2 2 7 4" xfId="10517" xr:uid="{265160EF-F6C3-4D7F-842E-6C1318032882}"/>
    <cellStyle name="Currency 3 2 2 8" xfId="2414" xr:uid="{00000000-0005-0000-0000-0000FB0A0000}"/>
    <cellStyle name="Currency 3 2 2 8 2" xfId="6698" xr:uid="{00000000-0005-0000-0000-0000FC0A0000}"/>
    <cellStyle name="Currency 3 2 2 8 2 2" xfId="15148" xr:uid="{48E521D4-5D5B-4E51-AE55-92B830806FF9}"/>
    <cellStyle name="Currency 3 2 2 8 3" xfId="10930" xr:uid="{1ADB01C3-5BD5-4CE9-BEF7-BE84C637CC9E}"/>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B60FEC8C-2EEA-417F-B2A2-6030F1435B95}"/>
    <cellStyle name="Currency 3 2 3 11" xfId="8868" xr:uid="{765ECC09-5390-4AEA-B39F-A0CA3FCB9CA3}"/>
    <cellStyle name="Currency 3 2 3 2" xfId="183" xr:uid="{00000000-0005-0000-0000-0000000B0000}"/>
    <cellStyle name="Currency 3 2 3 2 10" xfId="8869" xr:uid="{2D68CCAC-BB0C-4191-8382-129C5A306513}"/>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8B1D404F-1482-4005-A96E-38121355BB3E}"/>
    <cellStyle name="Currency 3 2 3 2 2 2 3" xfId="11428" xr:uid="{114B6E14-8C19-40CB-8771-1AECEEDE79DD}"/>
    <cellStyle name="Currency 3 2 3 2 2 3" xfId="5051" xr:uid="{00000000-0005-0000-0000-0000040B0000}"/>
    <cellStyle name="Currency 3 2 3 2 2 3 2" xfId="13501" xr:uid="{F10BB215-7FC2-496E-BF9F-F92B05D0CD65}"/>
    <cellStyle name="Currency 3 2 3 2 2 4" xfId="9283" xr:uid="{96980C30-B7E9-4088-BACC-FB6F54DFB4A2}"/>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7E6B6941-84CA-47EE-B920-A5B9E6FAD612}"/>
    <cellStyle name="Currency 3 2 3 2 3 2 3" xfId="11841" xr:uid="{43EC6ADF-006E-4A13-B4C8-5B9C69DBDF1E}"/>
    <cellStyle name="Currency 3 2 3 2 3 3" xfId="5464" xr:uid="{00000000-0005-0000-0000-0000080B0000}"/>
    <cellStyle name="Currency 3 2 3 2 3 3 2" xfId="13914" xr:uid="{963193B4-59D4-4EED-9085-4070BB50F178}"/>
    <cellStyle name="Currency 3 2 3 2 3 4" xfId="9696" xr:uid="{5BCCF8D2-5B29-448C-8DBB-2E0A001B2D01}"/>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2CEC62E7-26A9-467C-8737-4B77E78DEC90}"/>
    <cellStyle name="Currency 3 2 3 2 4 2 3" xfId="12254" xr:uid="{6D498E8D-A29B-4E1C-BAA1-6F0E457EA77A}"/>
    <cellStyle name="Currency 3 2 3 2 4 3" xfId="5877" xr:uid="{00000000-0005-0000-0000-00000C0B0000}"/>
    <cellStyle name="Currency 3 2 3 2 4 3 2" xfId="14327" xr:uid="{CBAA60AF-EE47-4959-A924-9BE67C4314A0}"/>
    <cellStyle name="Currency 3 2 3 2 4 4" xfId="10109" xr:uid="{D1AFB151-360F-4218-8AA9-E83048D3FD78}"/>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DB2926CB-06E5-45D6-B467-80F8F9EEACE7}"/>
    <cellStyle name="Currency 3 2 3 2 5 2 3" xfId="12667" xr:uid="{60B8F0AB-60D0-4FC6-BB17-E82A81668E95}"/>
    <cellStyle name="Currency 3 2 3 2 5 3" xfId="6290" xr:uid="{00000000-0005-0000-0000-0000100B0000}"/>
    <cellStyle name="Currency 3 2 3 2 5 3 2" xfId="14740" xr:uid="{A63BDD9D-ED32-4054-85CC-E5B8BF23CF88}"/>
    <cellStyle name="Currency 3 2 3 2 5 4" xfId="10522" xr:uid="{4B4F30B4-51D6-4861-8E41-245FBCBACEF2}"/>
    <cellStyle name="Currency 3 2 3 2 6" xfId="2419" xr:uid="{00000000-0005-0000-0000-0000110B0000}"/>
    <cellStyle name="Currency 3 2 3 2 6 2" xfId="6703" xr:uid="{00000000-0005-0000-0000-0000120B0000}"/>
    <cellStyle name="Currency 3 2 3 2 6 2 2" xfId="15153" xr:uid="{6B9B1D81-E010-4E39-97A4-E8E49F54B710}"/>
    <cellStyle name="Currency 3 2 3 2 6 3" xfId="10935" xr:uid="{9BCD22C2-BADC-495E-B298-A545DC1FA6C1}"/>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E56FAE72-99C8-4391-BF43-1066783C7534}"/>
    <cellStyle name="Currency 3 2 3 2 8 3" xfId="11252" xr:uid="{E57E6D96-72EA-40A5-B4D1-3255282A66A2}"/>
    <cellStyle name="Currency 3 2 3 2 9" xfId="4637" xr:uid="{00000000-0005-0000-0000-0000160B0000}"/>
    <cellStyle name="Currency 3 2 3 2 9 2" xfId="13087" xr:uid="{59DC655C-00B5-48C7-8D68-39DFFBE0CD9A}"/>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BED187FD-58BD-47BE-A676-C20E0C922D2F}"/>
    <cellStyle name="Currency 3 2 3 3 2 3" xfId="11427" xr:uid="{EDFF5BC4-E387-47A6-8477-D33C1A152CE1}"/>
    <cellStyle name="Currency 3 2 3 3 3" xfId="5050" xr:uid="{00000000-0005-0000-0000-00001A0B0000}"/>
    <cellStyle name="Currency 3 2 3 3 3 2" xfId="13500" xr:uid="{69A1EDF2-5BB5-46BE-84A3-F24ACA94929F}"/>
    <cellStyle name="Currency 3 2 3 3 4" xfId="9282" xr:uid="{3CB4AB5E-41E5-4636-AE34-3634029115F3}"/>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25BC16EF-0CF6-4CD5-9EDF-48A4EB59F748}"/>
    <cellStyle name="Currency 3 2 3 4 2 3" xfId="11840" xr:uid="{DA625A7F-4936-4228-A491-6D11D136FFD6}"/>
    <cellStyle name="Currency 3 2 3 4 3" xfId="5463" xr:uid="{00000000-0005-0000-0000-00001E0B0000}"/>
    <cellStyle name="Currency 3 2 3 4 3 2" xfId="13913" xr:uid="{89D78322-572C-432B-BDEA-26A2E48644A0}"/>
    <cellStyle name="Currency 3 2 3 4 4" xfId="9695" xr:uid="{8524940A-D3E2-475E-8AE5-C5079383D270}"/>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D305935A-1937-4E78-A63A-43942EFD19E8}"/>
    <cellStyle name="Currency 3 2 3 5 2 3" xfId="12253" xr:uid="{C1EFDFAD-6515-48DC-B2AF-C2943DB9D76E}"/>
    <cellStyle name="Currency 3 2 3 5 3" xfId="5876" xr:uid="{00000000-0005-0000-0000-0000220B0000}"/>
    <cellStyle name="Currency 3 2 3 5 3 2" xfId="14326" xr:uid="{02DB5125-675F-44D9-B85A-2C98913516B6}"/>
    <cellStyle name="Currency 3 2 3 5 4" xfId="10108" xr:uid="{DACEE399-C91F-4D12-B13E-28A20183ECF6}"/>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70E61E11-9D0D-44B8-B375-C09A034C7505}"/>
    <cellStyle name="Currency 3 2 3 6 2 3" xfId="12666" xr:uid="{4F28E341-33E2-4BA1-9441-80F06D7CE2B6}"/>
    <cellStyle name="Currency 3 2 3 6 3" xfId="6289" xr:uid="{00000000-0005-0000-0000-0000260B0000}"/>
    <cellStyle name="Currency 3 2 3 6 3 2" xfId="14739" xr:uid="{87BE2811-19C2-41A7-83C1-330F10B1CCD2}"/>
    <cellStyle name="Currency 3 2 3 6 4" xfId="10521" xr:uid="{6329127C-EF32-46A3-99F9-2408804E103A}"/>
    <cellStyle name="Currency 3 2 3 7" xfId="2418" xr:uid="{00000000-0005-0000-0000-0000270B0000}"/>
    <cellStyle name="Currency 3 2 3 7 2" xfId="6702" xr:uid="{00000000-0005-0000-0000-0000280B0000}"/>
    <cellStyle name="Currency 3 2 3 7 2 2" xfId="15152" xr:uid="{01DB623C-9C9D-42FA-80D2-87C447C1F8A6}"/>
    <cellStyle name="Currency 3 2 3 7 3" xfId="10934" xr:uid="{4ED8BC2B-2E5F-4BA1-8FF6-2D5EB13D62CD}"/>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1CA73620-7B48-4C79-8860-1BDB55CA5DAA}"/>
    <cellStyle name="Currency 3 2 3 9 3" xfId="11251" xr:uid="{9F894D5F-9C07-4885-A672-934CEDE09942}"/>
    <cellStyle name="Currency 3 2 4" xfId="184" xr:uid="{00000000-0005-0000-0000-00002C0B0000}"/>
    <cellStyle name="Currency 3 2 4 10" xfId="8870" xr:uid="{2A916B41-DF76-43E7-B39E-D800ABC494A7}"/>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981F0FBA-A550-4831-A9C9-294EBCBED3DF}"/>
    <cellStyle name="Currency 3 2 4 2 2 3" xfId="11429" xr:uid="{670D2FFC-864A-4898-9D06-792579410A6F}"/>
    <cellStyle name="Currency 3 2 4 2 3" xfId="5052" xr:uid="{00000000-0005-0000-0000-0000300B0000}"/>
    <cellStyle name="Currency 3 2 4 2 3 2" xfId="13502" xr:uid="{719AD804-BA40-4B7E-8B51-CEBAAED5BCBF}"/>
    <cellStyle name="Currency 3 2 4 2 4" xfId="9284" xr:uid="{655F79E7-9398-4329-8444-0754278FDEFA}"/>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076A6635-7355-4222-A179-9BB1D8774797}"/>
    <cellStyle name="Currency 3 2 4 3 2 3" xfId="11842" xr:uid="{A0AB7D86-78A6-43AD-94FC-2CFA205362E5}"/>
    <cellStyle name="Currency 3 2 4 3 3" xfId="5465" xr:uid="{00000000-0005-0000-0000-0000340B0000}"/>
    <cellStyle name="Currency 3 2 4 3 3 2" xfId="13915" xr:uid="{3F342F8E-4C9C-4704-9BD9-059F5D409FE0}"/>
    <cellStyle name="Currency 3 2 4 3 4" xfId="9697" xr:uid="{D695A2E9-5607-4BD6-AE3C-16140C1729F7}"/>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B3AAD802-72E4-432C-B1E5-07700944E66E}"/>
    <cellStyle name="Currency 3 2 4 4 2 3" xfId="12255" xr:uid="{9F205B7E-97DD-4743-8679-2C7F11F91312}"/>
    <cellStyle name="Currency 3 2 4 4 3" xfId="5878" xr:uid="{00000000-0005-0000-0000-0000380B0000}"/>
    <cellStyle name="Currency 3 2 4 4 3 2" xfId="14328" xr:uid="{E804E302-BFD9-4BF8-B740-212E62BA5394}"/>
    <cellStyle name="Currency 3 2 4 4 4" xfId="10110" xr:uid="{052C4F67-3035-4552-B5EB-0EB2B75E8A2A}"/>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6D2E53D3-1D71-4742-AB49-D50D86940286}"/>
    <cellStyle name="Currency 3 2 4 5 2 3" xfId="12668" xr:uid="{B991CD53-9C1B-424D-ADD9-5D22C0C2A1F3}"/>
    <cellStyle name="Currency 3 2 4 5 3" xfId="6291" xr:uid="{00000000-0005-0000-0000-00003C0B0000}"/>
    <cellStyle name="Currency 3 2 4 5 3 2" xfId="14741" xr:uid="{1BF74502-74FD-4FEA-A8C2-65E5C93F3CA8}"/>
    <cellStyle name="Currency 3 2 4 5 4" xfId="10523" xr:uid="{FBBED642-9F98-4311-AC12-9D42AEECE9B1}"/>
    <cellStyle name="Currency 3 2 4 6" xfId="2420" xr:uid="{00000000-0005-0000-0000-00003D0B0000}"/>
    <cellStyle name="Currency 3 2 4 6 2" xfId="6704" xr:uid="{00000000-0005-0000-0000-00003E0B0000}"/>
    <cellStyle name="Currency 3 2 4 6 2 2" xfId="15154" xr:uid="{6099DA52-7DD6-4865-9B04-45FCCC548387}"/>
    <cellStyle name="Currency 3 2 4 6 3" xfId="10936" xr:uid="{87135DCD-BCCB-48E1-BFB1-8E6E7C4A3AFE}"/>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F330D414-66E4-4271-80E8-181AF09B3A7B}"/>
    <cellStyle name="Currency 3 2 4 8 3" xfId="11253" xr:uid="{491C8E2A-1F5D-4A77-9B00-8354676ACB60}"/>
    <cellStyle name="Currency 3 2 4 9" xfId="4638" xr:uid="{00000000-0005-0000-0000-0000420B0000}"/>
    <cellStyle name="Currency 3 2 4 9 2" xfId="13088" xr:uid="{7AF5ACE1-9FAB-4751-9781-7E5F93B39370}"/>
    <cellStyle name="Currency 3 2 5" xfId="185" xr:uid="{00000000-0005-0000-0000-0000430B0000}"/>
    <cellStyle name="Currency 3 2 5 10" xfId="8871" xr:uid="{3E68A196-C68E-402C-BFF5-81F24291DFBF}"/>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2DACC1A7-C1C1-437A-BE12-59962D241149}"/>
    <cellStyle name="Currency 3 2 5 2 2 3" xfId="11430" xr:uid="{0002FC6E-138B-4284-845A-CDAB69A860BD}"/>
    <cellStyle name="Currency 3 2 5 2 3" xfId="5053" xr:uid="{00000000-0005-0000-0000-0000470B0000}"/>
    <cellStyle name="Currency 3 2 5 2 3 2" xfId="13503" xr:uid="{35695129-E264-4F8C-A0FA-F5FDB7C99BFC}"/>
    <cellStyle name="Currency 3 2 5 2 4" xfId="9285" xr:uid="{91CEF35B-0510-4B09-AE98-53C8D8C8EE12}"/>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F0FBACDC-EBAA-4880-90E3-F957481A58EF}"/>
    <cellStyle name="Currency 3 2 5 3 2 3" xfId="11843" xr:uid="{A4042E2B-5C74-4658-955A-5B7DC7C21811}"/>
    <cellStyle name="Currency 3 2 5 3 3" xfId="5466" xr:uid="{00000000-0005-0000-0000-00004B0B0000}"/>
    <cellStyle name="Currency 3 2 5 3 3 2" xfId="13916" xr:uid="{23E8F2A5-E09B-48DC-A74F-63DE8EFB4FFC}"/>
    <cellStyle name="Currency 3 2 5 3 4" xfId="9698" xr:uid="{68D85563-41FC-42C6-9E39-FFD101D9499F}"/>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AC744ED3-41B1-454B-A62F-AF6D5EF5329D}"/>
    <cellStyle name="Currency 3 2 5 4 2 3" xfId="12256" xr:uid="{78811F27-BB0F-4EA9-A492-798F3E4570C0}"/>
    <cellStyle name="Currency 3 2 5 4 3" xfId="5879" xr:uid="{00000000-0005-0000-0000-00004F0B0000}"/>
    <cellStyle name="Currency 3 2 5 4 3 2" xfId="14329" xr:uid="{64AAED6D-5EC1-4558-8DF7-14204636D554}"/>
    <cellStyle name="Currency 3 2 5 4 4" xfId="10111" xr:uid="{67D8EA7E-E15E-4D52-97B8-1AFF3F346878}"/>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79C6403B-BAFA-4428-9305-36FE494ECF1C}"/>
    <cellStyle name="Currency 3 2 5 5 2 3" xfId="12669" xr:uid="{0FE8B86D-49DF-4773-A708-DE0595C9D873}"/>
    <cellStyle name="Currency 3 2 5 5 3" xfId="6292" xr:uid="{00000000-0005-0000-0000-0000530B0000}"/>
    <cellStyle name="Currency 3 2 5 5 3 2" xfId="14742" xr:uid="{92AFD61F-6A3E-4941-89F1-265ABAD84FAC}"/>
    <cellStyle name="Currency 3 2 5 5 4" xfId="10524" xr:uid="{01E94BB6-C844-4E59-9E11-6A01EF729384}"/>
    <cellStyle name="Currency 3 2 5 6" xfId="2421" xr:uid="{00000000-0005-0000-0000-0000540B0000}"/>
    <cellStyle name="Currency 3 2 5 6 2" xfId="6705" xr:uid="{00000000-0005-0000-0000-0000550B0000}"/>
    <cellStyle name="Currency 3 2 5 6 2 2" xfId="15155" xr:uid="{3E4433F7-402D-46A3-B6CD-BB9EA8F5B78C}"/>
    <cellStyle name="Currency 3 2 5 6 3" xfId="10937" xr:uid="{29D03B7C-BF71-4356-903A-D7668F8B2ADD}"/>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AD0DC588-311C-4572-BA30-49354E5B30AE}"/>
    <cellStyle name="Currency 3 2 5 8 3" xfId="11254" xr:uid="{30AC6A3A-8EAA-4587-941C-EEC418165786}"/>
    <cellStyle name="Currency 3 2 5 9" xfId="4639" xr:uid="{00000000-0005-0000-0000-0000590B0000}"/>
    <cellStyle name="Currency 3 2 5 9 2" xfId="13089" xr:uid="{205C712F-AB50-4B4E-AA6A-61C3A4B2F21C}"/>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A96A93EC-D357-4249-9FB6-0A3BA23197D5}"/>
    <cellStyle name="Currency 5 2 2 2 10 3" xfId="11255" xr:uid="{E9D03106-048F-431D-8EAF-5042D51E67B2}"/>
    <cellStyle name="Currency 5 2 2 2 11" xfId="4640" xr:uid="{00000000-0005-0000-0000-00006C0B0000}"/>
    <cellStyle name="Currency 5 2 2 2 11 2" xfId="13090" xr:uid="{3D2F7266-7475-4188-86E1-35A56B32538E}"/>
    <cellStyle name="Currency 5 2 2 2 12" xfId="8872" xr:uid="{176632C4-BCAE-47B7-8BA7-A1A023D9C1E1}"/>
    <cellStyle name="Currency 5 2 2 2 2" xfId="197" xr:uid="{00000000-0005-0000-0000-00006D0B0000}"/>
    <cellStyle name="Currency 5 2 2 2 2 10" xfId="4641" xr:uid="{00000000-0005-0000-0000-00006E0B0000}"/>
    <cellStyle name="Currency 5 2 2 2 2 10 2" xfId="13091" xr:uid="{8C59392C-F93B-47D0-8E25-587CFCB5BB63}"/>
    <cellStyle name="Currency 5 2 2 2 2 11" xfId="8873" xr:uid="{312E2D9F-5832-4BBB-9F79-E95BC51A346F}"/>
    <cellStyle name="Currency 5 2 2 2 2 2" xfId="198" xr:uid="{00000000-0005-0000-0000-00006F0B0000}"/>
    <cellStyle name="Currency 5 2 2 2 2 2 10" xfId="8874" xr:uid="{2DBAA983-E282-43E8-8C99-4A44074A797F}"/>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AF6312DE-2F1D-449F-8E32-B56071B2F95D}"/>
    <cellStyle name="Currency 5 2 2 2 2 2 2 2 3" xfId="11433" xr:uid="{53B79EBE-6123-4D60-9E82-067A4727AD03}"/>
    <cellStyle name="Currency 5 2 2 2 2 2 2 3" xfId="5056" xr:uid="{00000000-0005-0000-0000-0000730B0000}"/>
    <cellStyle name="Currency 5 2 2 2 2 2 2 3 2" xfId="13506" xr:uid="{BDE28574-B2B8-4A83-93DE-C13B6309EAD8}"/>
    <cellStyle name="Currency 5 2 2 2 2 2 2 4" xfId="9288" xr:uid="{BBF4DD3A-4D54-4E28-9984-F7E2BD423E76}"/>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51A3B0CD-FA7C-41DB-AA84-A8368E5FCA8D}"/>
    <cellStyle name="Currency 5 2 2 2 2 2 3 2 3" xfId="11846" xr:uid="{4F9FF5FC-A154-440A-A523-9FFCFF607001}"/>
    <cellStyle name="Currency 5 2 2 2 2 2 3 3" xfId="5469" xr:uid="{00000000-0005-0000-0000-0000770B0000}"/>
    <cellStyle name="Currency 5 2 2 2 2 2 3 3 2" xfId="13919" xr:uid="{32A0A4E9-2D26-4523-8DE1-FFD093E85643}"/>
    <cellStyle name="Currency 5 2 2 2 2 2 3 4" xfId="9701" xr:uid="{8814479A-789A-45FA-850B-A6B3F7053D05}"/>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BD3A972A-BF72-4D56-813F-57BE3248F82C}"/>
    <cellStyle name="Currency 5 2 2 2 2 2 4 2 3" xfId="12259" xr:uid="{A7085C18-D17A-4E58-9A71-144BC99F5C2A}"/>
    <cellStyle name="Currency 5 2 2 2 2 2 4 3" xfId="5882" xr:uid="{00000000-0005-0000-0000-00007B0B0000}"/>
    <cellStyle name="Currency 5 2 2 2 2 2 4 3 2" xfId="14332" xr:uid="{EA9891FA-A0DE-471E-B8C5-FD109C601B78}"/>
    <cellStyle name="Currency 5 2 2 2 2 2 4 4" xfId="10114" xr:uid="{89834C11-7273-4BA9-BC7A-85C59656C895}"/>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F79A7E13-E04A-4F48-861B-D2855A275C69}"/>
    <cellStyle name="Currency 5 2 2 2 2 2 5 2 3" xfId="12672" xr:uid="{3F008EF3-42DB-406C-AAC7-D57B99E98808}"/>
    <cellStyle name="Currency 5 2 2 2 2 2 5 3" xfId="6295" xr:uid="{00000000-0005-0000-0000-00007F0B0000}"/>
    <cellStyle name="Currency 5 2 2 2 2 2 5 3 2" xfId="14745" xr:uid="{B665FDD3-CB17-4C38-AF5B-59FC9EB33FD6}"/>
    <cellStyle name="Currency 5 2 2 2 2 2 5 4" xfId="10527" xr:uid="{69F05FB3-AB64-49FE-8D38-9A110624A804}"/>
    <cellStyle name="Currency 5 2 2 2 2 2 6" xfId="2424" xr:uid="{00000000-0005-0000-0000-0000800B0000}"/>
    <cellStyle name="Currency 5 2 2 2 2 2 6 2" xfId="6708" xr:uid="{00000000-0005-0000-0000-0000810B0000}"/>
    <cellStyle name="Currency 5 2 2 2 2 2 6 2 2" xfId="15158" xr:uid="{6DC4571C-1C29-4CAD-A372-316E55497C74}"/>
    <cellStyle name="Currency 5 2 2 2 2 2 6 3" xfId="10940" xr:uid="{7B415213-9470-4C10-843C-43E9B4C5BC36}"/>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EDEF8CF8-D806-4F31-83BE-83A1C7C511EF}"/>
    <cellStyle name="Currency 5 2 2 2 2 2 8 3" xfId="11257" xr:uid="{E4C4EEA1-C6E8-456F-B5E6-D2CF2EAD7D41}"/>
    <cellStyle name="Currency 5 2 2 2 2 2 9" xfId="4642" xr:uid="{00000000-0005-0000-0000-0000850B0000}"/>
    <cellStyle name="Currency 5 2 2 2 2 2 9 2" xfId="13092" xr:uid="{45AD28E4-1D50-4747-B84C-65A04801C48D}"/>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A8D9E5D3-EC60-4112-89D2-AE91B73AE16E}"/>
    <cellStyle name="Currency 5 2 2 2 2 3 2 3" xfId="11432" xr:uid="{6CA7F924-686D-4673-8A2E-897E0CDC4116}"/>
    <cellStyle name="Currency 5 2 2 2 2 3 3" xfId="5055" xr:uid="{00000000-0005-0000-0000-0000890B0000}"/>
    <cellStyle name="Currency 5 2 2 2 2 3 3 2" xfId="13505" xr:uid="{A0BBDC2B-A927-4FB8-A28C-303EC8EA72E2}"/>
    <cellStyle name="Currency 5 2 2 2 2 3 4" xfId="9287" xr:uid="{2AE66AEE-CA01-40CA-912F-530CD2567469}"/>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22A30F59-D288-4866-B78C-9DA05A45A321}"/>
    <cellStyle name="Currency 5 2 2 2 2 4 2 3" xfId="11845" xr:uid="{0C775DB4-8E26-4D42-9CC9-AC9527302F20}"/>
    <cellStyle name="Currency 5 2 2 2 2 4 3" xfId="5468" xr:uid="{00000000-0005-0000-0000-00008D0B0000}"/>
    <cellStyle name="Currency 5 2 2 2 2 4 3 2" xfId="13918" xr:uid="{8E2F793D-0A90-41FE-B80C-271EDF1B8CC3}"/>
    <cellStyle name="Currency 5 2 2 2 2 4 4" xfId="9700" xr:uid="{B77E38D4-395A-4CD4-9B2A-A0825826E03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CB48EDAD-435C-4531-A828-AB5488F0C9FF}"/>
    <cellStyle name="Currency 5 2 2 2 2 5 2 3" xfId="12258" xr:uid="{DE39C952-E7FB-4812-9D35-1A3D487EAD31}"/>
    <cellStyle name="Currency 5 2 2 2 2 5 3" xfId="5881" xr:uid="{00000000-0005-0000-0000-0000910B0000}"/>
    <cellStyle name="Currency 5 2 2 2 2 5 3 2" xfId="14331" xr:uid="{ABE0F4CD-B035-4898-B5B2-85878F902A5A}"/>
    <cellStyle name="Currency 5 2 2 2 2 5 4" xfId="10113" xr:uid="{695C2CE4-BA2D-4323-927D-2EB4E472CFB7}"/>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1109A08B-03BA-4793-8C46-7783C61F3849}"/>
    <cellStyle name="Currency 5 2 2 2 2 6 2 3" xfId="12671" xr:uid="{A42E7827-A8BB-4C8C-9EA9-B19C87CAF21F}"/>
    <cellStyle name="Currency 5 2 2 2 2 6 3" xfId="6294" xr:uid="{00000000-0005-0000-0000-0000950B0000}"/>
    <cellStyle name="Currency 5 2 2 2 2 6 3 2" xfId="14744" xr:uid="{43DC3F11-DA10-4C92-AD45-6916D7E2D285}"/>
    <cellStyle name="Currency 5 2 2 2 2 6 4" xfId="10526" xr:uid="{9D9E6595-134B-479B-96FA-98403148174F}"/>
    <cellStyle name="Currency 5 2 2 2 2 7" xfId="2423" xr:uid="{00000000-0005-0000-0000-0000960B0000}"/>
    <cellStyle name="Currency 5 2 2 2 2 7 2" xfId="6707" xr:uid="{00000000-0005-0000-0000-0000970B0000}"/>
    <cellStyle name="Currency 5 2 2 2 2 7 2 2" xfId="15157" xr:uid="{49927593-71C3-4271-94AF-EA09425E3781}"/>
    <cellStyle name="Currency 5 2 2 2 2 7 3" xfId="10939" xr:uid="{5F682AA2-F99A-48BD-9AC1-093A65FD87E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C958CD6F-85EC-4AA5-B53E-47822E74DFD4}"/>
    <cellStyle name="Currency 5 2 2 2 2 9 3" xfId="11256" xr:uid="{D14BF696-DA13-475C-9D32-855A1B10CA45}"/>
    <cellStyle name="Currency 5 2 2 2 3" xfId="199" xr:uid="{00000000-0005-0000-0000-00009B0B0000}"/>
    <cellStyle name="Currency 5 2 2 2 3 10" xfId="8875" xr:uid="{1C0954CC-03DE-4FB9-83CD-BA254F696085}"/>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D4028B27-E7FC-42D1-B7EC-3DB738886ED8}"/>
    <cellStyle name="Currency 5 2 2 2 3 2 2 3" xfId="11434" xr:uid="{DF8ADBA4-7C10-4928-8EE4-60BCD4FDBCAE}"/>
    <cellStyle name="Currency 5 2 2 2 3 2 3" xfId="5057" xr:uid="{00000000-0005-0000-0000-00009F0B0000}"/>
    <cellStyle name="Currency 5 2 2 2 3 2 3 2" xfId="13507" xr:uid="{163E2019-150D-4691-AD54-95FD1E97B2E4}"/>
    <cellStyle name="Currency 5 2 2 2 3 2 4" xfId="9289" xr:uid="{FC4B6624-877A-4AAA-A6EC-03E02948A0F3}"/>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4E1857A0-9B5B-4BE2-B476-1A0BFFDA74C3}"/>
    <cellStyle name="Currency 5 2 2 2 3 3 2 3" xfId="11847" xr:uid="{40D82544-C500-4026-90B1-972B05E4E1A5}"/>
    <cellStyle name="Currency 5 2 2 2 3 3 3" xfId="5470" xr:uid="{00000000-0005-0000-0000-0000A30B0000}"/>
    <cellStyle name="Currency 5 2 2 2 3 3 3 2" xfId="13920" xr:uid="{90A2065F-210C-4F23-9D81-C72AE3FB6A14}"/>
    <cellStyle name="Currency 5 2 2 2 3 3 4" xfId="9702" xr:uid="{D42AD7A8-30E7-439E-9E52-860247585659}"/>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E9C85735-46BC-4E51-B0D4-83830C4B2BB6}"/>
    <cellStyle name="Currency 5 2 2 2 3 4 2 3" xfId="12260" xr:uid="{F9FABD49-0C5C-45CB-8D4C-8B460758BDF5}"/>
    <cellStyle name="Currency 5 2 2 2 3 4 3" xfId="5883" xr:uid="{00000000-0005-0000-0000-0000A70B0000}"/>
    <cellStyle name="Currency 5 2 2 2 3 4 3 2" xfId="14333" xr:uid="{8797FE6B-C498-41EE-955B-C7F2D5EC9BEC}"/>
    <cellStyle name="Currency 5 2 2 2 3 4 4" xfId="10115" xr:uid="{D56E0A8D-0F70-4BC2-8F39-D9207A81FD7C}"/>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D2F73019-CA9C-4489-9166-62E1C6FB009C}"/>
    <cellStyle name="Currency 5 2 2 2 3 5 2 3" xfId="12673" xr:uid="{6FA7B1EE-AC32-4128-A978-C7AAAA6CE44B}"/>
    <cellStyle name="Currency 5 2 2 2 3 5 3" xfId="6296" xr:uid="{00000000-0005-0000-0000-0000AB0B0000}"/>
    <cellStyle name="Currency 5 2 2 2 3 5 3 2" xfId="14746" xr:uid="{A05A5D60-5DA9-4F50-AA92-74619B764450}"/>
    <cellStyle name="Currency 5 2 2 2 3 5 4" xfId="10528" xr:uid="{D650C407-F1DE-4FAF-B5A9-EB191CEAD7D4}"/>
    <cellStyle name="Currency 5 2 2 2 3 6" xfId="2425" xr:uid="{00000000-0005-0000-0000-0000AC0B0000}"/>
    <cellStyle name="Currency 5 2 2 2 3 6 2" xfId="6709" xr:uid="{00000000-0005-0000-0000-0000AD0B0000}"/>
    <cellStyle name="Currency 5 2 2 2 3 6 2 2" xfId="15159" xr:uid="{DDCDB1D3-DD9F-4F2B-81B9-EB4E3A62FD61}"/>
    <cellStyle name="Currency 5 2 2 2 3 6 3" xfId="10941" xr:uid="{8E1439A0-A13C-48EF-8D92-15B9BDB6BD11}"/>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FC9D8D6C-E651-4E4A-9499-5C5202E7EC81}"/>
    <cellStyle name="Currency 5 2 2 2 3 8 3" xfId="11258" xr:uid="{7D776CFC-9222-4F57-B947-6E2183BF535F}"/>
    <cellStyle name="Currency 5 2 2 2 3 9" xfId="4643" xr:uid="{00000000-0005-0000-0000-0000B10B0000}"/>
    <cellStyle name="Currency 5 2 2 2 3 9 2" xfId="13093" xr:uid="{7FEA32A4-2D89-48BA-9519-B43F2054657F}"/>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659EDEB4-1206-4078-8EF7-BE1D1DBFC655}"/>
    <cellStyle name="Currency 5 2 2 2 4 2 3" xfId="11431" xr:uid="{6869F1AE-6706-4C55-B3B0-05C8730CA684}"/>
    <cellStyle name="Currency 5 2 2 2 4 3" xfId="5054" xr:uid="{00000000-0005-0000-0000-0000B50B0000}"/>
    <cellStyle name="Currency 5 2 2 2 4 3 2" xfId="13504" xr:uid="{554593D3-04BE-4AC5-B495-621CEBF300D7}"/>
    <cellStyle name="Currency 5 2 2 2 4 4" xfId="9286" xr:uid="{3D138848-AC16-4098-9595-4E3A49CF55C3}"/>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1EB229C4-EBDF-4034-8787-C79C0A2EC2C6}"/>
    <cellStyle name="Currency 5 2 2 2 5 2 3" xfId="11844" xr:uid="{6D4E348B-5BC5-4EFA-B436-8EE7D2F3E337}"/>
    <cellStyle name="Currency 5 2 2 2 5 3" xfId="5467" xr:uid="{00000000-0005-0000-0000-0000B90B0000}"/>
    <cellStyle name="Currency 5 2 2 2 5 3 2" xfId="13917" xr:uid="{D8AD7436-7954-4B18-A4D6-0653B52DB1CE}"/>
    <cellStyle name="Currency 5 2 2 2 5 4" xfId="9699" xr:uid="{50DFC4B8-562A-44BD-A417-60BF5B55FAEB}"/>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62B88E38-3BD1-4575-B624-44D6C35DD521}"/>
    <cellStyle name="Currency 5 2 2 2 6 2 3" xfId="12257" xr:uid="{FFEB2B9B-13F0-4816-8A08-A5A4C7E2E65E}"/>
    <cellStyle name="Currency 5 2 2 2 6 3" xfId="5880" xr:uid="{00000000-0005-0000-0000-0000BD0B0000}"/>
    <cellStyle name="Currency 5 2 2 2 6 3 2" xfId="14330" xr:uid="{004B87AB-E88C-4E6A-A84A-8A3C52CCD255}"/>
    <cellStyle name="Currency 5 2 2 2 6 4" xfId="10112" xr:uid="{9B87D0CA-94A3-4835-A802-F99EA128DFE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35E567C2-64DA-4394-8366-6CB3F2D34D93}"/>
    <cellStyle name="Currency 5 2 2 2 7 2 3" xfId="12670" xr:uid="{C90DCC98-D5F7-4411-9217-2EC80D2B0818}"/>
    <cellStyle name="Currency 5 2 2 2 7 3" xfId="6293" xr:uid="{00000000-0005-0000-0000-0000C10B0000}"/>
    <cellStyle name="Currency 5 2 2 2 7 3 2" xfId="14743" xr:uid="{18420618-89CF-4267-BCA4-75CFE5023D50}"/>
    <cellStyle name="Currency 5 2 2 2 7 4" xfId="10525" xr:uid="{AC305140-E366-4F81-BF16-8EED6ABEF10F}"/>
    <cellStyle name="Currency 5 2 2 2 8" xfId="2422" xr:uid="{00000000-0005-0000-0000-0000C20B0000}"/>
    <cellStyle name="Currency 5 2 2 2 8 2" xfId="6706" xr:uid="{00000000-0005-0000-0000-0000C30B0000}"/>
    <cellStyle name="Currency 5 2 2 2 8 2 2" xfId="15156" xr:uid="{D06E5DFC-9399-4E90-824A-CCCC6A9644DC}"/>
    <cellStyle name="Currency 5 2 2 2 8 3" xfId="10938" xr:uid="{449D2583-434B-4EEC-A207-736349E7388E}"/>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FF5BDC04-80AE-4272-B1D1-9F30DF55202B}"/>
    <cellStyle name="Currency 5 2 2 3 11" xfId="8876" xr:uid="{8CD773B0-DE9C-446C-A012-69AC8E6C2979}"/>
    <cellStyle name="Currency 5 2 2 3 2" xfId="201" xr:uid="{00000000-0005-0000-0000-0000C70B0000}"/>
    <cellStyle name="Currency 5 2 2 3 2 10" xfId="8877" xr:uid="{38E1581B-5DF0-4667-847E-B040385463EA}"/>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FB8D752D-2B6D-4077-A236-C0F31D74C53B}"/>
    <cellStyle name="Currency 5 2 2 3 2 2 2 3" xfId="11436" xr:uid="{66A0D697-60A0-4520-96C1-2F937F4B8DBD}"/>
    <cellStyle name="Currency 5 2 2 3 2 2 3" xfId="5059" xr:uid="{00000000-0005-0000-0000-0000CB0B0000}"/>
    <cellStyle name="Currency 5 2 2 3 2 2 3 2" xfId="13509" xr:uid="{009EB518-D674-4032-A4D8-6B6CCAE7D4E7}"/>
    <cellStyle name="Currency 5 2 2 3 2 2 4" xfId="9291" xr:uid="{13C8EA34-42A9-4DF4-B41E-8F694E48522B}"/>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B0E49FA4-792E-490D-B91F-3854C694BD13}"/>
    <cellStyle name="Currency 5 2 2 3 2 3 2 3" xfId="11849" xr:uid="{35AE4AA3-4328-4FFC-929E-B36261D30BAD}"/>
    <cellStyle name="Currency 5 2 2 3 2 3 3" xfId="5472" xr:uid="{00000000-0005-0000-0000-0000CF0B0000}"/>
    <cellStyle name="Currency 5 2 2 3 2 3 3 2" xfId="13922" xr:uid="{E87B2A31-63A5-42E7-AD98-54E0BE764283}"/>
    <cellStyle name="Currency 5 2 2 3 2 3 4" xfId="9704" xr:uid="{429E04BB-579B-48EE-B1E8-4E5B526F23DF}"/>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428054A3-8490-4520-8A2F-2C65541391DF}"/>
    <cellStyle name="Currency 5 2 2 3 2 4 2 3" xfId="12262" xr:uid="{25A06B62-3964-43F9-9BA6-248CF8603057}"/>
    <cellStyle name="Currency 5 2 2 3 2 4 3" xfId="5885" xr:uid="{00000000-0005-0000-0000-0000D30B0000}"/>
    <cellStyle name="Currency 5 2 2 3 2 4 3 2" xfId="14335" xr:uid="{10FFD6B3-4C70-4524-A212-395368EEDE34}"/>
    <cellStyle name="Currency 5 2 2 3 2 4 4" xfId="10117" xr:uid="{F40366EC-AA4B-4E92-9F83-37EC3056B2AD}"/>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4A182484-5A1E-4FCB-8B21-C6ED962F64AC}"/>
    <cellStyle name="Currency 5 2 2 3 2 5 2 3" xfId="12675" xr:uid="{AA084E4E-7398-4842-A259-2A2E689D3882}"/>
    <cellStyle name="Currency 5 2 2 3 2 5 3" xfId="6298" xr:uid="{00000000-0005-0000-0000-0000D70B0000}"/>
    <cellStyle name="Currency 5 2 2 3 2 5 3 2" xfId="14748" xr:uid="{23C73C37-864C-4B35-81C4-9875A585D423}"/>
    <cellStyle name="Currency 5 2 2 3 2 5 4" xfId="10530" xr:uid="{E8A6CD72-FEE2-483B-A0DA-D0ADF70C353F}"/>
    <cellStyle name="Currency 5 2 2 3 2 6" xfId="2427" xr:uid="{00000000-0005-0000-0000-0000D80B0000}"/>
    <cellStyle name="Currency 5 2 2 3 2 6 2" xfId="6711" xr:uid="{00000000-0005-0000-0000-0000D90B0000}"/>
    <cellStyle name="Currency 5 2 2 3 2 6 2 2" xfId="15161" xr:uid="{445DFA57-6749-4E38-A957-D32A4DBC7A2D}"/>
    <cellStyle name="Currency 5 2 2 3 2 6 3" xfId="10943" xr:uid="{2C313BDE-C09A-495D-BD1A-D5FB0B28BD0F}"/>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5825839A-2D53-4084-A2D2-FE2A8F054082}"/>
    <cellStyle name="Currency 5 2 2 3 2 8 3" xfId="11260" xr:uid="{1D122295-22AF-43F4-BB37-B2E508C2F5A4}"/>
    <cellStyle name="Currency 5 2 2 3 2 9" xfId="4645" xr:uid="{00000000-0005-0000-0000-0000DD0B0000}"/>
    <cellStyle name="Currency 5 2 2 3 2 9 2" xfId="13095" xr:uid="{F406026A-6F71-49EF-8310-4AD630CCA32A}"/>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1F9BE446-BAAA-4269-923E-76A3FE636A31}"/>
    <cellStyle name="Currency 5 2 2 3 3 2 3" xfId="11435" xr:uid="{F7ED6539-4E89-462C-8D3B-0666579671FE}"/>
    <cellStyle name="Currency 5 2 2 3 3 3" xfId="5058" xr:uid="{00000000-0005-0000-0000-0000E10B0000}"/>
    <cellStyle name="Currency 5 2 2 3 3 3 2" xfId="13508" xr:uid="{729C761F-92D2-4F82-B338-B45FE86C75FD}"/>
    <cellStyle name="Currency 5 2 2 3 3 4" xfId="9290" xr:uid="{DF21A3C5-B38B-4BB3-B5A5-3FE82B55A04A}"/>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23EB4F3D-DB9E-40D0-996D-908C95DE5157}"/>
    <cellStyle name="Currency 5 2 2 3 4 2 3" xfId="11848" xr:uid="{76073DA8-8F83-4C1F-B89F-B4F7FA28138D}"/>
    <cellStyle name="Currency 5 2 2 3 4 3" xfId="5471" xr:uid="{00000000-0005-0000-0000-0000E50B0000}"/>
    <cellStyle name="Currency 5 2 2 3 4 3 2" xfId="13921" xr:uid="{0614AA67-BB4E-422A-A8C7-F68DA0AB094C}"/>
    <cellStyle name="Currency 5 2 2 3 4 4" xfId="9703" xr:uid="{1180D113-A754-4F60-B873-138AB5A3002B}"/>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57A8CB84-9501-48D0-BC2D-C0F427F3B8DD}"/>
    <cellStyle name="Currency 5 2 2 3 5 2 3" xfId="12261" xr:uid="{C581F34E-8F99-458F-A4D2-CEFAC985B746}"/>
    <cellStyle name="Currency 5 2 2 3 5 3" xfId="5884" xr:uid="{00000000-0005-0000-0000-0000E90B0000}"/>
    <cellStyle name="Currency 5 2 2 3 5 3 2" xfId="14334" xr:uid="{F87A99C0-D73A-44AF-B8CC-C03C0B35C4A2}"/>
    <cellStyle name="Currency 5 2 2 3 5 4" xfId="10116" xr:uid="{1E8EFA4E-2FE5-48C6-9F23-4E2011CE87F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DBF00E1D-AD35-4E88-8FF0-F8F0266DA3CC}"/>
    <cellStyle name="Currency 5 2 2 3 6 2 3" xfId="12674" xr:uid="{24D0DBCB-9A4F-4FD7-B68F-4DA923F4A7CA}"/>
    <cellStyle name="Currency 5 2 2 3 6 3" xfId="6297" xr:uid="{00000000-0005-0000-0000-0000ED0B0000}"/>
    <cellStyle name="Currency 5 2 2 3 6 3 2" xfId="14747" xr:uid="{FB10A1D1-5C73-4054-B798-2A178C89BEA8}"/>
    <cellStyle name="Currency 5 2 2 3 6 4" xfId="10529" xr:uid="{7554F80C-ECE6-4675-9D57-35FDA38EF078}"/>
    <cellStyle name="Currency 5 2 2 3 7" xfId="2426" xr:uid="{00000000-0005-0000-0000-0000EE0B0000}"/>
    <cellStyle name="Currency 5 2 2 3 7 2" xfId="6710" xr:uid="{00000000-0005-0000-0000-0000EF0B0000}"/>
    <cellStyle name="Currency 5 2 2 3 7 2 2" xfId="15160" xr:uid="{40F61930-596E-4155-886A-67AE744E4383}"/>
    <cellStyle name="Currency 5 2 2 3 7 3" xfId="10942" xr:uid="{0F6A28B4-53BD-45E1-8E54-B552D30DB0BA}"/>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3A2A55E2-361B-4430-84C9-560F9893649E}"/>
    <cellStyle name="Currency 5 2 2 3 9 3" xfId="11259" xr:uid="{B76AD2D6-E095-40B9-9963-85903E35C419}"/>
    <cellStyle name="Currency 5 2 2 4" xfId="202" xr:uid="{00000000-0005-0000-0000-0000F30B0000}"/>
    <cellStyle name="Currency 5 2 2 4 10" xfId="8878" xr:uid="{78BA8C2A-62F9-4039-B9C8-098F025563A3}"/>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39D20903-1A19-465A-ADE4-75E0906A401A}"/>
    <cellStyle name="Currency 5 2 2 4 2 2 3" xfId="11437" xr:uid="{8426DFE2-BCEE-4BF0-8536-EE1CD70BED5D}"/>
    <cellStyle name="Currency 5 2 2 4 2 3" xfId="5060" xr:uid="{00000000-0005-0000-0000-0000F70B0000}"/>
    <cellStyle name="Currency 5 2 2 4 2 3 2" xfId="13510" xr:uid="{C453BB45-92AA-4E6E-BB7C-F620CCAEBCFF}"/>
    <cellStyle name="Currency 5 2 2 4 2 4" xfId="9292" xr:uid="{6EFA948B-67F3-4DD9-8703-4E99CF1D5CC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2A8B477F-3B33-44AF-9860-E4B58F814A14}"/>
    <cellStyle name="Currency 5 2 2 4 3 2 3" xfId="11850" xr:uid="{A17B81AA-4DE0-4C63-B242-8B9E99D47602}"/>
    <cellStyle name="Currency 5 2 2 4 3 3" xfId="5473" xr:uid="{00000000-0005-0000-0000-0000FB0B0000}"/>
    <cellStyle name="Currency 5 2 2 4 3 3 2" xfId="13923" xr:uid="{3CB65B2C-EEDD-4CB4-89BA-2775223431A7}"/>
    <cellStyle name="Currency 5 2 2 4 3 4" xfId="9705" xr:uid="{9A1B2FB2-90AE-4A98-AC61-774C9EDA053C}"/>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166FACCF-4A17-4E16-B47C-35C4B39FF8F9}"/>
    <cellStyle name="Currency 5 2 2 4 4 2 3" xfId="12263" xr:uid="{BE64265B-BE7C-448B-B346-B75A392AD7A9}"/>
    <cellStyle name="Currency 5 2 2 4 4 3" xfId="5886" xr:uid="{00000000-0005-0000-0000-0000FF0B0000}"/>
    <cellStyle name="Currency 5 2 2 4 4 3 2" xfId="14336" xr:uid="{EB4A7780-56B2-4365-9D99-C597B30867E5}"/>
    <cellStyle name="Currency 5 2 2 4 4 4" xfId="10118" xr:uid="{F57CDCF9-EBBF-4CE0-80B1-F08CC3A112CA}"/>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82ABECE0-4E36-4F8C-B862-544E889DFAC1}"/>
    <cellStyle name="Currency 5 2 2 4 5 2 3" xfId="12676" xr:uid="{ADFA285D-E80B-4F1D-A4EA-2069889002C2}"/>
    <cellStyle name="Currency 5 2 2 4 5 3" xfId="6299" xr:uid="{00000000-0005-0000-0000-0000030C0000}"/>
    <cellStyle name="Currency 5 2 2 4 5 3 2" xfId="14749" xr:uid="{3FA98675-B20A-4EA8-AD10-5C0418CD0848}"/>
    <cellStyle name="Currency 5 2 2 4 5 4" xfId="10531" xr:uid="{85705B49-7434-45D2-9D56-9F834EBDD05C}"/>
    <cellStyle name="Currency 5 2 2 4 6" xfId="2428" xr:uid="{00000000-0005-0000-0000-0000040C0000}"/>
    <cellStyle name="Currency 5 2 2 4 6 2" xfId="6712" xr:uid="{00000000-0005-0000-0000-0000050C0000}"/>
    <cellStyle name="Currency 5 2 2 4 6 2 2" xfId="15162" xr:uid="{EF17FD72-0C4E-4ECD-8BB0-E13E597B098D}"/>
    <cellStyle name="Currency 5 2 2 4 6 3" xfId="10944" xr:uid="{9CA8D649-60DE-434A-A23B-AE075C3A55B8}"/>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673F5CC7-996B-4A9D-9525-85404A378873}"/>
    <cellStyle name="Currency 5 2 2 4 8 3" xfId="11261" xr:uid="{1BDA611E-C956-4A0E-92DB-EFE006A98F02}"/>
    <cellStyle name="Currency 5 2 2 4 9" xfId="4646" xr:uid="{00000000-0005-0000-0000-0000090C0000}"/>
    <cellStyle name="Currency 5 2 2 4 9 2" xfId="13096" xr:uid="{60AFABA0-8ED1-4842-B0BF-8E4C8D02C7DC}"/>
    <cellStyle name="Currency 5 2 2 5" xfId="203" xr:uid="{00000000-0005-0000-0000-00000A0C0000}"/>
    <cellStyle name="Currency 5 2 2 5 10" xfId="8879" xr:uid="{AC1CA988-03AA-4726-BB10-620CAB34C46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44EE2F23-ED4C-4B81-822E-602CCA2FC88A}"/>
    <cellStyle name="Currency 5 2 2 5 2 2 3" xfId="11438" xr:uid="{976B2CDB-5FD2-4242-AC04-80E5A15A5F62}"/>
    <cellStyle name="Currency 5 2 2 5 2 3" xfId="5061" xr:uid="{00000000-0005-0000-0000-00000E0C0000}"/>
    <cellStyle name="Currency 5 2 2 5 2 3 2" xfId="13511" xr:uid="{CADDDAE9-5EA7-4456-A163-D3FD0C3E5B06}"/>
    <cellStyle name="Currency 5 2 2 5 2 4" xfId="9293" xr:uid="{FFF332BC-20DA-4FA6-8090-D6C543144D04}"/>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ADF353D2-1FB7-4F48-9FDB-E6C66C25E476}"/>
    <cellStyle name="Currency 5 2 2 5 3 2 3" xfId="11851" xr:uid="{D0E099E8-AED1-42C8-AA21-5F1FCAE85CA0}"/>
    <cellStyle name="Currency 5 2 2 5 3 3" xfId="5474" xr:uid="{00000000-0005-0000-0000-0000120C0000}"/>
    <cellStyle name="Currency 5 2 2 5 3 3 2" xfId="13924" xr:uid="{664F4538-A936-4346-8CFD-53CCF4881F79}"/>
    <cellStyle name="Currency 5 2 2 5 3 4" xfId="9706" xr:uid="{89F930AC-BC21-4C55-AFEB-F5F94875973B}"/>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16A3D712-1B97-477B-883A-48A83202521D}"/>
    <cellStyle name="Currency 5 2 2 5 4 2 3" xfId="12264" xr:uid="{E37BB39E-3C60-4BCC-9E0A-311CAB8B5157}"/>
    <cellStyle name="Currency 5 2 2 5 4 3" xfId="5887" xr:uid="{00000000-0005-0000-0000-0000160C0000}"/>
    <cellStyle name="Currency 5 2 2 5 4 3 2" xfId="14337" xr:uid="{18DDEA20-2AD1-4C48-B927-DB8064CD49D0}"/>
    <cellStyle name="Currency 5 2 2 5 4 4" xfId="10119" xr:uid="{4E9B11D5-2A85-4AE7-B348-AA64FD801554}"/>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3D05C4EF-6983-42B0-AB0D-997D2E3066B2}"/>
    <cellStyle name="Currency 5 2 2 5 5 2 3" xfId="12677" xr:uid="{B2B09E82-5113-41FB-B8B6-0B642F94B1FD}"/>
    <cellStyle name="Currency 5 2 2 5 5 3" xfId="6300" xr:uid="{00000000-0005-0000-0000-00001A0C0000}"/>
    <cellStyle name="Currency 5 2 2 5 5 3 2" xfId="14750" xr:uid="{3BAD42DF-61C8-4F4E-BC4F-FD8AFC9DFA3F}"/>
    <cellStyle name="Currency 5 2 2 5 5 4" xfId="10532" xr:uid="{988091A8-C065-4BB6-B5A0-46E268178E8E}"/>
    <cellStyle name="Currency 5 2 2 5 6" xfId="2429" xr:uid="{00000000-0005-0000-0000-00001B0C0000}"/>
    <cellStyle name="Currency 5 2 2 5 6 2" xfId="6713" xr:uid="{00000000-0005-0000-0000-00001C0C0000}"/>
    <cellStyle name="Currency 5 2 2 5 6 2 2" xfId="15163" xr:uid="{59CF0B3D-BF43-4C87-AF20-3EFBC78CF000}"/>
    <cellStyle name="Currency 5 2 2 5 6 3" xfId="10945" xr:uid="{1223488F-AB44-44F3-A452-AF279BF077A8}"/>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F9503985-7C2B-41BC-8E92-BB03F4B7D49A}"/>
    <cellStyle name="Currency 5 2 2 5 8 3" xfId="11262" xr:uid="{B023E2BB-4078-4138-A8C3-CFAFDF105530}"/>
    <cellStyle name="Currency 5 2 2 5 9" xfId="4647" xr:uid="{00000000-0005-0000-0000-0000200C0000}"/>
    <cellStyle name="Currency 5 2 2 5 9 2" xfId="13097" xr:uid="{0A15CE00-AFAD-4656-85E7-2BB31379AE7C}"/>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87D5A0B6-00AD-4C20-BED9-617537AAF73D}"/>
    <cellStyle name="Currency 5 2 4 11" xfId="8880" xr:uid="{D235A72A-50B8-42D0-954C-C99B10878F68}"/>
    <cellStyle name="Currency 5 2 4 2" xfId="206" xr:uid="{00000000-0005-0000-0000-0000250C0000}"/>
    <cellStyle name="Currency 5 2 4 2 10" xfId="8881" xr:uid="{AA348CA0-1195-4F64-9FCA-485694E58488}"/>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6D600724-63EE-4D0F-97F3-77A5FE73164F}"/>
    <cellStyle name="Currency 5 2 4 2 2 2 3" xfId="11440" xr:uid="{821F2050-3EF3-40B7-B821-2CF9D7638303}"/>
    <cellStyle name="Currency 5 2 4 2 2 3" xfId="5063" xr:uid="{00000000-0005-0000-0000-0000290C0000}"/>
    <cellStyle name="Currency 5 2 4 2 2 3 2" xfId="13513" xr:uid="{C88C0C14-58D8-4BC1-874F-6D1A6457DFB8}"/>
    <cellStyle name="Currency 5 2 4 2 2 4" xfId="9295" xr:uid="{1E183A85-56A7-472E-A11C-61CB01D35C3F}"/>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3561A508-A466-4502-A80C-B3D7AFF46D46}"/>
    <cellStyle name="Currency 5 2 4 2 3 2 3" xfId="11853" xr:uid="{B3F6F794-5B40-4F7E-BEC1-3D4280F83579}"/>
    <cellStyle name="Currency 5 2 4 2 3 3" xfId="5476" xr:uid="{00000000-0005-0000-0000-00002D0C0000}"/>
    <cellStyle name="Currency 5 2 4 2 3 3 2" xfId="13926" xr:uid="{0D00C3D7-55B4-489D-B7D3-66A90AE81291}"/>
    <cellStyle name="Currency 5 2 4 2 3 4" xfId="9708" xr:uid="{91D54D04-7C28-4CD2-9FB8-AF2105208E73}"/>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205EE027-A535-4D00-9196-76C53BE569A1}"/>
    <cellStyle name="Currency 5 2 4 2 4 2 3" xfId="12266" xr:uid="{2CD66B07-13A9-408A-82E1-EC7ED4A11FF2}"/>
    <cellStyle name="Currency 5 2 4 2 4 3" xfId="5889" xr:uid="{00000000-0005-0000-0000-0000310C0000}"/>
    <cellStyle name="Currency 5 2 4 2 4 3 2" xfId="14339" xr:uid="{695C9FDE-DAAC-4585-8485-6E9843214FD5}"/>
    <cellStyle name="Currency 5 2 4 2 4 4" xfId="10121" xr:uid="{1468D858-72C2-401B-B465-6CBA359BFAF5}"/>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16AFCF11-8435-4455-9DBF-AFCC4E638D51}"/>
    <cellStyle name="Currency 5 2 4 2 5 2 3" xfId="12679" xr:uid="{C71013C7-3D22-4795-813D-F9CC209EDCA5}"/>
    <cellStyle name="Currency 5 2 4 2 5 3" xfId="6302" xr:uid="{00000000-0005-0000-0000-0000350C0000}"/>
    <cellStyle name="Currency 5 2 4 2 5 3 2" xfId="14752" xr:uid="{1D5604CE-BF15-4B13-894F-232503628140}"/>
    <cellStyle name="Currency 5 2 4 2 5 4" xfId="10534" xr:uid="{C29B988B-4994-4F11-9CD4-9841C9F8BC3E}"/>
    <cellStyle name="Currency 5 2 4 2 6" xfId="2431" xr:uid="{00000000-0005-0000-0000-0000360C0000}"/>
    <cellStyle name="Currency 5 2 4 2 6 2" xfId="6715" xr:uid="{00000000-0005-0000-0000-0000370C0000}"/>
    <cellStyle name="Currency 5 2 4 2 6 2 2" xfId="15165" xr:uid="{9CDF1249-95C6-4B60-BB12-37B9BF768768}"/>
    <cellStyle name="Currency 5 2 4 2 6 3" xfId="10947" xr:uid="{8F1BBD33-7472-4F3C-B504-F295C009B6B7}"/>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0094ACA1-C5C8-4196-A9EB-DFDA2BC82084}"/>
    <cellStyle name="Currency 5 2 4 2 8 3" xfId="11264" xr:uid="{AA0A9F0F-5535-4ED5-A695-37DF7AFC85D5}"/>
    <cellStyle name="Currency 5 2 4 2 9" xfId="4649" xr:uid="{00000000-0005-0000-0000-00003B0C0000}"/>
    <cellStyle name="Currency 5 2 4 2 9 2" xfId="13099" xr:uid="{2C30E550-D5C4-448B-B1FD-CD1D6E0C3CFE}"/>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7F7CC66B-D4F2-46A1-8628-4BB8F7C59BED}"/>
    <cellStyle name="Currency 5 2 4 3 2 3" xfId="11439" xr:uid="{21FDCA0B-D1D8-4B5B-A8BA-92C195454054}"/>
    <cellStyle name="Currency 5 2 4 3 3" xfId="5062" xr:uid="{00000000-0005-0000-0000-00003F0C0000}"/>
    <cellStyle name="Currency 5 2 4 3 3 2" xfId="13512" xr:uid="{2EAA1B57-7ED2-4AFB-9D9A-A194607C47FF}"/>
    <cellStyle name="Currency 5 2 4 3 4" xfId="9294" xr:uid="{7552BD78-9205-4250-AF5F-DDFDA321D9E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B4925B35-0467-4556-95B8-2D19B4DA5129}"/>
    <cellStyle name="Currency 5 2 4 4 2 3" xfId="11852" xr:uid="{5D01FE81-E243-40F2-A7A7-C151ED3B73E4}"/>
    <cellStyle name="Currency 5 2 4 4 3" xfId="5475" xr:uid="{00000000-0005-0000-0000-0000430C0000}"/>
    <cellStyle name="Currency 5 2 4 4 3 2" xfId="13925" xr:uid="{9EBED33C-01A4-4BE2-A300-03A8AD23C96F}"/>
    <cellStyle name="Currency 5 2 4 4 4" xfId="9707" xr:uid="{766B8873-D582-4BC0-A4D8-7A4E19697E17}"/>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0DF035BB-C84E-4A3F-BAE3-FBB441ED0AA4}"/>
    <cellStyle name="Currency 5 2 4 5 2 3" xfId="12265" xr:uid="{083B5B6D-C8AB-4146-BD90-F6D7EEB6D987}"/>
    <cellStyle name="Currency 5 2 4 5 3" xfId="5888" xr:uid="{00000000-0005-0000-0000-0000470C0000}"/>
    <cellStyle name="Currency 5 2 4 5 3 2" xfId="14338" xr:uid="{BD66987A-6752-4AB2-8932-549CEDAB0E5E}"/>
    <cellStyle name="Currency 5 2 4 5 4" xfId="10120" xr:uid="{3844B971-59AF-443D-B283-DBF004BA530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AB9BF240-8962-466A-95F5-52E7AFC4A7C3}"/>
    <cellStyle name="Currency 5 2 4 6 2 3" xfId="12678" xr:uid="{D4EC10B9-05FC-48DE-9D94-B7861FAA62DC}"/>
    <cellStyle name="Currency 5 2 4 6 3" xfId="6301" xr:uid="{00000000-0005-0000-0000-00004B0C0000}"/>
    <cellStyle name="Currency 5 2 4 6 3 2" xfId="14751" xr:uid="{A219F9EF-4392-4B8D-B026-073730955943}"/>
    <cellStyle name="Currency 5 2 4 6 4" xfId="10533" xr:uid="{31B8BD89-243A-4687-A4B4-E88730253C4F}"/>
    <cellStyle name="Currency 5 2 4 7" xfId="2430" xr:uid="{00000000-0005-0000-0000-00004C0C0000}"/>
    <cellStyle name="Currency 5 2 4 7 2" xfId="6714" xr:uid="{00000000-0005-0000-0000-00004D0C0000}"/>
    <cellStyle name="Currency 5 2 4 7 2 2" xfId="15164" xr:uid="{EC69A719-DB79-4941-97B0-1D114971496E}"/>
    <cellStyle name="Currency 5 2 4 7 3" xfId="10946" xr:uid="{FB6A515C-FF1C-4730-97EC-7ABD7910E030}"/>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5075B247-D2C1-4BB3-AA38-77EABD5BADCC}"/>
    <cellStyle name="Currency 5 2 4 9 3" xfId="11263" xr:uid="{F096A37B-ACE3-4178-A1EE-792DD4D278CF}"/>
    <cellStyle name="Currency 5 2 5" xfId="207" xr:uid="{00000000-0005-0000-0000-0000510C0000}"/>
    <cellStyle name="Currency 5 2 5 10" xfId="8882" xr:uid="{6B40141B-8A53-45ED-BA8B-A96EDC533F66}"/>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305AF8F5-48FD-4B08-A73D-7104700FE480}"/>
    <cellStyle name="Currency 5 2 5 2 2 3" xfId="11441" xr:uid="{F7250BDD-01FE-42AC-AE35-99B7659BA34C}"/>
    <cellStyle name="Currency 5 2 5 2 3" xfId="5064" xr:uid="{00000000-0005-0000-0000-0000550C0000}"/>
    <cellStyle name="Currency 5 2 5 2 3 2" xfId="13514" xr:uid="{EBF58BFF-E994-478C-B464-68619888459D}"/>
    <cellStyle name="Currency 5 2 5 2 4" xfId="9296" xr:uid="{5661CDB5-28C1-489E-9A31-1B7A2345EDEA}"/>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E36E10DB-732B-4DBA-8D9C-B9747BA3A90C}"/>
    <cellStyle name="Currency 5 2 5 3 2 3" xfId="11854" xr:uid="{4817BB98-301A-4D49-912D-A4EDF5541D98}"/>
    <cellStyle name="Currency 5 2 5 3 3" xfId="5477" xr:uid="{00000000-0005-0000-0000-0000590C0000}"/>
    <cellStyle name="Currency 5 2 5 3 3 2" xfId="13927" xr:uid="{CAF66053-22AB-496D-AD79-AAEE696F1756}"/>
    <cellStyle name="Currency 5 2 5 3 4" xfId="9709" xr:uid="{3BC993C4-2B57-4364-8D3C-E5A3B52B5C12}"/>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4C1B8117-289C-43DC-80EC-84EBA61D958D}"/>
    <cellStyle name="Currency 5 2 5 4 2 3" xfId="12267" xr:uid="{F2698659-8B30-4F73-9492-BC71771E8C97}"/>
    <cellStyle name="Currency 5 2 5 4 3" xfId="5890" xr:uid="{00000000-0005-0000-0000-00005D0C0000}"/>
    <cellStyle name="Currency 5 2 5 4 3 2" xfId="14340" xr:uid="{DE85CB7B-139C-4A71-AFBC-D48F2490ACDB}"/>
    <cellStyle name="Currency 5 2 5 4 4" xfId="10122" xr:uid="{F5BBBA0E-7230-43B5-A4AD-EBFE585C0FAA}"/>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AE921071-B5A9-44E4-B252-343C5AB2188D}"/>
    <cellStyle name="Currency 5 2 5 5 2 3" xfId="12680" xr:uid="{3F0CB3E6-28AF-448C-A988-FB799023A5D1}"/>
    <cellStyle name="Currency 5 2 5 5 3" xfId="6303" xr:uid="{00000000-0005-0000-0000-0000610C0000}"/>
    <cellStyle name="Currency 5 2 5 5 3 2" xfId="14753" xr:uid="{6F2E86E8-F5E0-4039-B634-06DB6F4E6F70}"/>
    <cellStyle name="Currency 5 2 5 5 4" xfId="10535" xr:uid="{596BD8CD-D8B6-4E90-BFE5-3AA0B18E7F20}"/>
    <cellStyle name="Currency 5 2 5 6" xfId="2432" xr:uid="{00000000-0005-0000-0000-0000620C0000}"/>
    <cellStyle name="Currency 5 2 5 6 2" xfId="6716" xr:uid="{00000000-0005-0000-0000-0000630C0000}"/>
    <cellStyle name="Currency 5 2 5 6 2 2" xfId="15166" xr:uid="{48046032-4CFF-428F-B868-B8E161DF4FA7}"/>
    <cellStyle name="Currency 5 2 5 6 3" xfId="10948" xr:uid="{B5615043-A15B-4CCB-B269-CB77793F7D47}"/>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EC482DA5-6F2D-4CDA-97F4-F9F21ACC335D}"/>
    <cellStyle name="Currency 5 2 5 8 3" xfId="11265" xr:uid="{17B53E9A-ECE5-4793-B33C-756E6BB5F093}"/>
    <cellStyle name="Currency 5 2 5 9" xfId="4650" xr:uid="{00000000-0005-0000-0000-0000670C0000}"/>
    <cellStyle name="Currency 5 2 5 9 2" xfId="13100" xr:uid="{3EAAEC30-0500-46CE-9488-667178C5AB8B}"/>
    <cellStyle name="Currency 5 2 6" xfId="208" xr:uid="{00000000-0005-0000-0000-0000680C0000}"/>
    <cellStyle name="Currency 5 2 6 10" xfId="8883" xr:uid="{16EEE289-AE6F-4765-81D8-029CC3B8BBD6}"/>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CA8E9C11-3FDC-4D46-9DE9-7C946BEB9AF7}"/>
    <cellStyle name="Currency 5 2 6 2 2 3" xfId="11442" xr:uid="{2A5491CC-43A8-4ECB-AB2C-BCE4A126D99F}"/>
    <cellStyle name="Currency 5 2 6 2 3" xfId="5065" xr:uid="{00000000-0005-0000-0000-00006C0C0000}"/>
    <cellStyle name="Currency 5 2 6 2 3 2" xfId="13515" xr:uid="{4F8A8166-CDF5-4834-91C5-ECE9D724B94F}"/>
    <cellStyle name="Currency 5 2 6 2 4" xfId="9297" xr:uid="{EA11B98F-802B-4C31-847F-A4215E17CC5D}"/>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AA83077B-A28E-40A2-B2E0-874CAA7F0D55}"/>
    <cellStyle name="Currency 5 2 6 3 2 3" xfId="11855" xr:uid="{959BCEEC-4E1C-4C76-A151-FFFC1DA85F61}"/>
    <cellStyle name="Currency 5 2 6 3 3" xfId="5478" xr:uid="{00000000-0005-0000-0000-0000700C0000}"/>
    <cellStyle name="Currency 5 2 6 3 3 2" xfId="13928" xr:uid="{1D510BBB-ADE7-441A-AC00-DEA6EED8D2EE}"/>
    <cellStyle name="Currency 5 2 6 3 4" xfId="9710" xr:uid="{FC32684D-4774-486E-A914-B8BD9A328B4C}"/>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CDAAAC09-AFB0-4715-89F8-D70AD7D53E3B}"/>
    <cellStyle name="Currency 5 2 6 4 2 3" xfId="12268" xr:uid="{60D4B125-B9E6-4EFA-B279-C83E53F24B68}"/>
    <cellStyle name="Currency 5 2 6 4 3" xfId="5891" xr:uid="{00000000-0005-0000-0000-0000740C0000}"/>
    <cellStyle name="Currency 5 2 6 4 3 2" xfId="14341" xr:uid="{267594FC-7CB1-41D8-A8F7-900FE528ACA4}"/>
    <cellStyle name="Currency 5 2 6 4 4" xfId="10123" xr:uid="{1BA94F97-99E2-49EC-A947-35DC2685B106}"/>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BDB7F6EF-0249-4BF7-A867-D4C34D395104}"/>
    <cellStyle name="Currency 5 2 6 5 2 3" xfId="12681" xr:uid="{52EEFC2B-2AFD-4974-81A3-248D9E23B993}"/>
    <cellStyle name="Currency 5 2 6 5 3" xfId="6304" xr:uid="{00000000-0005-0000-0000-0000780C0000}"/>
    <cellStyle name="Currency 5 2 6 5 3 2" xfId="14754" xr:uid="{C06B85DE-4745-4B8C-ACFE-2B7F5E3069D1}"/>
    <cellStyle name="Currency 5 2 6 5 4" xfId="10536" xr:uid="{538EEDDE-F74B-4078-91D8-0267AA068DE2}"/>
    <cellStyle name="Currency 5 2 6 6" xfId="2433" xr:uid="{00000000-0005-0000-0000-0000790C0000}"/>
    <cellStyle name="Currency 5 2 6 6 2" xfId="6717" xr:uid="{00000000-0005-0000-0000-00007A0C0000}"/>
    <cellStyle name="Currency 5 2 6 6 2 2" xfId="15167" xr:uid="{40CD82B5-92F4-4C11-94DB-2F9EF5F4ABDD}"/>
    <cellStyle name="Currency 5 2 6 6 3" xfId="10949" xr:uid="{EC21F13E-41B6-4A4F-A6CA-19AB63B5F64E}"/>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B63E5F04-C106-485B-B5CD-CB69052AB3FB}"/>
    <cellStyle name="Currency 5 2 6 8 3" xfId="11266" xr:uid="{B4A1F0A4-3262-4A62-A8B2-1F38A363FAB9}"/>
    <cellStyle name="Currency 5 2 6 9" xfId="4651" xr:uid="{00000000-0005-0000-0000-00007E0C0000}"/>
    <cellStyle name="Currency 5 2 6 9 2" xfId="13101" xr:uid="{FE6C2962-002E-4572-80FC-B747746DEC3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2BD1DB7F-79C4-426E-B9CB-143426C5FC4E}"/>
    <cellStyle name="Currency 5 3 2 10 3" xfId="11267" xr:uid="{E4D0F84F-FBDE-40EB-9DC4-618E0F308956}"/>
    <cellStyle name="Currency 5 3 2 11" xfId="4652" xr:uid="{00000000-0005-0000-0000-0000840C0000}"/>
    <cellStyle name="Currency 5 3 2 11 2" xfId="13102" xr:uid="{0C9E7562-D567-4154-8559-42D71546D7BB}"/>
    <cellStyle name="Currency 5 3 2 12" xfId="8884" xr:uid="{F8EB323E-8A44-4B03-B669-754FD387D572}"/>
    <cellStyle name="Currency 5 3 2 2" xfId="211" xr:uid="{00000000-0005-0000-0000-0000850C0000}"/>
    <cellStyle name="Currency 5 3 2 2 10" xfId="4653" xr:uid="{00000000-0005-0000-0000-0000860C0000}"/>
    <cellStyle name="Currency 5 3 2 2 10 2" xfId="13103" xr:uid="{E22C0EA1-89C8-45B3-BC98-FD5651D961ED}"/>
    <cellStyle name="Currency 5 3 2 2 11" xfId="8885" xr:uid="{188642E2-8B2E-4FBC-9A97-913911E2DE2F}"/>
    <cellStyle name="Currency 5 3 2 2 2" xfId="212" xr:uid="{00000000-0005-0000-0000-0000870C0000}"/>
    <cellStyle name="Currency 5 3 2 2 2 10" xfId="8886" xr:uid="{C24B94AE-CD16-4FA2-B606-050764E7CA48}"/>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DDE4A3CE-B9AB-40E0-9F86-9A1A203ECC6E}"/>
    <cellStyle name="Currency 5 3 2 2 2 2 2 3" xfId="11445" xr:uid="{9C47D865-3DF5-42CF-9D09-A0D25E286901}"/>
    <cellStyle name="Currency 5 3 2 2 2 2 3" xfId="5068" xr:uid="{00000000-0005-0000-0000-00008B0C0000}"/>
    <cellStyle name="Currency 5 3 2 2 2 2 3 2" xfId="13518" xr:uid="{84D41279-0705-4AC5-9A2E-CFFB2BD8438E}"/>
    <cellStyle name="Currency 5 3 2 2 2 2 4" xfId="9300" xr:uid="{766005D1-D0BE-47C6-8BAF-93CB331AA47F}"/>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BF08EAFA-CE0C-45D8-BB69-34D3C15B5549}"/>
    <cellStyle name="Currency 5 3 2 2 2 3 2 3" xfId="11858" xr:uid="{67FC8E66-4600-4ABB-BE56-DB9039282C41}"/>
    <cellStyle name="Currency 5 3 2 2 2 3 3" xfId="5481" xr:uid="{00000000-0005-0000-0000-00008F0C0000}"/>
    <cellStyle name="Currency 5 3 2 2 2 3 3 2" xfId="13931" xr:uid="{ACB71F96-7C5F-47BE-A6EA-E578E84420E7}"/>
    <cellStyle name="Currency 5 3 2 2 2 3 4" xfId="9713" xr:uid="{22090F73-42DA-47E1-B2BB-9B20D833C57A}"/>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826B47F8-E991-40EC-99E0-31F59ADA6052}"/>
    <cellStyle name="Currency 5 3 2 2 2 4 2 3" xfId="12271" xr:uid="{F44AC091-4446-4748-9EFE-7E50EA77C600}"/>
    <cellStyle name="Currency 5 3 2 2 2 4 3" xfId="5894" xr:uid="{00000000-0005-0000-0000-0000930C0000}"/>
    <cellStyle name="Currency 5 3 2 2 2 4 3 2" xfId="14344" xr:uid="{2C39E7A2-5AD2-4413-AFB7-6E79F5D75166}"/>
    <cellStyle name="Currency 5 3 2 2 2 4 4" xfId="10126" xr:uid="{E2273842-9E93-42C7-9BC1-7D1C03B6C729}"/>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2F8B7702-43D2-4700-9ADF-6B3011BDC69A}"/>
    <cellStyle name="Currency 5 3 2 2 2 5 2 3" xfId="12684" xr:uid="{0180CC65-F4AA-46C8-B296-3D9CC06DCC29}"/>
    <cellStyle name="Currency 5 3 2 2 2 5 3" xfId="6307" xr:uid="{00000000-0005-0000-0000-0000970C0000}"/>
    <cellStyle name="Currency 5 3 2 2 2 5 3 2" xfId="14757" xr:uid="{E1CCDF6D-4219-44FA-86A2-0615EC20C827}"/>
    <cellStyle name="Currency 5 3 2 2 2 5 4" xfId="10539" xr:uid="{8B09276A-3D71-4C39-ABB3-F3F2DF7BDADB}"/>
    <cellStyle name="Currency 5 3 2 2 2 6" xfId="2436" xr:uid="{00000000-0005-0000-0000-0000980C0000}"/>
    <cellStyle name="Currency 5 3 2 2 2 6 2" xfId="6720" xr:uid="{00000000-0005-0000-0000-0000990C0000}"/>
    <cellStyle name="Currency 5 3 2 2 2 6 2 2" xfId="15170" xr:uid="{AD7FB0A9-E6A0-4D0F-B49C-0949BC78940C}"/>
    <cellStyle name="Currency 5 3 2 2 2 6 3" xfId="10952" xr:uid="{FF9D51E2-5A3A-48EB-975B-04E71090EAF3}"/>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FD0FC172-2944-4470-A193-D4684B2467ED}"/>
    <cellStyle name="Currency 5 3 2 2 2 8 3" xfId="11269" xr:uid="{779ACE77-F441-4F58-B4EC-1B61C23971F6}"/>
    <cellStyle name="Currency 5 3 2 2 2 9" xfId="4654" xr:uid="{00000000-0005-0000-0000-00009D0C0000}"/>
    <cellStyle name="Currency 5 3 2 2 2 9 2" xfId="13104" xr:uid="{C5147A31-5C1E-468F-8219-765B6E6F8056}"/>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63E3376F-E67B-4891-952D-995F609FE4F8}"/>
    <cellStyle name="Currency 5 3 2 2 3 2 3" xfId="11444" xr:uid="{F0C85B2C-3CD5-402A-88FA-F3B5E6D1AE37}"/>
    <cellStyle name="Currency 5 3 2 2 3 3" xfId="5067" xr:uid="{00000000-0005-0000-0000-0000A10C0000}"/>
    <cellStyle name="Currency 5 3 2 2 3 3 2" xfId="13517" xr:uid="{AA8028AD-0AD4-4448-9347-E7F7AC6F7BA8}"/>
    <cellStyle name="Currency 5 3 2 2 3 4" xfId="9299" xr:uid="{82E18E90-C625-47E0-882D-CB0776691F63}"/>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6D1F01C4-33BD-4618-A4B1-002BF5E5CD61}"/>
    <cellStyle name="Currency 5 3 2 2 4 2 3" xfId="11857" xr:uid="{9CBDF88F-D7D5-411D-8C1F-2BB83041D93E}"/>
    <cellStyle name="Currency 5 3 2 2 4 3" xfId="5480" xr:uid="{00000000-0005-0000-0000-0000A50C0000}"/>
    <cellStyle name="Currency 5 3 2 2 4 3 2" xfId="13930" xr:uid="{0FD26428-0C3D-483E-8007-B30A0B2CB997}"/>
    <cellStyle name="Currency 5 3 2 2 4 4" xfId="9712" xr:uid="{7F2AC502-F289-4FF1-9E40-0FFDCE022632}"/>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A81D69B6-3013-4CDC-9D05-E25F72EBD10D}"/>
    <cellStyle name="Currency 5 3 2 2 5 2 3" xfId="12270" xr:uid="{8C8DE5BB-C664-4E4B-B79F-9533E0BA1AD0}"/>
    <cellStyle name="Currency 5 3 2 2 5 3" xfId="5893" xr:uid="{00000000-0005-0000-0000-0000A90C0000}"/>
    <cellStyle name="Currency 5 3 2 2 5 3 2" xfId="14343" xr:uid="{82E525DF-BCF3-4574-A989-7114860B6898}"/>
    <cellStyle name="Currency 5 3 2 2 5 4" xfId="10125" xr:uid="{5FFDA501-5DDC-4560-9469-83F878FA39C2}"/>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AC70C1FD-0588-414F-A55F-D76BA9669E28}"/>
    <cellStyle name="Currency 5 3 2 2 6 2 3" xfId="12683" xr:uid="{5F36D2DE-7517-46E3-896C-0EA5CF602E29}"/>
    <cellStyle name="Currency 5 3 2 2 6 3" xfId="6306" xr:uid="{00000000-0005-0000-0000-0000AD0C0000}"/>
    <cellStyle name="Currency 5 3 2 2 6 3 2" xfId="14756" xr:uid="{B0750BC1-25FB-49BC-87AA-0C2552E9F919}"/>
    <cellStyle name="Currency 5 3 2 2 6 4" xfId="10538" xr:uid="{BD418DE6-9903-446D-A57C-F69016558211}"/>
    <cellStyle name="Currency 5 3 2 2 7" xfId="2435" xr:uid="{00000000-0005-0000-0000-0000AE0C0000}"/>
    <cellStyle name="Currency 5 3 2 2 7 2" xfId="6719" xr:uid="{00000000-0005-0000-0000-0000AF0C0000}"/>
    <cellStyle name="Currency 5 3 2 2 7 2 2" xfId="15169" xr:uid="{350022B1-F121-4935-B1DC-731EA7AC5906}"/>
    <cellStyle name="Currency 5 3 2 2 7 3" xfId="10951" xr:uid="{D9E8ACBE-FEB9-4790-BA7B-458BB3079B38}"/>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ADC90A45-39FA-493F-AEE8-58CBBE507117}"/>
    <cellStyle name="Currency 5 3 2 2 9 3" xfId="11268" xr:uid="{5EE1BCA1-9572-472D-80DB-6F60B96574F4}"/>
    <cellStyle name="Currency 5 3 2 3" xfId="213" xr:uid="{00000000-0005-0000-0000-0000B30C0000}"/>
    <cellStyle name="Currency 5 3 2 3 10" xfId="8887" xr:uid="{6046DE55-3FF5-4619-B2F2-ACF69152399E}"/>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6BDD33ED-3D9A-4C07-84B6-B909453C0CD9}"/>
    <cellStyle name="Currency 5 3 2 3 2 2 3" xfId="11446" xr:uid="{9DB1936E-C020-452F-AAF1-9E41C0D2BC2F}"/>
    <cellStyle name="Currency 5 3 2 3 2 3" xfId="5069" xr:uid="{00000000-0005-0000-0000-0000B70C0000}"/>
    <cellStyle name="Currency 5 3 2 3 2 3 2" xfId="13519" xr:uid="{062702B2-D9E4-40AF-8EEB-F7D62DE05E66}"/>
    <cellStyle name="Currency 5 3 2 3 2 4" xfId="9301" xr:uid="{05CDA677-B605-446D-98C9-F60614E66AC8}"/>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BCCCB05E-245C-4803-9ACC-99B7945546DA}"/>
    <cellStyle name="Currency 5 3 2 3 3 2 3" xfId="11859" xr:uid="{70EEB9A6-AB36-4EBD-BA7D-8F28EEF29F2F}"/>
    <cellStyle name="Currency 5 3 2 3 3 3" xfId="5482" xr:uid="{00000000-0005-0000-0000-0000BB0C0000}"/>
    <cellStyle name="Currency 5 3 2 3 3 3 2" xfId="13932" xr:uid="{161786CD-DCD9-401B-81F6-1E92FCBFC231}"/>
    <cellStyle name="Currency 5 3 2 3 3 4" xfId="9714" xr:uid="{6F99C088-4D82-4219-B909-D639F6D6328D}"/>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13E9DFDA-ECF4-41C4-95E3-46FB89C913CE}"/>
    <cellStyle name="Currency 5 3 2 3 4 2 3" xfId="12272" xr:uid="{2962281D-A991-43C2-95FE-86DAFD11290B}"/>
    <cellStyle name="Currency 5 3 2 3 4 3" xfId="5895" xr:uid="{00000000-0005-0000-0000-0000BF0C0000}"/>
    <cellStyle name="Currency 5 3 2 3 4 3 2" xfId="14345" xr:uid="{C4C109F9-9318-4FAE-B2A9-9BF8B64E655B}"/>
    <cellStyle name="Currency 5 3 2 3 4 4" xfId="10127" xr:uid="{42E8C2B0-0470-4ABF-8355-BCE5DFE3A87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358C43D9-00BB-4B7D-B6F2-7A931B34D9D7}"/>
    <cellStyle name="Currency 5 3 2 3 5 2 3" xfId="12685" xr:uid="{963F3786-C769-43D0-884F-1D7CDCAFC8E8}"/>
    <cellStyle name="Currency 5 3 2 3 5 3" xfId="6308" xr:uid="{00000000-0005-0000-0000-0000C30C0000}"/>
    <cellStyle name="Currency 5 3 2 3 5 3 2" xfId="14758" xr:uid="{BB094642-E283-418C-88FA-F219E5A53C22}"/>
    <cellStyle name="Currency 5 3 2 3 5 4" xfId="10540" xr:uid="{096B8005-47D2-41A4-8C51-79CD37E20B2A}"/>
    <cellStyle name="Currency 5 3 2 3 6" xfId="2437" xr:uid="{00000000-0005-0000-0000-0000C40C0000}"/>
    <cellStyle name="Currency 5 3 2 3 6 2" xfId="6721" xr:uid="{00000000-0005-0000-0000-0000C50C0000}"/>
    <cellStyle name="Currency 5 3 2 3 6 2 2" xfId="15171" xr:uid="{8CE8940E-17AC-42CB-A1C3-39DC62B088F7}"/>
    <cellStyle name="Currency 5 3 2 3 6 3" xfId="10953" xr:uid="{6A810BD0-91B6-42D4-92ED-D444F890C06D}"/>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BF45F5B0-A687-4135-8538-A2E1F858CA10}"/>
    <cellStyle name="Currency 5 3 2 3 8 3" xfId="11270" xr:uid="{0245ABAB-94F3-4D3F-A197-D1865F7DDF13}"/>
    <cellStyle name="Currency 5 3 2 3 9" xfId="4655" xr:uid="{00000000-0005-0000-0000-0000C90C0000}"/>
    <cellStyle name="Currency 5 3 2 3 9 2" xfId="13105" xr:uid="{1786FE99-F36C-42EB-9B99-C9D1B7A13F00}"/>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596B9836-6F04-4AD9-ACD3-56C42FDAB10C}"/>
    <cellStyle name="Currency 5 3 2 4 2 3" xfId="11443" xr:uid="{452F8222-1F9D-4CF1-A005-526DCD18B03C}"/>
    <cellStyle name="Currency 5 3 2 4 3" xfId="5066" xr:uid="{00000000-0005-0000-0000-0000CD0C0000}"/>
    <cellStyle name="Currency 5 3 2 4 3 2" xfId="13516" xr:uid="{66791F9D-5364-4AA2-8A1C-CC60501151B1}"/>
    <cellStyle name="Currency 5 3 2 4 4" xfId="9298" xr:uid="{EB8ECEA7-DFF2-4E08-9BDA-D95A02565064}"/>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DE443FEB-FFE3-4F13-8354-983F0A799B69}"/>
    <cellStyle name="Currency 5 3 2 5 2 3" xfId="11856" xr:uid="{F7C29F22-47CF-4110-B752-7F0B458EB40C}"/>
    <cellStyle name="Currency 5 3 2 5 3" xfId="5479" xr:uid="{00000000-0005-0000-0000-0000D10C0000}"/>
    <cellStyle name="Currency 5 3 2 5 3 2" xfId="13929" xr:uid="{D54ADE03-BEA3-4599-8E90-B349FF925122}"/>
    <cellStyle name="Currency 5 3 2 5 4" xfId="9711" xr:uid="{4FAE4D53-BC02-470C-BE87-E6FC0CA07C11}"/>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943C8A1E-FE47-49AB-8561-1D9D869DE964}"/>
    <cellStyle name="Currency 5 3 2 6 2 3" xfId="12269" xr:uid="{8A6B0837-F99B-4EFB-912D-4485608EC6DA}"/>
    <cellStyle name="Currency 5 3 2 6 3" xfId="5892" xr:uid="{00000000-0005-0000-0000-0000D50C0000}"/>
    <cellStyle name="Currency 5 3 2 6 3 2" xfId="14342" xr:uid="{E5586B86-B82C-423F-99C6-ED2244765434}"/>
    <cellStyle name="Currency 5 3 2 6 4" xfId="10124" xr:uid="{0215E03F-CB0D-4DD3-AB78-96CEE1E9EF2A}"/>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CD26DD7B-2424-47DB-8575-88503A219709}"/>
    <cellStyle name="Currency 5 3 2 7 2 3" xfId="12682" xr:uid="{E48755FF-6D5A-4A84-A483-FCB1980C844D}"/>
    <cellStyle name="Currency 5 3 2 7 3" xfId="6305" xr:uid="{00000000-0005-0000-0000-0000D90C0000}"/>
    <cellStyle name="Currency 5 3 2 7 3 2" xfId="14755" xr:uid="{0B37F84A-EF13-48C7-B0F2-26D07BCCE7E6}"/>
    <cellStyle name="Currency 5 3 2 7 4" xfId="10537" xr:uid="{00FDBCA2-9976-4A55-907A-1868B3A03F6B}"/>
    <cellStyle name="Currency 5 3 2 8" xfId="2434" xr:uid="{00000000-0005-0000-0000-0000DA0C0000}"/>
    <cellStyle name="Currency 5 3 2 8 2" xfId="6718" xr:uid="{00000000-0005-0000-0000-0000DB0C0000}"/>
    <cellStyle name="Currency 5 3 2 8 2 2" xfId="15168" xr:uid="{A8ADB455-F35A-4CF6-BDC9-34EEF67BCF31}"/>
    <cellStyle name="Currency 5 3 2 8 3" xfId="10950" xr:uid="{9323A095-1C60-4EFA-A66B-C5905B894E6B}"/>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AAD38E27-5379-49A6-A8FA-761EFC1D9496}"/>
    <cellStyle name="Currency 5 3 3 11" xfId="8888" xr:uid="{01E2B83A-EE22-4FF0-88F9-E8F73871463F}"/>
    <cellStyle name="Currency 5 3 3 2" xfId="215" xr:uid="{00000000-0005-0000-0000-0000DF0C0000}"/>
    <cellStyle name="Currency 5 3 3 2 10" xfId="8889" xr:uid="{FC171BC7-3089-4E43-9809-DA83E522ADFA}"/>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49BE87BF-887C-4ADC-8E47-7C366A4A2431}"/>
    <cellStyle name="Currency 5 3 3 2 2 2 3" xfId="11448" xr:uid="{5A532750-EF09-467E-AD91-533C93B29875}"/>
    <cellStyle name="Currency 5 3 3 2 2 3" xfId="5071" xr:uid="{00000000-0005-0000-0000-0000E30C0000}"/>
    <cellStyle name="Currency 5 3 3 2 2 3 2" xfId="13521" xr:uid="{FA838488-E8BE-47CB-91C7-4E8806F5BB07}"/>
    <cellStyle name="Currency 5 3 3 2 2 4" xfId="9303" xr:uid="{FA045EC3-DAD0-4CA9-ACCB-B4E1C80EA9F6}"/>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21AB67B1-8C1D-4B93-A0A7-52C726B21D05}"/>
    <cellStyle name="Currency 5 3 3 2 3 2 3" xfId="11861" xr:uid="{D89A2969-FB12-43EB-B1A8-6F13C227375B}"/>
    <cellStyle name="Currency 5 3 3 2 3 3" xfId="5484" xr:uid="{00000000-0005-0000-0000-0000E70C0000}"/>
    <cellStyle name="Currency 5 3 3 2 3 3 2" xfId="13934" xr:uid="{C3D89927-7AAE-48CB-9574-80BA90BA8364}"/>
    <cellStyle name="Currency 5 3 3 2 3 4" xfId="9716" xr:uid="{BAFB537A-4B35-4528-94C1-FD84AE100C29}"/>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9012BC7F-0589-4CE2-B520-66FB5A136FC1}"/>
    <cellStyle name="Currency 5 3 3 2 4 2 3" xfId="12274" xr:uid="{F171D728-3465-4185-AEF5-F1C0669246A7}"/>
    <cellStyle name="Currency 5 3 3 2 4 3" xfId="5897" xr:uid="{00000000-0005-0000-0000-0000EB0C0000}"/>
    <cellStyle name="Currency 5 3 3 2 4 3 2" xfId="14347" xr:uid="{90278C8E-1DDA-47B8-B9A2-20EAAC9B16DC}"/>
    <cellStyle name="Currency 5 3 3 2 4 4" xfId="10129" xr:uid="{498F1353-E34A-4155-9703-DF17395BD33F}"/>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1CF3F000-CA59-486D-8B7A-2B8D7F43EF77}"/>
    <cellStyle name="Currency 5 3 3 2 5 2 3" xfId="12687" xr:uid="{FE8161BD-7796-4CDF-8056-C7D952A015CC}"/>
    <cellStyle name="Currency 5 3 3 2 5 3" xfId="6310" xr:uid="{00000000-0005-0000-0000-0000EF0C0000}"/>
    <cellStyle name="Currency 5 3 3 2 5 3 2" xfId="14760" xr:uid="{575635B2-A3A3-431A-AFD0-E6F583ABC029}"/>
    <cellStyle name="Currency 5 3 3 2 5 4" xfId="10542" xr:uid="{D86C9DA8-017C-4BC5-A7C6-3CD5693EF9B5}"/>
    <cellStyle name="Currency 5 3 3 2 6" xfId="2439" xr:uid="{00000000-0005-0000-0000-0000F00C0000}"/>
    <cellStyle name="Currency 5 3 3 2 6 2" xfId="6723" xr:uid="{00000000-0005-0000-0000-0000F10C0000}"/>
    <cellStyle name="Currency 5 3 3 2 6 2 2" xfId="15173" xr:uid="{F9EC6FED-983F-46AA-AB16-11089914EE40}"/>
    <cellStyle name="Currency 5 3 3 2 6 3" xfId="10955" xr:uid="{54B3140F-DB20-45C4-97C2-393AE81242E3}"/>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C974F55D-E3F3-4F72-9316-30C0ADFA06C0}"/>
    <cellStyle name="Currency 5 3 3 2 8 3" xfId="11272" xr:uid="{A4AAB438-F2F9-4BE9-A015-8396B2BEB8D9}"/>
    <cellStyle name="Currency 5 3 3 2 9" xfId="4657" xr:uid="{00000000-0005-0000-0000-0000F50C0000}"/>
    <cellStyle name="Currency 5 3 3 2 9 2" xfId="13107" xr:uid="{0C2167BA-88A6-43C3-B8F9-AE74C11CCB56}"/>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07ECDB9C-F3BF-47DC-B884-BC41B1EBA7D1}"/>
    <cellStyle name="Currency 5 3 3 3 2 3" xfId="11447" xr:uid="{05E4B7A9-AEAA-48AA-892B-97064100C660}"/>
    <cellStyle name="Currency 5 3 3 3 3" xfId="5070" xr:uid="{00000000-0005-0000-0000-0000F90C0000}"/>
    <cellStyle name="Currency 5 3 3 3 3 2" xfId="13520" xr:uid="{564C2FE1-10B8-4F2A-9297-D85B6F8A68DC}"/>
    <cellStyle name="Currency 5 3 3 3 4" xfId="9302" xr:uid="{5D346735-EBFF-4484-9A84-35E201745DE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49FE6310-D77D-4D35-BFDD-E3E0E3263910}"/>
    <cellStyle name="Currency 5 3 3 4 2 3" xfId="11860" xr:uid="{39586BD6-0772-4169-B6D4-931F9DE33C04}"/>
    <cellStyle name="Currency 5 3 3 4 3" xfId="5483" xr:uid="{00000000-0005-0000-0000-0000FD0C0000}"/>
    <cellStyle name="Currency 5 3 3 4 3 2" xfId="13933" xr:uid="{8CEDA35B-4B71-4532-9103-693454E80FA1}"/>
    <cellStyle name="Currency 5 3 3 4 4" xfId="9715" xr:uid="{CE2DE7FC-1C60-4863-9BD1-A4FCD7E62052}"/>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2505B090-A28C-4D5D-B6C6-91A7F05F161E}"/>
    <cellStyle name="Currency 5 3 3 5 2 3" xfId="12273" xr:uid="{AA67E0EC-78B7-4898-9F61-D48DB3B4A0D2}"/>
    <cellStyle name="Currency 5 3 3 5 3" xfId="5896" xr:uid="{00000000-0005-0000-0000-0000010D0000}"/>
    <cellStyle name="Currency 5 3 3 5 3 2" xfId="14346" xr:uid="{64515743-0F30-4820-9B28-04B7F18B70FB}"/>
    <cellStyle name="Currency 5 3 3 5 4" xfId="10128" xr:uid="{4D420326-E4B9-441B-8983-E8E6F3201972}"/>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83B93EBA-3883-4547-AE20-5039DB8D143E}"/>
    <cellStyle name="Currency 5 3 3 6 2 3" xfId="12686" xr:uid="{736D9379-B0A1-4251-9CAE-29A99335B3E4}"/>
    <cellStyle name="Currency 5 3 3 6 3" xfId="6309" xr:uid="{00000000-0005-0000-0000-0000050D0000}"/>
    <cellStyle name="Currency 5 3 3 6 3 2" xfId="14759" xr:uid="{509288A9-A19C-4EAA-93AC-C96B8EE012EA}"/>
    <cellStyle name="Currency 5 3 3 6 4" xfId="10541" xr:uid="{FFBD6013-E9C6-4771-93C5-C30015DE4B4D}"/>
    <cellStyle name="Currency 5 3 3 7" xfId="2438" xr:uid="{00000000-0005-0000-0000-0000060D0000}"/>
    <cellStyle name="Currency 5 3 3 7 2" xfId="6722" xr:uid="{00000000-0005-0000-0000-0000070D0000}"/>
    <cellStyle name="Currency 5 3 3 7 2 2" xfId="15172" xr:uid="{F43E4A79-1E84-4279-A0AA-123075A5EFE0}"/>
    <cellStyle name="Currency 5 3 3 7 3" xfId="10954" xr:uid="{9571E291-3E56-467E-A053-4A131CD4F6F3}"/>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6A7AB418-096B-4136-941F-2351147A9620}"/>
    <cellStyle name="Currency 5 3 3 9 3" xfId="11271" xr:uid="{002A4DF3-640F-4A28-8657-5DD3E01573B8}"/>
    <cellStyle name="Currency 5 3 4" xfId="216" xr:uid="{00000000-0005-0000-0000-00000B0D0000}"/>
    <cellStyle name="Currency 5 3 4 10" xfId="8890" xr:uid="{011C56B5-A6D0-434F-A93E-04B388A075DF}"/>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14252462-2F46-4253-BAB9-BF5A7F828D6B}"/>
    <cellStyle name="Currency 5 3 4 2 2 3" xfId="11449" xr:uid="{50915EA2-7642-41ED-A44A-B33946EFF606}"/>
    <cellStyle name="Currency 5 3 4 2 3" xfId="5072" xr:uid="{00000000-0005-0000-0000-00000F0D0000}"/>
    <cellStyle name="Currency 5 3 4 2 3 2" xfId="13522" xr:uid="{2086543B-B6F1-48B1-BE31-67603F13011F}"/>
    <cellStyle name="Currency 5 3 4 2 4" xfId="9304" xr:uid="{1FCBE8B4-6D3F-48F3-8C43-F33F7A743C88}"/>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89F9A60F-0CB7-4E43-8F36-00CE43C3A8AD}"/>
    <cellStyle name="Currency 5 3 4 3 2 3" xfId="11862" xr:uid="{84710E69-FA8E-4D6E-BC07-C83772015226}"/>
    <cellStyle name="Currency 5 3 4 3 3" xfId="5485" xr:uid="{00000000-0005-0000-0000-0000130D0000}"/>
    <cellStyle name="Currency 5 3 4 3 3 2" xfId="13935" xr:uid="{91556B36-4B5A-4E37-824B-4205F2D806E9}"/>
    <cellStyle name="Currency 5 3 4 3 4" xfId="9717" xr:uid="{AA733DF4-A72C-4F9E-AC79-47A9DD5B39E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8D946534-5DB1-4D66-9497-AA53192CF816}"/>
    <cellStyle name="Currency 5 3 4 4 2 3" xfId="12275" xr:uid="{EDE5A9F9-6DF6-4D20-8F35-C3CEF15AD89F}"/>
    <cellStyle name="Currency 5 3 4 4 3" xfId="5898" xr:uid="{00000000-0005-0000-0000-0000170D0000}"/>
    <cellStyle name="Currency 5 3 4 4 3 2" xfId="14348" xr:uid="{912BE1E4-A281-4BC9-B63B-E061810FB45A}"/>
    <cellStyle name="Currency 5 3 4 4 4" xfId="10130" xr:uid="{4B008BD1-0089-4E8B-AF0B-E464A8F44FB9}"/>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92FA7366-D18D-43D7-9FE5-F486CCB0CC16}"/>
    <cellStyle name="Currency 5 3 4 5 2 3" xfId="12688" xr:uid="{F14B308E-C93C-4A48-B6C2-9F873DBC4268}"/>
    <cellStyle name="Currency 5 3 4 5 3" xfId="6311" xr:uid="{00000000-0005-0000-0000-00001B0D0000}"/>
    <cellStyle name="Currency 5 3 4 5 3 2" xfId="14761" xr:uid="{F3C57325-65BC-478E-A65C-5A5BC6162D49}"/>
    <cellStyle name="Currency 5 3 4 5 4" xfId="10543" xr:uid="{77FBCA9B-EB96-4777-98C1-C387B337B976}"/>
    <cellStyle name="Currency 5 3 4 6" xfId="2440" xr:uid="{00000000-0005-0000-0000-00001C0D0000}"/>
    <cellStyle name="Currency 5 3 4 6 2" xfId="6724" xr:uid="{00000000-0005-0000-0000-00001D0D0000}"/>
    <cellStyle name="Currency 5 3 4 6 2 2" xfId="15174" xr:uid="{8F0FE03B-6B71-4783-9EC2-CAEDF78C1B71}"/>
    <cellStyle name="Currency 5 3 4 6 3" xfId="10956" xr:uid="{27DD3409-A29F-4CD3-9896-78E3B2F48C9A}"/>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A04850AA-0584-4221-ADB0-77BB60BCA476}"/>
    <cellStyle name="Currency 5 3 4 8 3" xfId="11273" xr:uid="{72B06A0F-C506-40E0-A2AD-BE786AF0985A}"/>
    <cellStyle name="Currency 5 3 4 9" xfId="4658" xr:uid="{00000000-0005-0000-0000-0000210D0000}"/>
    <cellStyle name="Currency 5 3 4 9 2" xfId="13108" xr:uid="{54040736-1125-49AF-B62E-1E185C9FBC8C}"/>
    <cellStyle name="Currency 5 3 5" xfId="217" xr:uid="{00000000-0005-0000-0000-0000220D0000}"/>
    <cellStyle name="Currency 5 3 5 10" xfId="8891" xr:uid="{9CCAF268-22DF-405D-B145-DFE6A4C6EF3F}"/>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DE7B6730-9D0C-4617-B3A2-22320409AACD}"/>
    <cellStyle name="Currency 5 3 5 2 2 3" xfId="11450" xr:uid="{37532880-EBF8-4420-B036-466560F48A94}"/>
    <cellStyle name="Currency 5 3 5 2 3" xfId="5073" xr:uid="{00000000-0005-0000-0000-0000260D0000}"/>
    <cellStyle name="Currency 5 3 5 2 3 2" xfId="13523" xr:uid="{5093DCE5-BEBB-46D2-B91E-F43E1648A5D2}"/>
    <cellStyle name="Currency 5 3 5 2 4" xfId="9305" xr:uid="{4F9FB0FA-6FDE-4D67-92BA-28B93F5267F3}"/>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792A478D-90CA-4CCD-B087-22049A13269D}"/>
    <cellStyle name="Currency 5 3 5 3 2 3" xfId="11863" xr:uid="{09F4BE2A-4310-45D3-A57E-236FA5D365D7}"/>
    <cellStyle name="Currency 5 3 5 3 3" xfId="5486" xr:uid="{00000000-0005-0000-0000-00002A0D0000}"/>
    <cellStyle name="Currency 5 3 5 3 3 2" xfId="13936" xr:uid="{84991F4B-A385-40E1-8D47-2E7DF4B2C675}"/>
    <cellStyle name="Currency 5 3 5 3 4" xfId="9718" xr:uid="{43390DA2-F19E-41C5-AA8E-ADC70BD60457}"/>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8BD6E95C-1770-464D-A2C0-882ECE059427}"/>
    <cellStyle name="Currency 5 3 5 4 2 3" xfId="12276" xr:uid="{8A150AAA-C91F-4828-B1A1-761C1955681E}"/>
    <cellStyle name="Currency 5 3 5 4 3" xfId="5899" xr:uid="{00000000-0005-0000-0000-00002E0D0000}"/>
    <cellStyle name="Currency 5 3 5 4 3 2" xfId="14349" xr:uid="{F85B9099-9CBD-42F0-A134-83715B680DF2}"/>
    <cellStyle name="Currency 5 3 5 4 4" xfId="10131" xr:uid="{8089135D-E26A-4C6A-87A7-BA9F46EF0533}"/>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FACEBC77-A5F8-412B-942F-76D3054A856D}"/>
    <cellStyle name="Currency 5 3 5 5 2 3" xfId="12689" xr:uid="{26330DB2-35ED-4A52-B4E8-68958C46A40F}"/>
    <cellStyle name="Currency 5 3 5 5 3" xfId="6312" xr:uid="{00000000-0005-0000-0000-0000320D0000}"/>
    <cellStyle name="Currency 5 3 5 5 3 2" xfId="14762" xr:uid="{821B6BEE-942C-4F99-9E36-01719BE42367}"/>
    <cellStyle name="Currency 5 3 5 5 4" xfId="10544" xr:uid="{65589D38-EC3D-4522-8637-3B28D6A039DF}"/>
    <cellStyle name="Currency 5 3 5 6" xfId="2441" xr:uid="{00000000-0005-0000-0000-0000330D0000}"/>
    <cellStyle name="Currency 5 3 5 6 2" xfId="6725" xr:uid="{00000000-0005-0000-0000-0000340D0000}"/>
    <cellStyle name="Currency 5 3 5 6 2 2" xfId="15175" xr:uid="{E4993F85-7B84-4316-B9AA-2DA83D92BC04}"/>
    <cellStyle name="Currency 5 3 5 6 3" xfId="10957" xr:uid="{501F6AB7-2613-4643-8F79-A4900E29A302}"/>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5FF48156-F082-4E80-B189-B6D6C845A250}"/>
    <cellStyle name="Currency 5 3 5 8 3" xfId="11274" xr:uid="{54D9861B-FC03-4927-998C-7ACA4379E8F5}"/>
    <cellStyle name="Currency 5 3 5 9" xfId="4659" xr:uid="{00000000-0005-0000-0000-0000380D0000}"/>
    <cellStyle name="Currency 5 3 5 9 2" xfId="13109" xr:uid="{FEC60509-1911-4640-A9CF-19F7467F2D4F}"/>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10CCF222-FFB0-4792-8E71-C2F774D6F465}"/>
    <cellStyle name="Currency 5 5 11" xfId="8892" xr:uid="{FC1D4DA5-A4E7-4DA2-B99F-6AEB6EA8141A}"/>
    <cellStyle name="Currency 5 5 2" xfId="220" xr:uid="{00000000-0005-0000-0000-00003D0D0000}"/>
    <cellStyle name="Currency 5 5 2 10" xfId="8893" xr:uid="{3EF1C3C4-2C2D-4CFF-A801-C1850B626E9D}"/>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851B143C-B364-4126-949A-564D8ED83D1F}"/>
    <cellStyle name="Currency 5 5 2 2 2 3" xfId="11452" xr:uid="{0A3D9E90-6BEF-4ED0-A721-CAAB5DFF22D5}"/>
    <cellStyle name="Currency 5 5 2 2 3" xfId="5075" xr:uid="{00000000-0005-0000-0000-0000410D0000}"/>
    <cellStyle name="Currency 5 5 2 2 3 2" xfId="13525" xr:uid="{B1370D8F-DEB7-4318-A344-BFFE34A2D44E}"/>
    <cellStyle name="Currency 5 5 2 2 4" xfId="9307" xr:uid="{282F824F-6513-454A-AA73-6DB66F5D4B2B}"/>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E74BC864-D479-44AD-A445-38B428667EF1}"/>
    <cellStyle name="Currency 5 5 2 3 2 3" xfId="11865" xr:uid="{CAF23999-D43E-4815-B801-7C40DE7D893E}"/>
    <cellStyle name="Currency 5 5 2 3 3" xfId="5488" xr:uid="{00000000-0005-0000-0000-0000450D0000}"/>
    <cellStyle name="Currency 5 5 2 3 3 2" xfId="13938" xr:uid="{8291F5BF-F624-40BC-928E-EC0F91AB5FD2}"/>
    <cellStyle name="Currency 5 5 2 3 4" xfId="9720" xr:uid="{2C9997B9-B1F8-4E8F-955F-02B7EC12176B}"/>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D2FEBEDF-ABB4-4BAE-B8D6-A8E244E4DFC3}"/>
    <cellStyle name="Currency 5 5 2 4 2 3" xfId="12278" xr:uid="{65DE6803-C9A8-4A8F-AA3B-749F64927056}"/>
    <cellStyle name="Currency 5 5 2 4 3" xfId="5901" xr:uid="{00000000-0005-0000-0000-0000490D0000}"/>
    <cellStyle name="Currency 5 5 2 4 3 2" xfId="14351" xr:uid="{EC00BB34-D010-469C-BF57-AD872FB78688}"/>
    <cellStyle name="Currency 5 5 2 4 4" xfId="10133" xr:uid="{EAADD5BA-AD9B-4209-8724-FEE18B51810F}"/>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68043F41-7C1B-470E-8509-C31641A47724}"/>
    <cellStyle name="Currency 5 5 2 5 2 3" xfId="12691" xr:uid="{C392F525-CC23-42A8-892A-993C7C0281AD}"/>
    <cellStyle name="Currency 5 5 2 5 3" xfId="6314" xr:uid="{00000000-0005-0000-0000-00004D0D0000}"/>
    <cellStyle name="Currency 5 5 2 5 3 2" xfId="14764" xr:uid="{F14969F5-FFA9-47C2-AA6C-FE72A27B304A}"/>
    <cellStyle name="Currency 5 5 2 5 4" xfId="10546" xr:uid="{DA657827-89D4-4D7F-A144-5709F4B7EACA}"/>
    <cellStyle name="Currency 5 5 2 6" xfId="2443" xr:uid="{00000000-0005-0000-0000-00004E0D0000}"/>
    <cellStyle name="Currency 5 5 2 6 2" xfId="6727" xr:uid="{00000000-0005-0000-0000-00004F0D0000}"/>
    <cellStyle name="Currency 5 5 2 6 2 2" xfId="15177" xr:uid="{17867163-0121-47D3-A48E-35C6A75E4FAA}"/>
    <cellStyle name="Currency 5 5 2 6 3" xfId="10959" xr:uid="{05F95FA8-C281-4084-94B7-097D53425ECC}"/>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461EAFA0-9380-462D-BAFE-BC3DC0CC5C45}"/>
    <cellStyle name="Currency 5 5 2 8 3" xfId="11276" xr:uid="{A0B3D0B2-7924-41CA-AE0F-47E5BBB1A710}"/>
    <cellStyle name="Currency 5 5 2 9" xfId="4661" xr:uid="{00000000-0005-0000-0000-0000530D0000}"/>
    <cellStyle name="Currency 5 5 2 9 2" xfId="13111" xr:uid="{A7B14CDC-33EA-4D90-8485-136B1565A1E2}"/>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3FD1655A-8145-4050-AE6E-8F4EA00E85F5}"/>
    <cellStyle name="Currency 5 5 3 2 3" xfId="11451" xr:uid="{77623303-2F3C-44A0-AAB2-47A5EBB1FDC4}"/>
    <cellStyle name="Currency 5 5 3 3" xfId="5074" xr:uid="{00000000-0005-0000-0000-0000570D0000}"/>
    <cellStyle name="Currency 5 5 3 3 2" xfId="13524" xr:uid="{FC381230-A94B-44CF-94D9-3FE4CEB5344A}"/>
    <cellStyle name="Currency 5 5 3 4" xfId="9306" xr:uid="{DE40E8A4-3EED-44E7-88B7-5B36903C577C}"/>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58093131-CEC7-4713-B95A-2C653CF8BC49}"/>
    <cellStyle name="Currency 5 5 4 2 3" xfId="11864" xr:uid="{0640C5DC-14DD-4C27-8F68-4E44A5EDAEE4}"/>
    <cellStyle name="Currency 5 5 4 3" xfId="5487" xr:uid="{00000000-0005-0000-0000-00005B0D0000}"/>
    <cellStyle name="Currency 5 5 4 3 2" xfId="13937" xr:uid="{61F41C16-1F5E-47C1-92EB-6A6F1C632FEA}"/>
    <cellStyle name="Currency 5 5 4 4" xfId="9719" xr:uid="{E1467518-C6FF-467F-B4B5-180C6395DEBB}"/>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844B03C8-3383-4264-BAB8-E824DA593DD4}"/>
    <cellStyle name="Currency 5 5 5 2 3" xfId="12277" xr:uid="{6B98D234-F4B9-4EC3-B7B0-3DA439932B59}"/>
    <cellStyle name="Currency 5 5 5 3" xfId="5900" xr:uid="{00000000-0005-0000-0000-00005F0D0000}"/>
    <cellStyle name="Currency 5 5 5 3 2" xfId="14350" xr:uid="{7C023790-4D0B-4C64-B5AE-3CDF4BCEC020}"/>
    <cellStyle name="Currency 5 5 5 4" xfId="10132" xr:uid="{4B7D0251-542A-4389-A9DC-95833BF8EF49}"/>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5608E855-A37B-425C-9345-FBB0E64D1F13}"/>
    <cellStyle name="Currency 5 5 6 2 3" xfId="12690" xr:uid="{159FD971-5B8B-4908-AE86-1930C46A443B}"/>
    <cellStyle name="Currency 5 5 6 3" xfId="6313" xr:uid="{00000000-0005-0000-0000-0000630D0000}"/>
    <cellStyle name="Currency 5 5 6 3 2" xfId="14763" xr:uid="{97048A20-9723-467D-827E-AB9EC7600BD6}"/>
    <cellStyle name="Currency 5 5 6 4" xfId="10545" xr:uid="{DBBA1ED6-4971-42DD-AC3A-9244276B63DD}"/>
    <cellStyle name="Currency 5 5 7" xfId="2442" xr:uid="{00000000-0005-0000-0000-0000640D0000}"/>
    <cellStyle name="Currency 5 5 7 2" xfId="6726" xr:uid="{00000000-0005-0000-0000-0000650D0000}"/>
    <cellStyle name="Currency 5 5 7 2 2" xfId="15176" xr:uid="{FD2B0048-A35C-44C6-ACD2-EDA12B7EA8BE}"/>
    <cellStyle name="Currency 5 5 7 3" xfId="10958" xr:uid="{E6FEC0E2-9D6B-4A03-AB34-AAF593D94B3B}"/>
    <cellStyle name="Currency 5 5 8" xfId="2739" xr:uid="{00000000-0005-0000-0000-0000660D0000}"/>
    <cellStyle name="Currency 5 5 9" xfId="2820" xr:uid="{00000000-0005-0000-0000-0000670D0000}"/>
    <cellStyle name="Currency 5 5 9 2" xfId="7043" xr:uid="{00000000-0005-0000-0000-0000680D0000}"/>
    <cellStyle name="Currency 5 5 9 2 2" xfId="15493" xr:uid="{1018A127-8264-47B9-9F0E-C8D1E02CFF9C}"/>
    <cellStyle name="Currency 5 5 9 3" xfId="11275" xr:uid="{43028752-42D4-44EE-8734-69B7459D09F5}"/>
    <cellStyle name="Currency 5 6" xfId="221" xr:uid="{00000000-0005-0000-0000-0000690D0000}"/>
    <cellStyle name="Currency 5 6 10" xfId="8894" xr:uid="{CE414E26-7BB1-4B96-B65E-B72C3FEE9554}"/>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5EC44D6C-E7DF-4AFE-BEED-D7E71E2E4704}"/>
    <cellStyle name="Currency 5 6 2 2 3" xfId="11453" xr:uid="{0D759F3A-CEDD-4C2C-88E6-1E48671A49DC}"/>
    <cellStyle name="Currency 5 6 2 3" xfId="5076" xr:uid="{00000000-0005-0000-0000-00006D0D0000}"/>
    <cellStyle name="Currency 5 6 2 3 2" xfId="13526" xr:uid="{F5F87F93-5E87-4211-98E3-336C7BD38624}"/>
    <cellStyle name="Currency 5 6 2 4" xfId="9308" xr:uid="{E0D5CFE9-9BE7-4007-95C5-E1C01AA3291B}"/>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DD057D12-C31E-4320-A448-71BC6E2CA851}"/>
    <cellStyle name="Currency 5 6 3 2 3" xfId="11866" xr:uid="{A26B3655-3DFC-4A9F-B541-25B5F4DBD828}"/>
    <cellStyle name="Currency 5 6 3 3" xfId="5489" xr:uid="{00000000-0005-0000-0000-0000710D0000}"/>
    <cellStyle name="Currency 5 6 3 3 2" xfId="13939" xr:uid="{40A655F6-ECAB-4D38-A119-BA4DCC604AD7}"/>
    <cellStyle name="Currency 5 6 3 4" xfId="9721" xr:uid="{045D7409-F6F0-4D9E-819E-B557A379DCDE}"/>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362D090F-BC78-4234-A36E-4A38B1DE7C3C}"/>
    <cellStyle name="Currency 5 6 4 2 3" xfId="12279" xr:uid="{1DEF8120-E6D0-4987-B70A-D6BF07271487}"/>
    <cellStyle name="Currency 5 6 4 3" xfId="5902" xr:uid="{00000000-0005-0000-0000-0000750D0000}"/>
    <cellStyle name="Currency 5 6 4 3 2" xfId="14352" xr:uid="{0A4FA3D7-E942-4622-8AFB-B68C4E15DBBE}"/>
    <cellStyle name="Currency 5 6 4 4" xfId="10134" xr:uid="{36AF550D-7881-4292-8C8A-8020AB74BC7C}"/>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F191C9DE-CC65-43C6-A23C-E1B068341143}"/>
    <cellStyle name="Currency 5 6 5 2 3" xfId="12692" xr:uid="{3ABD32AB-D71B-478E-B73F-1D897FED4ADE}"/>
    <cellStyle name="Currency 5 6 5 3" xfId="6315" xr:uid="{00000000-0005-0000-0000-0000790D0000}"/>
    <cellStyle name="Currency 5 6 5 3 2" xfId="14765" xr:uid="{14B6B661-4FBF-4F40-857E-312615560832}"/>
    <cellStyle name="Currency 5 6 5 4" xfId="10547" xr:uid="{5F167686-DE84-4C12-BA42-F271281CD768}"/>
    <cellStyle name="Currency 5 6 6" xfId="2444" xr:uid="{00000000-0005-0000-0000-00007A0D0000}"/>
    <cellStyle name="Currency 5 6 6 2" xfId="6728" xr:uid="{00000000-0005-0000-0000-00007B0D0000}"/>
    <cellStyle name="Currency 5 6 6 2 2" xfId="15178" xr:uid="{B4B5BDE5-E819-4E74-8E56-1E1B0267BF6F}"/>
    <cellStyle name="Currency 5 6 6 3" xfId="10960" xr:uid="{E23340D4-639F-44D9-8D34-BDA732E009F7}"/>
    <cellStyle name="Currency 5 6 7" xfId="2741" xr:uid="{00000000-0005-0000-0000-00007C0D0000}"/>
    <cellStyle name="Currency 5 6 8" xfId="2822" xr:uid="{00000000-0005-0000-0000-00007D0D0000}"/>
    <cellStyle name="Currency 5 6 8 2" xfId="7045" xr:uid="{00000000-0005-0000-0000-00007E0D0000}"/>
    <cellStyle name="Currency 5 6 8 2 2" xfId="15495" xr:uid="{8DBED9DB-07C3-4D6E-966B-D0C780968BEA}"/>
    <cellStyle name="Currency 5 6 8 3" xfId="11277" xr:uid="{580645F3-4FAC-423B-9FAE-DEB755809DB8}"/>
    <cellStyle name="Currency 5 6 9" xfId="4662" xr:uid="{00000000-0005-0000-0000-00007F0D0000}"/>
    <cellStyle name="Currency 5 6 9 2" xfId="13112" xr:uid="{E69C8FCF-AE98-4E88-96EE-873708AF5D9A}"/>
    <cellStyle name="Currency 5 7" xfId="222" xr:uid="{00000000-0005-0000-0000-0000800D0000}"/>
    <cellStyle name="Currency 5 7 10" xfId="8895" xr:uid="{DF7C31B3-DD9F-44A5-8415-F51F219E7D01}"/>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DF0756D0-91AE-4E1C-91A8-676C83EDE7F0}"/>
    <cellStyle name="Currency 5 7 2 2 3" xfId="11454" xr:uid="{933D0C33-7E7D-41E3-953E-1D463F2044A9}"/>
    <cellStyle name="Currency 5 7 2 3" xfId="5077" xr:uid="{00000000-0005-0000-0000-0000840D0000}"/>
    <cellStyle name="Currency 5 7 2 3 2" xfId="13527" xr:uid="{766F1C2A-22AB-4025-85D0-8169F555A56A}"/>
    <cellStyle name="Currency 5 7 2 4" xfId="9309" xr:uid="{297058FB-4D49-4629-904A-0A9096CD7460}"/>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AEED3A4D-A8E7-4075-938E-EC02AF9E193C}"/>
    <cellStyle name="Currency 5 7 3 2 3" xfId="11867" xr:uid="{D6658FE5-DEE4-4472-925A-C1BE557CEF33}"/>
    <cellStyle name="Currency 5 7 3 3" xfId="5490" xr:uid="{00000000-0005-0000-0000-0000880D0000}"/>
    <cellStyle name="Currency 5 7 3 3 2" xfId="13940" xr:uid="{07C49CBC-4177-4ACA-ABFF-3A856D8442FB}"/>
    <cellStyle name="Currency 5 7 3 4" xfId="9722" xr:uid="{295537C2-A048-4DBC-B774-2153FF9FAC5C}"/>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0AD95C19-8205-4BB6-828C-8E9EA4380F13}"/>
    <cellStyle name="Currency 5 7 4 2 3" xfId="12280" xr:uid="{D8BA5150-EB6C-4C0E-9331-7373485E5F3B}"/>
    <cellStyle name="Currency 5 7 4 3" xfId="5903" xr:uid="{00000000-0005-0000-0000-00008C0D0000}"/>
    <cellStyle name="Currency 5 7 4 3 2" xfId="14353" xr:uid="{904CE8AD-CB62-427B-A788-C40DBC91903D}"/>
    <cellStyle name="Currency 5 7 4 4" xfId="10135" xr:uid="{9502F7F7-4A1A-4645-B095-ACECF80F8B10}"/>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A6447250-95DB-46DC-8A14-4E4D16BF25DB}"/>
    <cellStyle name="Currency 5 7 5 2 3" xfId="12693" xr:uid="{54CA58BC-B1CD-439E-843E-0C95F9DE3CBD}"/>
    <cellStyle name="Currency 5 7 5 3" xfId="6316" xr:uid="{00000000-0005-0000-0000-0000900D0000}"/>
    <cellStyle name="Currency 5 7 5 3 2" xfId="14766" xr:uid="{E27293F7-CB82-44AE-9973-5FCDCC300308}"/>
    <cellStyle name="Currency 5 7 5 4" xfId="10548" xr:uid="{599BC388-405A-4A4B-BC32-3CD7A3BF7AA8}"/>
    <cellStyle name="Currency 5 7 6" xfId="2445" xr:uid="{00000000-0005-0000-0000-0000910D0000}"/>
    <cellStyle name="Currency 5 7 6 2" xfId="6729" xr:uid="{00000000-0005-0000-0000-0000920D0000}"/>
    <cellStyle name="Currency 5 7 6 2 2" xfId="15179" xr:uid="{98B6AC44-9FBA-43B8-B6A1-D66B51E0B3C4}"/>
    <cellStyle name="Currency 5 7 6 3" xfId="10961" xr:uid="{424AB09D-A03A-416F-A0EC-790991A50C19}"/>
    <cellStyle name="Currency 5 7 7" xfId="2742" xr:uid="{00000000-0005-0000-0000-0000930D0000}"/>
    <cellStyle name="Currency 5 7 8" xfId="2823" xr:uid="{00000000-0005-0000-0000-0000940D0000}"/>
    <cellStyle name="Currency 5 7 8 2" xfId="7046" xr:uid="{00000000-0005-0000-0000-0000950D0000}"/>
    <cellStyle name="Currency 5 7 8 2 2" xfId="15496" xr:uid="{68804E82-40FA-4B59-BBEB-987392CA329A}"/>
    <cellStyle name="Currency 5 7 8 3" xfId="11278" xr:uid="{4322EBA4-5885-406C-8D22-14C3A657D9C5}"/>
    <cellStyle name="Currency 5 7 9" xfId="4663" xr:uid="{00000000-0005-0000-0000-0000960D0000}"/>
    <cellStyle name="Currency 5 7 9 2" xfId="13113" xr:uid="{52C1E47A-3A42-4F68-BCCF-46691C16D67A}"/>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CBA01416-D93E-414F-938F-5B78C3510A17}"/>
    <cellStyle name="Normal 12 10 3" xfId="10962" xr:uid="{FA6BAD60-18A7-4E98-81A5-B3946271CEC2}"/>
    <cellStyle name="Normal 12 11" xfId="4664" xr:uid="{00000000-0005-0000-0000-0000CC0D0000}"/>
    <cellStyle name="Normal 12 11 2" xfId="13114" xr:uid="{66B27BC7-D3DD-405C-BED2-AC16353A0943}"/>
    <cellStyle name="Normal 12 12" xfId="8896" xr:uid="{F6AD5C79-213F-415E-B209-418DBD5A62E6}"/>
    <cellStyle name="Normal 12 2" xfId="260" xr:uid="{00000000-0005-0000-0000-0000CD0D0000}"/>
    <cellStyle name="Normal 12 2 10" xfId="8897" xr:uid="{84C0E515-AA4D-4314-B3DB-1E1A4C5E4B1C}"/>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2BF4CFBA-030B-4A02-A1FD-A6B617AC80A4}"/>
    <cellStyle name="Normal 12 2 2 2 2 2 3" xfId="11458" xr:uid="{118E6D14-1B46-4BA8-A4F0-7FB1C9944D96}"/>
    <cellStyle name="Normal 12 2 2 2 2 3" xfId="5081" xr:uid="{00000000-0005-0000-0000-0000D30D0000}"/>
    <cellStyle name="Normal 12 2 2 2 2 3 2" xfId="13531" xr:uid="{F093ECA6-4C03-4F73-A67B-EC262390FE37}"/>
    <cellStyle name="Normal 12 2 2 2 2 4" xfId="9313" xr:uid="{88C98D29-25E2-4C55-9762-675F111561B5}"/>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504FDC12-B784-4715-A816-1BD9474BF3F0}"/>
    <cellStyle name="Normal 12 2 2 2 3 2 3" xfId="11871" xr:uid="{B141C50B-5D2B-4673-BDA1-AE3A2B490515}"/>
    <cellStyle name="Normal 12 2 2 2 3 3" xfId="5494" xr:uid="{00000000-0005-0000-0000-0000D70D0000}"/>
    <cellStyle name="Normal 12 2 2 2 3 3 2" xfId="13944" xr:uid="{D251FD84-95B4-4D34-A0E7-2B2AA235F4B2}"/>
    <cellStyle name="Normal 12 2 2 2 3 4" xfId="9726" xr:uid="{A1CD574E-70AE-49DF-8E32-22D2E7DD5F83}"/>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D3DB8AB8-09A5-4D53-904B-502E0E59699C}"/>
    <cellStyle name="Normal 12 2 2 2 4 2 3" xfId="12284" xr:uid="{566AC4B3-22A2-4228-A244-A1290ADE148D}"/>
    <cellStyle name="Normal 12 2 2 2 4 3" xfId="5907" xr:uid="{00000000-0005-0000-0000-0000DB0D0000}"/>
    <cellStyle name="Normal 12 2 2 2 4 3 2" xfId="14357" xr:uid="{F380323A-155B-4105-B1EE-F60DFCCF7267}"/>
    <cellStyle name="Normal 12 2 2 2 4 4" xfId="10139" xr:uid="{2B11EBE3-62DC-4933-A514-5F87604E3560}"/>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651F45FF-0FC1-419D-8E7B-176921785142}"/>
    <cellStyle name="Normal 12 2 2 2 5 2 3" xfId="12697" xr:uid="{44331264-89E6-47A5-998D-D79F41E309D5}"/>
    <cellStyle name="Normal 12 2 2 2 5 3" xfId="6320" xr:uid="{00000000-0005-0000-0000-0000DF0D0000}"/>
    <cellStyle name="Normal 12 2 2 2 5 3 2" xfId="14770" xr:uid="{2344E1BD-C239-4746-9508-3263513BFFD4}"/>
    <cellStyle name="Normal 12 2 2 2 5 4" xfId="10552" xr:uid="{D162CEC6-6027-4CC3-94CE-E71E488AF1AB}"/>
    <cellStyle name="Normal 12 2 2 2 6" xfId="2450" xr:uid="{00000000-0005-0000-0000-0000E00D0000}"/>
    <cellStyle name="Normal 12 2 2 2 6 2" xfId="6733" xr:uid="{00000000-0005-0000-0000-0000E10D0000}"/>
    <cellStyle name="Normal 12 2 2 2 6 2 2" xfId="15183" xr:uid="{F1F9A712-8D95-471B-87BA-CF7B70D4184A}"/>
    <cellStyle name="Normal 12 2 2 2 6 3" xfId="10965" xr:uid="{4F57B97A-6B8D-429E-A0ED-EEB284EC0031}"/>
    <cellStyle name="Normal 12 2 2 2 7" xfId="4667" xr:uid="{00000000-0005-0000-0000-0000E20D0000}"/>
    <cellStyle name="Normal 12 2 2 2 7 2" xfId="13117" xr:uid="{6876E88D-04E6-4CD4-8AA4-180FDA0B21D4}"/>
    <cellStyle name="Normal 12 2 2 2 8" xfId="8899" xr:uid="{3E7A2218-86D2-4813-A309-5C930550A2F8}"/>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F7AF8EED-18F9-42BD-BB63-15CBD5DA38F6}"/>
    <cellStyle name="Normal 12 2 2 3 2 3" xfId="11457" xr:uid="{82FDDF83-4018-4EA0-888C-F2ECAE22210C}"/>
    <cellStyle name="Normal 12 2 2 3 3" xfId="5080" xr:uid="{00000000-0005-0000-0000-0000E60D0000}"/>
    <cellStyle name="Normal 12 2 2 3 3 2" xfId="13530" xr:uid="{A3EF8007-4DEA-470F-992D-7DADE9032629}"/>
    <cellStyle name="Normal 12 2 2 3 4" xfId="9312" xr:uid="{20C9D0ED-6C48-4A7B-B400-5C004FAFAA73}"/>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6A37663A-9200-426F-9834-572CDF8AFF59}"/>
    <cellStyle name="Normal 12 2 2 4 2 3" xfId="11870" xr:uid="{3FAF8CC9-8B80-4AB0-9999-AA06AF142C24}"/>
    <cellStyle name="Normal 12 2 2 4 3" xfId="5493" xr:uid="{00000000-0005-0000-0000-0000EA0D0000}"/>
    <cellStyle name="Normal 12 2 2 4 3 2" xfId="13943" xr:uid="{810AA1CD-467E-4A4F-A30A-82FF177E6D5D}"/>
    <cellStyle name="Normal 12 2 2 4 4" xfId="9725" xr:uid="{E0A038C6-E935-4ECF-8E2C-6C029A8E31D4}"/>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722F9057-DACA-4074-9295-7B715C522BED}"/>
    <cellStyle name="Normal 12 2 2 5 2 3" xfId="12283" xr:uid="{B4A586F7-79F1-474E-BCED-3BD2FE327A98}"/>
    <cellStyle name="Normal 12 2 2 5 3" xfId="5906" xr:uid="{00000000-0005-0000-0000-0000EE0D0000}"/>
    <cellStyle name="Normal 12 2 2 5 3 2" xfId="14356" xr:uid="{3FF02EAB-DC96-4F1A-B006-E5A78F7771BC}"/>
    <cellStyle name="Normal 12 2 2 5 4" xfId="10138" xr:uid="{621A307A-4940-436A-84B3-BABDFF1D7F1E}"/>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92E5B81E-87AA-4934-B42B-330828218C7F}"/>
    <cellStyle name="Normal 12 2 2 6 2 3" xfId="12696" xr:uid="{A7894DCA-554B-440A-9F48-9D4F66C3E200}"/>
    <cellStyle name="Normal 12 2 2 6 3" xfId="6319" xr:uid="{00000000-0005-0000-0000-0000F20D0000}"/>
    <cellStyle name="Normal 12 2 2 6 3 2" xfId="14769" xr:uid="{218D3AAE-0F66-4C11-AF7A-E2D09B042526}"/>
    <cellStyle name="Normal 12 2 2 6 4" xfId="10551" xr:uid="{9A561B18-3AB4-47AC-9489-BB250CC3B4DC}"/>
    <cellStyle name="Normal 12 2 2 7" xfId="2449" xr:uid="{00000000-0005-0000-0000-0000F30D0000}"/>
    <cellStyle name="Normal 12 2 2 7 2" xfId="6732" xr:uid="{00000000-0005-0000-0000-0000F40D0000}"/>
    <cellStyle name="Normal 12 2 2 7 2 2" xfId="15182" xr:uid="{20D12A95-4770-4C7B-BBC4-6A3501119538}"/>
    <cellStyle name="Normal 12 2 2 7 3" xfId="10964" xr:uid="{7F75A24E-9137-4211-8E00-3A30B72C9CEF}"/>
    <cellStyle name="Normal 12 2 2 8" xfId="4666" xr:uid="{00000000-0005-0000-0000-0000F50D0000}"/>
    <cellStyle name="Normal 12 2 2 8 2" xfId="13116" xr:uid="{DD035F3D-D1B9-4C2B-907F-5FE0DB761D3E}"/>
    <cellStyle name="Normal 12 2 2 9" xfId="8898" xr:uid="{8BD92907-D4EC-45AA-8BF2-8519BEFBB808}"/>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D1A7298B-9AC3-4D3C-B1EF-4BB57005940E}"/>
    <cellStyle name="Normal 12 2 3 2 2 3" xfId="11459" xr:uid="{2503C1CB-27F2-40DF-AF69-D3A097388A3B}"/>
    <cellStyle name="Normal 12 2 3 2 3" xfId="5082" xr:uid="{00000000-0005-0000-0000-0000FA0D0000}"/>
    <cellStyle name="Normal 12 2 3 2 3 2" xfId="13532" xr:uid="{735D9349-AD0C-46D0-9A9B-E2FA3182F1CF}"/>
    <cellStyle name="Normal 12 2 3 2 4" xfId="9314" xr:uid="{D3206EC0-0580-438A-A848-E95D893BA32E}"/>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1CF87A9E-AB91-4522-AF37-1F5770801B95}"/>
    <cellStyle name="Normal 12 2 3 3 2 3" xfId="11872" xr:uid="{2901EFEC-FADC-45E2-90ED-EF7F948DA3E4}"/>
    <cellStyle name="Normal 12 2 3 3 3" xfId="5495" xr:uid="{00000000-0005-0000-0000-0000FE0D0000}"/>
    <cellStyle name="Normal 12 2 3 3 3 2" xfId="13945" xr:uid="{7B8F624A-48C9-4CFB-8EE8-0DBC23F04864}"/>
    <cellStyle name="Normal 12 2 3 3 4" xfId="9727" xr:uid="{753DF079-D4E3-4930-8591-1A3E8E39007F}"/>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E017FED0-A0D7-42E3-AC38-F4401252870E}"/>
    <cellStyle name="Normal 12 2 3 4 2 3" xfId="12285" xr:uid="{200D335C-43EA-4E8D-81B0-449DB4FDD5F9}"/>
    <cellStyle name="Normal 12 2 3 4 3" xfId="5908" xr:uid="{00000000-0005-0000-0000-0000020E0000}"/>
    <cellStyle name="Normal 12 2 3 4 3 2" xfId="14358" xr:uid="{46F52056-BFD2-4481-AC02-DB441CA14C83}"/>
    <cellStyle name="Normal 12 2 3 4 4" xfId="10140" xr:uid="{8E63BC6E-C840-470F-90C0-D6FC54F89B2D}"/>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AD410F59-FDBD-4482-BC91-E72379B8865A}"/>
    <cellStyle name="Normal 12 2 3 5 2 3" xfId="12698" xr:uid="{BEDE6341-29D4-4FA4-B6A4-2F873A4E68A2}"/>
    <cellStyle name="Normal 12 2 3 5 3" xfId="6321" xr:uid="{00000000-0005-0000-0000-0000060E0000}"/>
    <cellStyle name="Normal 12 2 3 5 3 2" xfId="14771" xr:uid="{D634E29A-DDBA-4BC2-BA63-70506B3B20A9}"/>
    <cellStyle name="Normal 12 2 3 5 4" xfId="10553" xr:uid="{3FA4F2D9-3E1B-4EF8-8A14-4CB1BBE431C2}"/>
    <cellStyle name="Normal 12 2 3 6" xfId="2451" xr:uid="{00000000-0005-0000-0000-0000070E0000}"/>
    <cellStyle name="Normal 12 2 3 6 2" xfId="6734" xr:uid="{00000000-0005-0000-0000-0000080E0000}"/>
    <cellStyle name="Normal 12 2 3 6 2 2" xfId="15184" xr:uid="{EEB800CA-F3FA-4463-A2DB-A34BEB4F929E}"/>
    <cellStyle name="Normal 12 2 3 6 3" xfId="10966" xr:uid="{FC719F32-0F08-4D9C-A63C-D6671D2FFA8D}"/>
    <cellStyle name="Normal 12 2 3 7" xfId="4668" xr:uid="{00000000-0005-0000-0000-0000090E0000}"/>
    <cellStyle name="Normal 12 2 3 7 2" xfId="13118" xr:uid="{EF83F758-B683-454A-B71C-25C0B983577C}"/>
    <cellStyle name="Normal 12 2 3 8" xfId="8900" xr:uid="{1663E336-3292-446F-8216-2E860561A63F}"/>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E5DDCD92-5E85-4300-A47B-FB7AC2A2B469}"/>
    <cellStyle name="Normal 12 2 4 2 3" xfId="11456" xr:uid="{53668738-FF89-4B0C-B059-BDE41A88ABCF}"/>
    <cellStyle name="Normal 12 2 4 3" xfId="5079" xr:uid="{00000000-0005-0000-0000-00000D0E0000}"/>
    <cellStyle name="Normal 12 2 4 3 2" xfId="13529" xr:uid="{9A7A5DF8-1E75-4436-B0F8-354E217CE1F7}"/>
    <cellStyle name="Normal 12 2 4 4" xfId="9311" xr:uid="{BEC5ACAA-F17B-4955-BAF5-216A355A002B}"/>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0738F0E4-B736-4D71-BE88-C46E9DA6569D}"/>
    <cellStyle name="Normal 12 2 5 2 3" xfId="11869" xr:uid="{4FFEF4E7-CC14-4CC3-865E-8EC4B7E20BCC}"/>
    <cellStyle name="Normal 12 2 5 3" xfId="5492" xr:uid="{00000000-0005-0000-0000-0000110E0000}"/>
    <cellStyle name="Normal 12 2 5 3 2" xfId="13942" xr:uid="{0B89BE4F-058D-49BB-BCC4-7D08B0C4686F}"/>
    <cellStyle name="Normal 12 2 5 4" xfId="9724" xr:uid="{7DA0D8D5-7986-4C12-AF88-3CB3371817AE}"/>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D44433C2-DEC9-4886-84C5-1DAE31BC154F}"/>
    <cellStyle name="Normal 12 2 6 2 3" xfId="12282" xr:uid="{C2A8DDC2-99C2-4BF6-9E78-707D38CC0FA7}"/>
    <cellStyle name="Normal 12 2 6 3" xfId="5905" xr:uid="{00000000-0005-0000-0000-0000150E0000}"/>
    <cellStyle name="Normal 12 2 6 3 2" xfId="14355" xr:uid="{B91025A9-D50D-461D-80FE-A147757F254D}"/>
    <cellStyle name="Normal 12 2 6 4" xfId="10137" xr:uid="{483521B8-2C3A-4FA9-9986-62BAED58709F}"/>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57D7858B-5610-4E32-8867-F75AD3E0EAFB}"/>
    <cellStyle name="Normal 12 2 7 2 3" xfId="12695" xr:uid="{B0C29A54-352E-426E-8320-5C8AE61799F0}"/>
    <cellStyle name="Normal 12 2 7 3" xfId="6318" xr:uid="{00000000-0005-0000-0000-0000190E0000}"/>
    <cellStyle name="Normal 12 2 7 3 2" xfId="14768" xr:uid="{F31EFBDA-09A2-46A8-A68D-881B4040DCA8}"/>
    <cellStyle name="Normal 12 2 7 4" xfId="10550" xr:uid="{CBEF3185-9E0A-48BB-BD91-81077C56B3C7}"/>
    <cellStyle name="Normal 12 2 8" xfId="2448" xr:uid="{00000000-0005-0000-0000-00001A0E0000}"/>
    <cellStyle name="Normal 12 2 8 2" xfId="6731" xr:uid="{00000000-0005-0000-0000-00001B0E0000}"/>
    <cellStyle name="Normal 12 2 8 2 2" xfId="15181" xr:uid="{39D65631-0D0C-4A04-9EFD-12758463D325}"/>
    <cellStyle name="Normal 12 2 8 3" xfId="10963" xr:uid="{4C459956-1CEE-412C-928F-FAFB86D64E5F}"/>
    <cellStyle name="Normal 12 2 9" xfId="4665" xr:uid="{00000000-0005-0000-0000-00001C0E0000}"/>
    <cellStyle name="Normal 12 2 9 2" xfId="13115" xr:uid="{18F2E783-0D6F-42A9-B2EF-951E4A35143F}"/>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19897F2F-0A49-40AC-B336-305ACB25BAB4}"/>
    <cellStyle name="Normal 12 3 2 2 2 3" xfId="11461" xr:uid="{EA664EBE-60E9-40DD-97F4-6BFB9D04E81B}"/>
    <cellStyle name="Normal 12 3 2 2 3" xfId="5084" xr:uid="{00000000-0005-0000-0000-0000220E0000}"/>
    <cellStyle name="Normal 12 3 2 2 3 2" xfId="13534" xr:uid="{37946CF2-BEF5-4EDA-9492-CEF32C14E9BC}"/>
    <cellStyle name="Normal 12 3 2 2 4" xfId="9316" xr:uid="{1F5868ED-2367-4501-BB48-7CD71A134804}"/>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CA0B62EA-DE20-4F3A-949C-B9E62540C569}"/>
    <cellStyle name="Normal 12 3 2 3 2 3" xfId="11874" xr:uid="{FD710957-3374-41FD-8790-9754BB1377A6}"/>
    <cellStyle name="Normal 12 3 2 3 3" xfId="5497" xr:uid="{00000000-0005-0000-0000-0000260E0000}"/>
    <cellStyle name="Normal 12 3 2 3 3 2" xfId="13947" xr:uid="{0D4EF74C-3A5F-4D9E-A6FF-31B0A0787841}"/>
    <cellStyle name="Normal 12 3 2 3 4" xfId="9729" xr:uid="{C536A4BD-2F05-4728-972E-62CB54D4E95E}"/>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E88BB850-B7AC-491B-80FB-A902BE82328D}"/>
    <cellStyle name="Normal 12 3 2 4 2 3" xfId="12287" xr:uid="{345038EA-04DA-4A50-8DC2-186674C2F024}"/>
    <cellStyle name="Normal 12 3 2 4 3" xfId="5910" xr:uid="{00000000-0005-0000-0000-00002A0E0000}"/>
    <cellStyle name="Normal 12 3 2 4 3 2" xfId="14360" xr:uid="{6305FACA-9733-4B66-915C-5F6661F10752}"/>
    <cellStyle name="Normal 12 3 2 4 4" xfId="10142" xr:uid="{F98A4EA1-2657-4C2C-9ECA-A202F3219B00}"/>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EA557B69-863A-4E98-A045-264981138BE1}"/>
    <cellStyle name="Normal 12 3 2 5 2 3" xfId="12700" xr:uid="{04D2E921-B2B1-421E-829B-3738EBC58DCF}"/>
    <cellStyle name="Normal 12 3 2 5 3" xfId="6323" xr:uid="{00000000-0005-0000-0000-00002E0E0000}"/>
    <cellStyle name="Normal 12 3 2 5 3 2" xfId="14773" xr:uid="{3641A05D-DBF6-4AE9-9828-D7CA677A0E1B}"/>
    <cellStyle name="Normal 12 3 2 5 4" xfId="10555" xr:uid="{ADB656C3-DF9C-4E91-B6EB-AC0C29BD7C5C}"/>
    <cellStyle name="Normal 12 3 2 6" xfId="2453" xr:uid="{00000000-0005-0000-0000-00002F0E0000}"/>
    <cellStyle name="Normal 12 3 2 6 2" xfId="6736" xr:uid="{00000000-0005-0000-0000-0000300E0000}"/>
    <cellStyle name="Normal 12 3 2 6 2 2" xfId="15186" xr:uid="{8A066694-3798-47CE-9E6F-239F04527F21}"/>
    <cellStyle name="Normal 12 3 2 6 3" xfId="10968" xr:uid="{E001359A-70F5-4C97-94CE-EF1A754132AE}"/>
    <cellStyle name="Normal 12 3 2 7" xfId="4670" xr:uid="{00000000-0005-0000-0000-0000310E0000}"/>
    <cellStyle name="Normal 12 3 2 7 2" xfId="13120" xr:uid="{EE50C486-24B7-49C8-AEA0-BB251976131A}"/>
    <cellStyle name="Normal 12 3 2 8" xfId="8902" xr:uid="{447455A8-F07B-446D-B0B3-0F27A1131F12}"/>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2C6E5E63-D690-4571-9BA7-F3195859AAF3}"/>
    <cellStyle name="Normal 12 3 3 2 3" xfId="11460" xr:uid="{8A2A0180-2858-4FC8-9F4A-1EE009EF3435}"/>
    <cellStyle name="Normal 12 3 3 3" xfId="5083" xr:uid="{00000000-0005-0000-0000-0000350E0000}"/>
    <cellStyle name="Normal 12 3 3 3 2" xfId="13533" xr:uid="{8D953E4C-485C-48AA-AB5B-201EEA49FE94}"/>
    <cellStyle name="Normal 12 3 3 4" xfId="9315" xr:uid="{A1BA894E-9508-4B8A-9098-8F3D8C15FA4F}"/>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7FF91653-7938-4D8A-99BE-AC4BD00F355C}"/>
    <cellStyle name="Normal 12 3 4 2 3" xfId="11873" xr:uid="{763572C6-0777-4318-B677-305136C79EEB}"/>
    <cellStyle name="Normal 12 3 4 3" xfId="5496" xr:uid="{00000000-0005-0000-0000-0000390E0000}"/>
    <cellStyle name="Normal 12 3 4 3 2" xfId="13946" xr:uid="{0BCC53CB-E308-4E3B-B715-0D442CED2302}"/>
    <cellStyle name="Normal 12 3 4 4" xfId="9728" xr:uid="{64D971E1-4EC2-48C1-A7F4-B7959A4A88F9}"/>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EE8BB65C-8D4B-452C-806E-6E3AE7DA6812}"/>
    <cellStyle name="Normal 12 3 5 2 3" xfId="12286" xr:uid="{C2ED6945-17CF-4695-B2B8-285BF63BD885}"/>
    <cellStyle name="Normal 12 3 5 3" xfId="5909" xr:uid="{00000000-0005-0000-0000-00003D0E0000}"/>
    <cellStyle name="Normal 12 3 5 3 2" xfId="14359" xr:uid="{520F2910-4405-4D26-B15A-9E43061CAEC7}"/>
    <cellStyle name="Normal 12 3 5 4" xfId="10141" xr:uid="{5CB0FAE9-D4F8-44D2-8CA5-DEF62531CFB0}"/>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57F8BEDF-AACC-41F7-B27D-88E4ACE47E83}"/>
    <cellStyle name="Normal 12 3 6 2 3" xfId="12699" xr:uid="{05FA8FC4-168B-4236-8AE2-06925EA747F2}"/>
    <cellStyle name="Normal 12 3 6 3" xfId="6322" xr:uid="{00000000-0005-0000-0000-0000410E0000}"/>
    <cellStyle name="Normal 12 3 6 3 2" xfId="14772" xr:uid="{F7B53F9C-C0C6-477B-9844-B1A426C73013}"/>
    <cellStyle name="Normal 12 3 6 4" xfId="10554" xr:uid="{856382F8-5BA9-4630-8F13-3821BB6BEB59}"/>
    <cellStyle name="Normal 12 3 7" xfId="2452" xr:uid="{00000000-0005-0000-0000-0000420E0000}"/>
    <cellStyle name="Normal 12 3 7 2" xfId="6735" xr:uid="{00000000-0005-0000-0000-0000430E0000}"/>
    <cellStyle name="Normal 12 3 7 2 2" xfId="15185" xr:uid="{30839E04-BA2B-41D9-8871-26F30BEB68B7}"/>
    <cellStyle name="Normal 12 3 7 3" xfId="10967" xr:uid="{7AE142A3-8DED-4C1E-846E-CCD449C5917B}"/>
    <cellStyle name="Normal 12 3 8" xfId="4669" xr:uid="{00000000-0005-0000-0000-0000440E0000}"/>
    <cellStyle name="Normal 12 3 8 2" xfId="13119" xr:uid="{AA593C45-A6FE-426B-B1C0-D1CFC67042AD}"/>
    <cellStyle name="Normal 12 3 9" xfId="8901" xr:uid="{87F0ECAF-A9AF-4836-BA80-6317176865B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5425B8C4-23DF-4EE3-93C0-57B85645246F}"/>
    <cellStyle name="Normal 12 4 2 2 3" xfId="11462" xr:uid="{C7E7727A-95D8-4C2B-84F1-144170380430}"/>
    <cellStyle name="Normal 12 4 2 3" xfId="5085" xr:uid="{00000000-0005-0000-0000-0000490E0000}"/>
    <cellStyle name="Normal 12 4 2 3 2" xfId="13535" xr:uid="{ACBFF948-D799-4211-AB12-4A35F3B81075}"/>
    <cellStyle name="Normal 12 4 2 4" xfId="9317" xr:uid="{BCBF6CE0-DEA2-4E47-8E0B-F2A394406AC5}"/>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9BAE075F-3944-45C7-AE37-A5B4D6211C07}"/>
    <cellStyle name="Normal 12 4 3 2 3" xfId="11875" xr:uid="{DC052727-3D6F-4FDC-98A5-DE4BC80AF35F}"/>
    <cellStyle name="Normal 12 4 3 3" xfId="5498" xr:uid="{00000000-0005-0000-0000-00004D0E0000}"/>
    <cellStyle name="Normal 12 4 3 3 2" xfId="13948" xr:uid="{EB293E6B-6D83-499E-AFF2-6DAD9DCA7F33}"/>
    <cellStyle name="Normal 12 4 3 4" xfId="9730" xr:uid="{2B14903D-742C-4C8D-914C-ED29029BF831}"/>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289D1C3E-AAD4-4768-9A7A-2862D5C8078E}"/>
    <cellStyle name="Normal 12 4 4 2 3" xfId="12288" xr:uid="{0DA44BCC-3425-44E2-A42A-B23EAA2A7A87}"/>
    <cellStyle name="Normal 12 4 4 3" xfId="5911" xr:uid="{00000000-0005-0000-0000-0000510E0000}"/>
    <cellStyle name="Normal 12 4 4 3 2" xfId="14361" xr:uid="{87973B7A-5B76-43B5-9DF4-38B7BFDCBAC2}"/>
    <cellStyle name="Normal 12 4 4 4" xfId="10143" xr:uid="{56DF841C-3E04-43FF-A015-F1E10CA7F4D4}"/>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CAE22883-62BD-4A91-889F-BE04C36DBA4D}"/>
    <cellStyle name="Normal 12 4 5 2 3" xfId="12701" xr:uid="{2FBAF970-AB37-4ED4-80E1-1C40B2D94CEC}"/>
    <cellStyle name="Normal 12 4 5 3" xfId="6324" xr:uid="{00000000-0005-0000-0000-0000550E0000}"/>
    <cellStyle name="Normal 12 4 5 3 2" xfId="14774" xr:uid="{2A29B900-79EB-48A8-8D7C-C94C32D6FD2F}"/>
    <cellStyle name="Normal 12 4 5 4" xfId="10556" xr:uid="{6CD259A8-29EE-44D3-8176-8FA00866A1EA}"/>
    <cellStyle name="Normal 12 4 6" xfId="2454" xr:uid="{00000000-0005-0000-0000-0000560E0000}"/>
    <cellStyle name="Normal 12 4 6 2" xfId="6737" xr:uid="{00000000-0005-0000-0000-0000570E0000}"/>
    <cellStyle name="Normal 12 4 6 2 2" xfId="15187" xr:uid="{622E5C36-9D4B-4A67-9B80-778EDACC9691}"/>
    <cellStyle name="Normal 12 4 6 3" xfId="10969" xr:uid="{751E914B-464B-4146-A639-85972384EF7A}"/>
    <cellStyle name="Normal 12 4 7" xfId="4671" xr:uid="{00000000-0005-0000-0000-0000580E0000}"/>
    <cellStyle name="Normal 12 4 7 2" xfId="13121" xr:uid="{39437DF1-E284-469E-8312-AEC183DAEDFE}"/>
    <cellStyle name="Normal 12 4 8" xfId="8903" xr:uid="{6297FDE4-9ECC-439E-91DD-70F13E86DD28}"/>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883977AA-B803-4C5C-9F0B-286A4D9F174B}"/>
    <cellStyle name="Normal 12 6 2 3" xfId="11455" xr:uid="{FC26517D-EF8A-4066-B68F-EE0A85319991}"/>
    <cellStyle name="Normal 12 6 3" xfId="5078" xr:uid="{00000000-0005-0000-0000-00005D0E0000}"/>
    <cellStyle name="Normal 12 6 3 2" xfId="13528" xr:uid="{1FF23229-E78E-4CA4-A494-284644ED1542}"/>
    <cellStyle name="Normal 12 6 4" xfId="9310" xr:uid="{2926357D-0B14-430C-86E5-942C62E735AD}"/>
    <cellStyle name="Normal 12 7" xfId="1183" xr:uid="{00000000-0005-0000-0000-00005E0E0000}"/>
    <cellStyle name="Normal 12 7 2" xfId="3414" xr:uid="{00000000-0005-0000-0000-00005F0E0000}"/>
    <cellStyle name="Normal 12 7 2 2" xfId="7636" xr:uid="{00000000-0005-0000-0000-0000600E0000}"/>
    <cellStyle name="Normal 12 7 2 2 2" xfId="16086" xr:uid="{F847E2F2-620C-4BAB-9839-6EE136EBA82E}"/>
    <cellStyle name="Normal 12 7 2 3" xfId="11868" xr:uid="{A8C56FEC-BEBD-4D0B-B190-D4C39A90398F}"/>
    <cellStyle name="Normal 12 7 3" xfId="5491" xr:uid="{00000000-0005-0000-0000-0000610E0000}"/>
    <cellStyle name="Normal 12 7 3 2" xfId="13941" xr:uid="{026640F0-F22E-4CB8-B690-6C383631A873}"/>
    <cellStyle name="Normal 12 7 4" xfId="9723" xr:uid="{A126FDF6-6547-444B-826C-AC7379B74928}"/>
    <cellStyle name="Normal 12 8" xfId="1597" xr:uid="{00000000-0005-0000-0000-0000620E0000}"/>
    <cellStyle name="Normal 12 8 2" xfId="3827" xr:uid="{00000000-0005-0000-0000-0000630E0000}"/>
    <cellStyle name="Normal 12 8 2 2" xfId="8049" xr:uid="{00000000-0005-0000-0000-0000640E0000}"/>
    <cellStyle name="Normal 12 8 2 2 2" xfId="16499" xr:uid="{744C9840-5A81-4B78-8E03-6EA396BD0721}"/>
    <cellStyle name="Normal 12 8 2 3" xfId="12281" xr:uid="{A9AAE1E4-652D-40B6-9C58-E6B4E5D003E0}"/>
    <cellStyle name="Normal 12 8 3" xfId="5904" xr:uid="{00000000-0005-0000-0000-0000650E0000}"/>
    <cellStyle name="Normal 12 8 3 2" xfId="14354" xr:uid="{B5E8EA23-3D9E-462C-AEBE-13FEA35B1017}"/>
    <cellStyle name="Normal 12 8 4" xfId="10136" xr:uid="{FC3BBC4A-DF84-4B4D-9194-C754FF7DAF1B}"/>
    <cellStyle name="Normal 12 9" xfId="2011" xr:uid="{00000000-0005-0000-0000-0000660E0000}"/>
    <cellStyle name="Normal 12 9 2" xfId="4240" xr:uid="{00000000-0005-0000-0000-0000670E0000}"/>
    <cellStyle name="Normal 12 9 2 2" xfId="8462" xr:uid="{00000000-0005-0000-0000-0000680E0000}"/>
    <cellStyle name="Normal 12 9 2 2 2" xfId="16912" xr:uid="{85FA1EBE-2BA9-4B45-8CB6-9F4C1A54A097}"/>
    <cellStyle name="Normal 12 9 2 3" xfId="12694" xr:uid="{19D7F795-16FD-4223-9319-4C38A1547CD3}"/>
    <cellStyle name="Normal 12 9 3" xfId="6317" xr:uid="{00000000-0005-0000-0000-0000690E0000}"/>
    <cellStyle name="Normal 12 9 3 2" xfId="14767" xr:uid="{C3F3AF9B-74FA-4A5E-B3DF-271975C4EBB5}"/>
    <cellStyle name="Normal 12 9 4" xfId="10549" xr:uid="{C01AECEA-BC89-40F4-8529-841CA3C479BE}"/>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C7BE6725-977B-4BCE-9AAE-F73DBE32E47C}"/>
    <cellStyle name="Normal 14 2 2 3" xfId="11463" xr:uid="{07143382-BC89-4320-939C-255115D56C4A}"/>
    <cellStyle name="Normal 14 2 3" xfId="5086" xr:uid="{00000000-0005-0000-0000-0000700E0000}"/>
    <cellStyle name="Normal 14 2 3 2" xfId="13536" xr:uid="{8ED17AC3-AD72-4F99-A110-309A585805DB}"/>
    <cellStyle name="Normal 14 2 4" xfId="9318" xr:uid="{CBD8F414-0092-4235-AEFA-DCF562F245DA}"/>
    <cellStyle name="Normal 14 3" xfId="1191" xr:uid="{00000000-0005-0000-0000-0000710E0000}"/>
    <cellStyle name="Normal 14 3 2" xfId="3422" xr:uid="{00000000-0005-0000-0000-0000720E0000}"/>
    <cellStyle name="Normal 14 3 2 2" xfId="7644" xr:uid="{00000000-0005-0000-0000-0000730E0000}"/>
    <cellStyle name="Normal 14 3 2 2 2" xfId="16094" xr:uid="{174D4E81-72A1-4EA2-89B7-A71F5F1238D3}"/>
    <cellStyle name="Normal 14 3 2 3" xfId="11876" xr:uid="{3AE61B1E-8C0D-4109-8288-6472C38AF2D8}"/>
    <cellStyle name="Normal 14 3 3" xfId="5499" xr:uid="{00000000-0005-0000-0000-0000740E0000}"/>
    <cellStyle name="Normal 14 3 3 2" xfId="13949" xr:uid="{B29BE350-6BC3-4E4B-BD32-A2EF44FAD1A4}"/>
    <cellStyle name="Normal 14 3 4" xfId="9731" xr:uid="{55A20A10-8721-4350-9467-7691FDC7AA40}"/>
    <cellStyle name="Normal 14 4" xfId="1605" xr:uid="{00000000-0005-0000-0000-0000750E0000}"/>
    <cellStyle name="Normal 14 4 2" xfId="3835" xr:uid="{00000000-0005-0000-0000-0000760E0000}"/>
    <cellStyle name="Normal 14 4 2 2" xfId="8057" xr:uid="{00000000-0005-0000-0000-0000770E0000}"/>
    <cellStyle name="Normal 14 4 2 2 2" xfId="16507" xr:uid="{56EB32E7-3876-4802-B4DD-0F7F994465C3}"/>
    <cellStyle name="Normal 14 4 2 3" xfId="12289" xr:uid="{F7BE763C-C43D-4BEB-B537-2C801404EDFC}"/>
    <cellStyle name="Normal 14 4 3" xfId="5912" xr:uid="{00000000-0005-0000-0000-0000780E0000}"/>
    <cellStyle name="Normal 14 4 3 2" xfId="14362" xr:uid="{FFD45C86-F11A-4C4E-A8F7-DC33B4031387}"/>
    <cellStyle name="Normal 14 4 4" xfId="10144" xr:uid="{D5D412E3-2F6E-499D-9A85-D8C8F5393FCC}"/>
    <cellStyle name="Normal 14 5" xfId="2019" xr:uid="{00000000-0005-0000-0000-0000790E0000}"/>
    <cellStyle name="Normal 14 5 2" xfId="4248" xr:uid="{00000000-0005-0000-0000-00007A0E0000}"/>
    <cellStyle name="Normal 14 5 2 2" xfId="8470" xr:uid="{00000000-0005-0000-0000-00007B0E0000}"/>
    <cellStyle name="Normal 14 5 2 2 2" xfId="16920" xr:uid="{4DE4EBB3-DFFC-4388-9BAC-6459AAAAA5ED}"/>
    <cellStyle name="Normal 14 5 2 3" xfId="12702" xr:uid="{0B7A162C-AE69-4F62-9FD7-53363B3FB5EC}"/>
    <cellStyle name="Normal 14 5 3" xfId="6325" xr:uid="{00000000-0005-0000-0000-00007C0E0000}"/>
    <cellStyle name="Normal 14 5 3 2" xfId="14775" xr:uid="{15C0BAB9-8D2F-4C5B-BE6F-652FFCBD07E6}"/>
    <cellStyle name="Normal 14 5 4" xfId="10557" xr:uid="{450D2839-361B-4D22-8DE3-DF7135DDE025}"/>
    <cellStyle name="Normal 14 6" xfId="2455" xr:uid="{00000000-0005-0000-0000-00007D0E0000}"/>
    <cellStyle name="Normal 14 6 2" xfId="6738" xr:uid="{00000000-0005-0000-0000-00007E0E0000}"/>
    <cellStyle name="Normal 14 6 2 2" xfId="15188" xr:uid="{E6201B1D-603D-4C51-AC92-B38585DE2303}"/>
    <cellStyle name="Normal 14 6 3" xfId="10970" xr:uid="{8FBE5614-DD06-4832-8A9D-4F84B0E71F8D}"/>
    <cellStyle name="Normal 14 7" xfId="4672" xr:uid="{00000000-0005-0000-0000-00007F0E0000}"/>
    <cellStyle name="Normal 14 7 2" xfId="13122" xr:uid="{0B4A2A99-6BAE-4548-95C0-7CE9A1505152}"/>
    <cellStyle name="Normal 14 8" xfId="8904" xr:uid="{550345FE-DBE5-4EDA-9916-0494F57A7CE5}"/>
    <cellStyle name="Normal 15" xfId="4496" xr:uid="{00000000-0005-0000-0000-0000800E0000}"/>
    <cellStyle name="Normal 15 2" xfId="12948" xr:uid="{AE58E294-A8C3-4515-B6DF-94AB2E6B5F6F}"/>
    <cellStyle name="Normal 16" xfId="4500" xr:uid="{00000000-0005-0000-0000-0000810E0000}"/>
    <cellStyle name="Normal 16 2" xfId="8715" xr:uid="{00000000-0005-0000-0000-0000820E0000}"/>
    <cellStyle name="Normal 16 2 2" xfId="17165" xr:uid="{63E9566A-B25B-43D0-BFD0-B8B7552EE8BD}"/>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6F80D440-E4A5-4217-B3DE-150A00C0E075}"/>
    <cellStyle name="Normal 16 3 2 2 2 3" xfId="17178" xr:uid="{8FF53EE6-724F-4FA9-848B-7882A8540729}"/>
    <cellStyle name="Normal 16 3 2 2 3" xfId="17174" xr:uid="{204BDF19-C3BE-4E1E-B267-8C80563F4CE1}"/>
    <cellStyle name="Normal 16 3 2 3" xfId="17171" xr:uid="{D362D4C6-76B6-4AEA-8DF0-7B8D13B925DB}"/>
    <cellStyle name="Normal 16 3 3" xfId="17168" xr:uid="{CD1D9F9C-D59D-42FF-8E68-1B3CDC29A7EF}"/>
    <cellStyle name="Normal 16 4" xfId="12951" xr:uid="{1709A24A-E671-44DA-A93D-74B2041D471B}"/>
    <cellStyle name="Normal 17" xfId="8728" xr:uid="{3FF0972C-833B-4475-99D8-1A6907499E71}"/>
    <cellStyle name="Normal 17 2" xfId="17177" xr:uid="{91E915B5-1A3F-499D-922B-27C670BE650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CD5BCC0F-ADC3-4DCB-9E57-5262FD07706A}"/>
    <cellStyle name="Normal 2 4 2 10 2 3" xfId="12703" xr:uid="{193FAFD6-C85B-4275-B512-DD6DDA6802A9}"/>
    <cellStyle name="Normal 2 4 2 10 3" xfId="6326" xr:uid="{00000000-0005-0000-0000-0000910E0000}"/>
    <cellStyle name="Normal 2 4 2 10 3 2" xfId="14776" xr:uid="{6AE83334-C119-4ED4-93F1-EE5522017383}"/>
    <cellStyle name="Normal 2 4 2 10 4" xfId="10558" xr:uid="{F51E6DDD-DE0A-462C-8B97-084C0FDA1EB2}"/>
    <cellStyle name="Normal 2 4 2 11" xfId="2456" xr:uid="{00000000-0005-0000-0000-0000920E0000}"/>
    <cellStyle name="Normal 2 4 2 11 2" xfId="6739" xr:uid="{00000000-0005-0000-0000-0000930E0000}"/>
    <cellStyle name="Normal 2 4 2 11 2 2" xfId="15189" xr:uid="{5AF86942-43A7-464B-A7F8-0A251477F5A7}"/>
    <cellStyle name="Normal 2 4 2 11 3" xfId="10971" xr:uid="{759A8A33-BB01-47DE-8E54-6138E11018A6}"/>
    <cellStyle name="Normal 2 4 2 12" xfId="4673" xr:uid="{00000000-0005-0000-0000-0000940E0000}"/>
    <cellStyle name="Normal 2 4 2 12 2" xfId="13123" xr:uid="{CF24F2C6-5E58-4F68-AF22-6CEFECEEB337}"/>
    <cellStyle name="Normal 2 4 2 13" xfId="8905" xr:uid="{180A944F-1714-48C0-BAB8-F6986ADDA5B4}"/>
    <cellStyle name="Normal 2 4 2 2" xfId="280" xr:uid="{00000000-0005-0000-0000-0000950E0000}"/>
    <cellStyle name="Normal 2 4 2 3" xfId="281" xr:uid="{00000000-0005-0000-0000-0000960E0000}"/>
    <cellStyle name="Normal 2 4 2 3 10" xfId="4674" xr:uid="{00000000-0005-0000-0000-0000970E0000}"/>
    <cellStyle name="Normal 2 4 2 3 10 2" xfId="13124" xr:uid="{2EA9EBDD-3627-43E6-9E4E-60E6E197A0BB}"/>
    <cellStyle name="Normal 2 4 2 3 11" xfId="8906" xr:uid="{9F9642FB-A535-4AAC-B80B-1CCEAD217B45}"/>
    <cellStyle name="Normal 2 4 2 3 2" xfId="282" xr:uid="{00000000-0005-0000-0000-0000980E0000}"/>
    <cellStyle name="Normal 2 4 2 3 2 10" xfId="8907" xr:uid="{8AF4268D-FD7F-4FFD-AD67-A42B8062D11B}"/>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E7F319DA-CFD7-42B7-8472-D5720B3B4546}"/>
    <cellStyle name="Normal 2 4 2 3 2 2 2 2 2 3" xfId="11468" xr:uid="{A148105B-0F10-413A-8B84-711B0CCD52F5}"/>
    <cellStyle name="Normal 2 4 2 3 2 2 2 2 3" xfId="5091" xr:uid="{00000000-0005-0000-0000-00009E0E0000}"/>
    <cellStyle name="Normal 2 4 2 3 2 2 2 2 3 2" xfId="13541" xr:uid="{ECE1E089-E84F-4188-AD7C-AE297227FC17}"/>
    <cellStyle name="Normal 2 4 2 3 2 2 2 2 4" xfId="9323" xr:uid="{00AB380A-CCB6-4F52-A3CE-1E8A1550E4AD}"/>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F436D75C-C299-4DA9-A27A-B477637FFE6C}"/>
    <cellStyle name="Normal 2 4 2 3 2 2 2 3 2 3" xfId="11881" xr:uid="{BCBB6D2E-3631-4808-A284-381D1B02EB45}"/>
    <cellStyle name="Normal 2 4 2 3 2 2 2 3 3" xfId="5504" xr:uid="{00000000-0005-0000-0000-0000A20E0000}"/>
    <cellStyle name="Normal 2 4 2 3 2 2 2 3 3 2" xfId="13954" xr:uid="{C3743F92-F818-4610-872D-F3AB3A3094A4}"/>
    <cellStyle name="Normal 2 4 2 3 2 2 2 3 4" xfId="9736" xr:uid="{B7541B18-0EA7-40E9-820F-26F76E31AD02}"/>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2E418DE1-F6A1-4C35-9544-FAADBB81C588}"/>
    <cellStyle name="Normal 2 4 2 3 2 2 2 4 2 3" xfId="12294" xr:uid="{F411BDF4-0770-4CE4-9886-6355A469A524}"/>
    <cellStyle name="Normal 2 4 2 3 2 2 2 4 3" xfId="5917" xr:uid="{00000000-0005-0000-0000-0000A60E0000}"/>
    <cellStyle name="Normal 2 4 2 3 2 2 2 4 3 2" xfId="14367" xr:uid="{BA38A7F9-3FAC-49D9-8020-985BBB500BA4}"/>
    <cellStyle name="Normal 2 4 2 3 2 2 2 4 4" xfId="10149" xr:uid="{B0502595-BE1E-436E-BEAC-2E1C8795E474}"/>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26D5B919-E250-4857-A5E6-CC80AC1D1CF0}"/>
    <cellStyle name="Normal 2 4 2 3 2 2 2 5 2 3" xfId="12707" xr:uid="{FDACF351-EA28-4D2A-A998-CE60340B5561}"/>
    <cellStyle name="Normal 2 4 2 3 2 2 2 5 3" xfId="6330" xr:uid="{00000000-0005-0000-0000-0000AA0E0000}"/>
    <cellStyle name="Normal 2 4 2 3 2 2 2 5 3 2" xfId="14780" xr:uid="{A6959624-5B59-4AFD-BFD8-A98192CDEC1D}"/>
    <cellStyle name="Normal 2 4 2 3 2 2 2 5 4" xfId="10562" xr:uid="{17528950-080E-46AB-9E8B-445506FA6571}"/>
    <cellStyle name="Normal 2 4 2 3 2 2 2 6" xfId="2460" xr:uid="{00000000-0005-0000-0000-0000AB0E0000}"/>
    <cellStyle name="Normal 2 4 2 3 2 2 2 6 2" xfId="6743" xr:uid="{00000000-0005-0000-0000-0000AC0E0000}"/>
    <cellStyle name="Normal 2 4 2 3 2 2 2 6 2 2" xfId="15193" xr:uid="{A97FF022-9A22-4EED-B488-CC25F1A1531B}"/>
    <cellStyle name="Normal 2 4 2 3 2 2 2 6 3" xfId="10975" xr:uid="{BAB4CC6B-F2DA-47E0-954E-D2ADCFFE22E9}"/>
    <cellStyle name="Normal 2 4 2 3 2 2 2 7" xfId="4677" xr:uid="{00000000-0005-0000-0000-0000AD0E0000}"/>
    <cellStyle name="Normal 2 4 2 3 2 2 2 7 2" xfId="13127" xr:uid="{3DE382B3-F163-40EF-9772-3B5634459F6D}"/>
    <cellStyle name="Normal 2 4 2 3 2 2 2 8" xfId="8909" xr:uid="{3F53C1B0-1D84-4255-A745-B81B5E5F654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CD46DAEE-2E67-43D5-BAE3-0BB240274F5B}"/>
    <cellStyle name="Normal 2 4 2 3 2 2 3 2 3" xfId="11467" xr:uid="{03CD06A7-9787-4F20-A3C8-55CE2289CDBC}"/>
    <cellStyle name="Normal 2 4 2 3 2 2 3 3" xfId="5090" xr:uid="{00000000-0005-0000-0000-0000B10E0000}"/>
    <cellStyle name="Normal 2 4 2 3 2 2 3 3 2" xfId="13540" xr:uid="{61848827-FFFC-4AD8-AF8D-941D655F1935}"/>
    <cellStyle name="Normal 2 4 2 3 2 2 3 4" xfId="9322" xr:uid="{5DC31EFD-EBB1-4901-BEB6-807EA9BC148C}"/>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5B207D0F-4323-49AE-9F8D-83DAA0FB3E63}"/>
    <cellStyle name="Normal 2 4 2 3 2 2 4 2 3" xfId="11880" xr:uid="{52563573-4683-4CA9-9E94-25AA22F31ED2}"/>
    <cellStyle name="Normal 2 4 2 3 2 2 4 3" xfId="5503" xr:uid="{00000000-0005-0000-0000-0000B50E0000}"/>
    <cellStyle name="Normal 2 4 2 3 2 2 4 3 2" xfId="13953" xr:uid="{92BD6992-D0B1-45E5-8C96-29E6C9F32A35}"/>
    <cellStyle name="Normal 2 4 2 3 2 2 4 4" xfId="9735" xr:uid="{5F9D27AC-DB0A-4AA7-A00E-5B5A74EDC259}"/>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5E860472-BAA5-4AE3-BA5B-7EB0C88DE690}"/>
    <cellStyle name="Normal 2 4 2 3 2 2 5 2 3" xfId="12293" xr:uid="{BBD501AB-EFB8-4F12-A012-C6E5DE61B8E8}"/>
    <cellStyle name="Normal 2 4 2 3 2 2 5 3" xfId="5916" xr:uid="{00000000-0005-0000-0000-0000B90E0000}"/>
    <cellStyle name="Normal 2 4 2 3 2 2 5 3 2" xfId="14366" xr:uid="{28348D3B-E3BB-4C4E-95BE-671CA8044213}"/>
    <cellStyle name="Normal 2 4 2 3 2 2 5 4" xfId="10148" xr:uid="{823BDFC2-D1B3-46BE-B463-CDD6103C36BF}"/>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89B70821-474C-4015-93CD-8F3A5FAD0D23}"/>
    <cellStyle name="Normal 2 4 2 3 2 2 6 2 3" xfId="12706" xr:uid="{283BB480-9FD3-4E45-A0C7-902037616CA2}"/>
    <cellStyle name="Normal 2 4 2 3 2 2 6 3" xfId="6329" xr:uid="{00000000-0005-0000-0000-0000BD0E0000}"/>
    <cellStyle name="Normal 2 4 2 3 2 2 6 3 2" xfId="14779" xr:uid="{ADBFD52A-7E86-424C-92D9-A131C3DB2181}"/>
    <cellStyle name="Normal 2 4 2 3 2 2 6 4" xfId="10561" xr:uid="{CBC59227-790C-4D47-9CBC-CFC5319CF2EC}"/>
    <cellStyle name="Normal 2 4 2 3 2 2 7" xfId="2459" xr:uid="{00000000-0005-0000-0000-0000BE0E0000}"/>
    <cellStyle name="Normal 2 4 2 3 2 2 7 2" xfId="6742" xr:uid="{00000000-0005-0000-0000-0000BF0E0000}"/>
    <cellStyle name="Normal 2 4 2 3 2 2 7 2 2" xfId="15192" xr:uid="{120DC6FC-D26E-48A1-A859-A01F4108FB4C}"/>
    <cellStyle name="Normal 2 4 2 3 2 2 7 3" xfId="10974" xr:uid="{03E87430-BD1B-489D-89BC-3E6D588DA181}"/>
    <cellStyle name="Normal 2 4 2 3 2 2 8" xfId="4676" xr:uid="{00000000-0005-0000-0000-0000C00E0000}"/>
    <cellStyle name="Normal 2 4 2 3 2 2 8 2" xfId="13126" xr:uid="{38427D96-1272-47BA-AEC2-9179AB72FC2A}"/>
    <cellStyle name="Normal 2 4 2 3 2 2 9" xfId="8908" xr:uid="{6FFCEAFE-6792-4E32-90A5-812B24BAFAD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07279684-1089-44CB-A3D0-C4ECBBD1C3D6}"/>
    <cellStyle name="Normal 2 4 2 3 2 3 2 2 3" xfId="11469" xr:uid="{79D347D2-4DD1-4AF4-93CF-E6F980834F9E}"/>
    <cellStyle name="Normal 2 4 2 3 2 3 2 3" xfId="5092" xr:uid="{00000000-0005-0000-0000-0000C50E0000}"/>
    <cellStyle name="Normal 2 4 2 3 2 3 2 3 2" xfId="13542" xr:uid="{D4012EA5-4E20-4D0E-BAEC-3ABD40CC434B}"/>
    <cellStyle name="Normal 2 4 2 3 2 3 2 4" xfId="9324" xr:uid="{0C75C1C5-4DDA-43C1-A567-9AE8709AAC29}"/>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34F8967B-8806-4769-8E79-02FC9571C098}"/>
    <cellStyle name="Normal 2 4 2 3 2 3 3 2 3" xfId="11882" xr:uid="{BD6E3725-A311-4003-BBDD-B1CDB59FD315}"/>
    <cellStyle name="Normal 2 4 2 3 2 3 3 3" xfId="5505" xr:uid="{00000000-0005-0000-0000-0000C90E0000}"/>
    <cellStyle name="Normal 2 4 2 3 2 3 3 3 2" xfId="13955" xr:uid="{E97F7825-F03D-495C-933F-BDA37E19B1B1}"/>
    <cellStyle name="Normal 2 4 2 3 2 3 3 4" xfId="9737" xr:uid="{9D656B5D-136A-4D0D-B518-E8E531ABF094}"/>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7276ABE7-F204-467E-BAEA-3CAE4F3D2E44}"/>
    <cellStyle name="Normal 2 4 2 3 2 3 4 2 3" xfId="12295" xr:uid="{7492D3B0-D6EE-4C5C-853A-AC1D540B4A9E}"/>
    <cellStyle name="Normal 2 4 2 3 2 3 4 3" xfId="5918" xr:uid="{00000000-0005-0000-0000-0000CD0E0000}"/>
    <cellStyle name="Normal 2 4 2 3 2 3 4 3 2" xfId="14368" xr:uid="{246BB9F8-6A5C-404B-8EF6-AC6C7CC61AD5}"/>
    <cellStyle name="Normal 2 4 2 3 2 3 4 4" xfId="10150" xr:uid="{1398E814-117F-4779-95C5-939885D1F9EF}"/>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E6FDDDC5-5B0B-4DD1-B494-F7FA798FF471}"/>
    <cellStyle name="Normal 2 4 2 3 2 3 5 2 3" xfId="12708" xr:uid="{34A56A01-2650-486A-836B-2D982334D475}"/>
    <cellStyle name="Normal 2 4 2 3 2 3 5 3" xfId="6331" xr:uid="{00000000-0005-0000-0000-0000D10E0000}"/>
    <cellStyle name="Normal 2 4 2 3 2 3 5 3 2" xfId="14781" xr:uid="{4F52EAE6-EB55-441E-9CAA-0051097A8298}"/>
    <cellStyle name="Normal 2 4 2 3 2 3 5 4" xfId="10563" xr:uid="{3DC29ADA-CA3E-4CD7-BF0F-43C0ECF44F5E}"/>
    <cellStyle name="Normal 2 4 2 3 2 3 6" xfId="2461" xr:uid="{00000000-0005-0000-0000-0000D20E0000}"/>
    <cellStyle name="Normal 2 4 2 3 2 3 6 2" xfId="6744" xr:uid="{00000000-0005-0000-0000-0000D30E0000}"/>
    <cellStyle name="Normal 2 4 2 3 2 3 6 2 2" xfId="15194" xr:uid="{AE9E5276-2728-4802-88AE-0ED51A1838CA}"/>
    <cellStyle name="Normal 2 4 2 3 2 3 6 3" xfId="10976" xr:uid="{C99BB330-651F-4293-B0C0-D1DC99F352C4}"/>
    <cellStyle name="Normal 2 4 2 3 2 3 7" xfId="4678" xr:uid="{00000000-0005-0000-0000-0000D40E0000}"/>
    <cellStyle name="Normal 2 4 2 3 2 3 7 2" xfId="13128" xr:uid="{6C4B4630-03A0-4275-BE27-431E82C4C608}"/>
    <cellStyle name="Normal 2 4 2 3 2 3 8" xfId="8910" xr:uid="{0CD10377-76AF-4750-975E-065829E96007}"/>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A3115488-217F-4BBE-884A-CAA14A3FF25C}"/>
    <cellStyle name="Normal 2 4 2 3 2 4 2 3" xfId="11466" xr:uid="{5FF27E20-4E04-4AC8-A99B-F2CBB6A87CF2}"/>
    <cellStyle name="Normal 2 4 2 3 2 4 3" xfId="5089" xr:uid="{00000000-0005-0000-0000-0000D80E0000}"/>
    <cellStyle name="Normal 2 4 2 3 2 4 3 2" xfId="13539" xr:uid="{FFED3F77-7F90-4FE9-818F-3C4B51B2A53C}"/>
    <cellStyle name="Normal 2 4 2 3 2 4 4" xfId="9321" xr:uid="{A9D73BAF-46CC-478A-82D0-F2A8805A17B4}"/>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A3526D35-8F0B-440C-A004-20FD4F2D287E}"/>
    <cellStyle name="Normal 2 4 2 3 2 5 2 3" xfId="11879" xr:uid="{2C00974E-EB35-470A-96D7-C2BC4D7DFB85}"/>
    <cellStyle name="Normal 2 4 2 3 2 5 3" xfId="5502" xr:uid="{00000000-0005-0000-0000-0000DC0E0000}"/>
    <cellStyle name="Normal 2 4 2 3 2 5 3 2" xfId="13952" xr:uid="{483BE281-0A24-4E5E-897E-25CD459921CB}"/>
    <cellStyle name="Normal 2 4 2 3 2 5 4" xfId="9734" xr:uid="{E82DEC4E-FFAD-43E9-9323-33CC0318EC3F}"/>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F4987834-A4D4-4E49-9D5D-E18930907960}"/>
    <cellStyle name="Normal 2 4 2 3 2 6 2 3" xfId="12292" xr:uid="{6386B436-E1DE-4F4E-A07D-F583BFF74C22}"/>
    <cellStyle name="Normal 2 4 2 3 2 6 3" xfId="5915" xr:uid="{00000000-0005-0000-0000-0000E00E0000}"/>
    <cellStyle name="Normal 2 4 2 3 2 6 3 2" xfId="14365" xr:uid="{C4FBF4BF-9303-48AA-871E-8D2E92B52BFB}"/>
    <cellStyle name="Normal 2 4 2 3 2 6 4" xfId="10147" xr:uid="{61585765-3253-4A96-8FFD-CAB3273124B5}"/>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1198BC6B-B96C-4468-8D69-D9AD091C46F5}"/>
    <cellStyle name="Normal 2 4 2 3 2 7 2 3" xfId="12705" xr:uid="{2320AA79-C92A-4DD8-89B1-55DE8DD0C85D}"/>
    <cellStyle name="Normal 2 4 2 3 2 7 3" xfId="6328" xr:uid="{00000000-0005-0000-0000-0000E40E0000}"/>
    <cellStyle name="Normal 2 4 2 3 2 7 3 2" xfId="14778" xr:uid="{995DD65D-E45D-4D44-B18F-8D5C89A09827}"/>
    <cellStyle name="Normal 2 4 2 3 2 7 4" xfId="10560" xr:uid="{748940FC-4BD4-43B3-AD65-6811267CA29E}"/>
    <cellStyle name="Normal 2 4 2 3 2 8" xfId="2458" xr:uid="{00000000-0005-0000-0000-0000E50E0000}"/>
    <cellStyle name="Normal 2 4 2 3 2 8 2" xfId="6741" xr:uid="{00000000-0005-0000-0000-0000E60E0000}"/>
    <cellStyle name="Normal 2 4 2 3 2 8 2 2" xfId="15191" xr:uid="{B228019C-6A20-4490-954F-9E4001F501F9}"/>
    <cellStyle name="Normal 2 4 2 3 2 8 3" xfId="10973" xr:uid="{EEAF7865-7109-482D-824F-A0B7C21AF696}"/>
    <cellStyle name="Normal 2 4 2 3 2 9" xfId="4675" xr:uid="{00000000-0005-0000-0000-0000E70E0000}"/>
    <cellStyle name="Normal 2 4 2 3 2 9 2" xfId="13125" xr:uid="{D7DD80C3-F023-4A42-9610-6913A7A85A5E}"/>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E296C065-97D4-44D4-94D7-017920D0E92C}"/>
    <cellStyle name="Normal 2 4 2 3 3 2 2 2 3" xfId="11471" xr:uid="{C0B8D673-9CB0-4DEB-B72D-6FC7796039C3}"/>
    <cellStyle name="Normal 2 4 2 3 3 2 2 3" xfId="5094" xr:uid="{00000000-0005-0000-0000-0000ED0E0000}"/>
    <cellStyle name="Normal 2 4 2 3 3 2 2 3 2" xfId="13544" xr:uid="{617A45D0-59E0-4E9D-ADD3-BCCF4BD04CFA}"/>
    <cellStyle name="Normal 2 4 2 3 3 2 2 4" xfId="9326" xr:uid="{E49289C2-2545-49FF-9318-A1BADF6DD41E}"/>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5A4BC091-2BE3-43C8-9A24-7F6EAF222267}"/>
    <cellStyle name="Normal 2 4 2 3 3 2 3 2 3" xfId="11884" xr:uid="{D80A400E-41FC-4B68-AE56-B914ECC51191}"/>
    <cellStyle name="Normal 2 4 2 3 3 2 3 3" xfId="5507" xr:uid="{00000000-0005-0000-0000-0000F10E0000}"/>
    <cellStyle name="Normal 2 4 2 3 3 2 3 3 2" xfId="13957" xr:uid="{D9043441-CD50-4556-9468-03E054DB43A9}"/>
    <cellStyle name="Normal 2 4 2 3 3 2 3 4" xfId="9739" xr:uid="{48AE02A2-51BD-42C2-A941-8A7D9DCE8C02}"/>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AAAB5BBB-EDBB-40A6-90C7-BD7B0DC3DFBA}"/>
    <cellStyle name="Normal 2 4 2 3 3 2 4 2 3" xfId="12297" xr:uid="{C258F451-5B57-44F1-A888-E12A7E4A49F3}"/>
    <cellStyle name="Normal 2 4 2 3 3 2 4 3" xfId="5920" xr:uid="{00000000-0005-0000-0000-0000F50E0000}"/>
    <cellStyle name="Normal 2 4 2 3 3 2 4 3 2" xfId="14370" xr:uid="{7F1C7EA3-DF9D-40FE-96C7-194088DCBC5D}"/>
    <cellStyle name="Normal 2 4 2 3 3 2 4 4" xfId="10152" xr:uid="{6997A99F-1696-4FB4-B609-44FD0B66FCE4}"/>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33F1AF86-9AAD-4BCD-A4FD-C1F3BDFA32EC}"/>
    <cellStyle name="Normal 2 4 2 3 3 2 5 2 3" xfId="12710" xr:uid="{5A3CF755-AC4C-42E3-AECC-93ADE8A1FC45}"/>
    <cellStyle name="Normal 2 4 2 3 3 2 5 3" xfId="6333" xr:uid="{00000000-0005-0000-0000-0000F90E0000}"/>
    <cellStyle name="Normal 2 4 2 3 3 2 5 3 2" xfId="14783" xr:uid="{BCAF12A5-73D2-4C69-9E37-90FE3BAF57E2}"/>
    <cellStyle name="Normal 2 4 2 3 3 2 5 4" xfId="10565" xr:uid="{BA7A17B8-61D1-497B-9B7D-EF3488905F0B}"/>
    <cellStyle name="Normal 2 4 2 3 3 2 6" xfId="2463" xr:uid="{00000000-0005-0000-0000-0000FA0E0000}"/>
    <cellStyle name="Normal 2 4 2 3 3 2 6 2" xfId="6746" xr:uid="{00000000-0005-0000-0000-0000FB0E0000}"/>
    <cellStyle name="Normal 2 4 2 3 3 2 6 2 2" xfId="15196" xr:uid="{EF835A85-C053-4CC5-9340-BB0A1162F3B3}"/>
    <cellStyle name="Normal 2 4 2 3 3 2 6 3" xfId="10978" xr:uid="{1DAE25FF-0A42-4081-AF87-97042939B5FF}"/>
    <cellStyle name="Normal 2 4 2 3 3 2 7" xfId="4680" xr:uid="{00000000-0005-0000-0000-0000FC0E0000}"/>
    <cellStyle name="Normal 2 4 2 3 3 2 7 2" xfId="13130" xr:uid="{93F8B54A-0C94-48DF-955C-A15DD1FAD109}"/>
    <cellStyle name="Normal 2 4 2 3 3 2 8" xfId="8912" xr:uid="{9648FA00-9E6C-4EEB-87CC-E897C629683A}"/>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5B6BD752-C385-43A6-80A6-5CD5F0332694}"/>
    <cellStyle name="Normal 2 4 2 3 3 3 2 3" xfId="11470" xr:uid="{3F8AA4D6-CF85-4864-83E0-7F645EE4F4D7}"/>
    <cellStyle name="Normal 2 4 2 3 3 3 3" xfId="5093" xr:uid="{00000000-0005-0000-0000-0000000F0000}"/>
    <cellStyle name="Normal 2 4 2 3 3 3 3 2" xfId="13543" xr:uid="{5AFFE1ED-7C1C-4BFC-8D67-467D5790028B}"/>
    <cellStyle name="Normal 2 4 2 3 3 3 4" xfId="9325" xr:uid="{52D4D7B0-0E6D-44E8-8C59-08F96F738ABE}"/>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60FCA336-9570-4BD5-8742-C621DF0FAFE2}"/>
    <cellStyle name="Normal 2 4 2 3 3 4 2 3" xfId="11883" xr:uid="{6A5E0E5F-9F5F-4E2F-8963-50128BD74C05}"/>
    <cellStyle name="Normal 2 4 2 3 3 4 3" xfId="5506" xr:uid="{00000000-0005-0000-0000-0000040F0000}"/>
    <cellStyle name="Normal 2 4 2 3 3 4 3 2" xfId="13956" xr:uid="{E44C9E14-BABC-434E-9EBD-CAF4EE424DF8}"/>
    <cellStyle name="Normal 2 4 2 3 3 4 4" xfId="9738" xr:uid="{1B6E9F82-4305-436E-A089-99303B706D84}"/>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290E3984-8F82-4196-A54C-6FB5F9FE14BF}"/>
    <cellStyle name="Normal 2 4 2 3 3 5 2 3" xfId="12296" xr:uid="{39307CA2-FECD-4C43-8B84-CDB947E90482}"/>
    <cellStyle name="Normal 2 4 2 3 3 5 3" xfId="5919" xr:uid="{00000000-0005-0000-0000-0000080F0000}"/>
    <cellStyle name="Normal 2 4 2 3 3 5 3 2" xfId="14369" xr:uid="{92BC3DEC-A66E-452A-A823-B383B9B30332}"/>
    <cellStyle name="Normal 2 4 2 3 3 5 4" xfId="10151" xr:uid="{F26D48C1-9DA5-4498-BE3A-2C7EBA35351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FE4884D1-CDA3-49E6-99AC-B562A93AE88A}"/>
    <cellStyle name="Normal 2 4 2 3 3 6 2 3" xfId="12709" xr:uid="{5EDA7B6A-3D25-4E93-A9D2-117F387486CF}"/>
    <cellStyle name="Normal 2 4 2 3 3 6 3" xfId="6332" xr:uid="{00000000-0005-0000-0000-00000C0F0000}"/>
    <cellStyle name="Normal 2 4 2 3 3 6 3 2" xfId="14782" xr:uid="{C0E1A269-0620-4271-93C9-63CD63BA26D8}"/>
    <cellStyle name="Normal 2 4 2 3 3 6 4" xfId="10564" xr:uid="{27DF3618-F3DC-443B-BD38-F40FD0F7EB1E}"/>
    <cellStyle name="Normal 2 4 2 3 3 7" xfId="2462" xr:uid="{00000000-0005-0000-0000-00000D0F0000}"/>
    <cellStyle name="Normal 2 4 2 3 3 7 2" xfId="6745" xr:uid="{00000000-0005-0000-0000-00000E0F0000}"/>
    <cellStyle name="Normal 2 4 2 3 3 7 2 2" xfId="15195" xr:uid="{C5150494-1B7A-4DB8-BE8D-0FBAFCC0A1FC}"/>
    <cellStyle name="Normal 2 4 2 3 3 7 3" xfId="10977" xr:uid="{E170B13D-A14B-489D-BFDC-9C9A9D8F94C0}"/>
    <cellStyle name="Normal 2 4 2 3 3 8" xfId="4679" xr:uid="{00000000-0005-0000-0000-00000F0F0000}"/>
    <cellStyle name="Normal 2 4 2 3 3 8 2" xfId="13129" xr:uid="{89670DA9-6D57-4A19-AF9F-F3716B01653F}"/>
    <cellStyle name="Normal 2 4 2 3 3 9" xfId="8911" xr:uid="{90719473-1E87-463F-8617-0166EA455CFB}"/>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9E9D1218-8E0E-4B86-A53F-931161BB5CDC}"/>
    <cellStyle name="Normal 2 4 2 3 4 2 2 3" xfId="11472" xr:uid="{7BEE386A-FF72-463C-A570-B3F074A72186}"/>
    <cellStyle name="Normal 2 4 2 3 4 2 3" xfId="5095" xr:uid="{00000000-0005-0000-0000-0000140F0000}"/>
    <cellStyle name="Normal 2 4 2 3 4 2 3 2" xfId="13545" xr:uid="{D806853D-C024-4D05-BF89-BA66F2957811}"/>
    <cellStyle name="Normal 2 4 2 3 4 2 4" xfId="9327" xr:uid="{EA7F2B8E-3A03-42F4-B1E0-298BDAD1CBEB}"/>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E8788149-297B-4BCC-9ECA-4EF9FF33A840}"/>
    <cellStyle name="Normal 2 4 2 3 4 3 2 3" xfId="11885" xr:uid="{A4B00E3D-944F-4FCA-8586-1D1718F91DB4}"/>
    <cellStyle name="Normal 2 4 2 3 4 3 3" xfId="5508" xr:uid="{00000000-0005-0000-0000-0000180F0000}"/>
    <cellStyle name="Normal 2 4 2 3 4 3 3 2" xfId="13958" xr:uid="{C7697568-A53D-4A51-91DC-14AFE274669C}"/>
    <cellStyle name="Normal 2 4 2 3 4 3 4" xfId="9740" xr:uid="{7D91DCAA-FCB5-4AEC-8174-E21DC1DFD8CC}"/>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656FF499-7717-46C9-8D08-A18E7C15B891}"/>
    <cellStyle name="Normal 2 4 2 3 4 4 2 3" xfId="12298" xr:uid="{D9F30C62-5F52-4469-A354-8CBB6CD75A7B}"/>
    <cellStyle name="Normal 2 4 2 3 4 4 3" xfId="5921" xr:uid="{00000000-0005-0000-0000-00001C0F0000}"/>
    <cellStyle name="Normal 2 4 2 3 4 4 3 2" xfId="14371" xr:uid="{DE7B522F-1D81-40EF-896F-F95B700BFF50}"/>
    <cellStyle name="Normal 2 4 2 3 4 4 4" xfId="10153" xr:uid="{AD91E97F-3BF8-4F1E-BB63-E6B722CA8D5F}"/>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E48D48FA-B06B-47F9-8553-FEB771ADC063}"/>
    <cellStyle name="Normal 2 4 2 3 4 5 2 3" xfId="12711" xr:uid="{0558C03F-8F81-4798-AB61-E9FE60F38941}"/>
    <cellStyle name="Normal 2 4 2 3 4 5 3" xfId="6334" xr:uid="{00000000-0005-0000-0000-0000200F0000}"/>
    <cellStyle name="Normal 2 4 2 3 4 5 3 2" xfId="14784" xr:uid="{55C0F161-B04A-47AF-83CD-238EBC6DF0D1}"/>
    <cellStyle name="Normal 2 4 2 3 4 5 4" xfId="10566" xr:uid="{C97002C8-989E-4A6E-B952-73E0E6DF6E74}"/>
    <cellStyle name="Normal 2 4 2 3 4 6" xfId="2464" xr:uid="{00000000-0005-0000-0000-0000210F0000}"/>
    <cellStyle name="Normal 2 4 2 3 4 6 2" xfId="6747" xr:uid="{00000000-0005-0000-0000-0000220F0000}"/>
    <cellStyle name="Normal 2 4 2 3 4 6 2 2" xfId="15197" xr:uid="{D7FD81B0-3324-4BAF-A184-D833A159E197}"/>
    <cellStyle name="Normal 2 4 2 3 4 6 3" xfId="10979" xr:uid="{515D006E-ACF6-49B3-BD53-A69D07A35CBC}"/>
    <cellStyle name="Normal 2 4 2 3 4 7" xfId="4681" xr:uid="{00000000-0005-0000-0000-0000230F0000}"/>
    <cellStyle name="Normal 2 4 2 3 4 7 2" xfId="13131" xr:uid="{3F5E0C90-7C30-4E94-83D3-FE97779BF96C}"/>
    <cellStyle name="Normal 2 4 2 3 4 8" xfId="8913" xr:uid="{F14DAAC5-F256-43AB-BD97-7C86E2AD276F}"/>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E30F348F-8A03-4409-A93B-6315CB2B0033}"/>
    <cellStyle name="Normal 2 4 2 3 5 2 3" xfId="11465" xr:uid="{201F4FF7-A6AB-494B-8E5E-87820B88DBC1}"/>
    <cellStyle name="Normal 2 4 2 3 5 3" xfId="5088" xr:uid="{00000000-0005-0000-0000-0000270F0000}"/>
    <cellStyle name="Normal 2 4 2 3 5 3 2" xfId="13538" xr:uid="{321480F1-482D-4D3B-B32F-8CB5B7E1A1A5}"/>
    <cellStyle name="Normal 2 4 2 3 5 4" xfId="9320" xr:uid="{6AEF52BD-BA96-418E-ACA3-50BFCC650C69}"/>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132EAA46-00E5-45E0-BEC7-F0CA7DFB4C87}"/>
    <cellStyle name="Normal 2 4 2 3 6 2 3" xfId="11878" xr:uid="{A28AAAC8-210C-48FA-911C-E774F2D8C68F}"/>
    <cellStyle name="Normal 2 4 2 3 6 3" xfId="5501" xr:uid="{00000000-0005-0000-0000-00002B0F0000}"/>
    <cellStyle name="Normal 2 4 2 3 6 3 2" xfId="13951" xr:uid="{33D87498-F0D2-4FF8-A46A-674537CB4F32}"/>
    <cellStyle name="Normal 2 4 2 3 6 4" xfId="9733" xr:uid="{4DF96A30-CA99-4504-B3C6-6D5725DE1A1D}"/>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B9FBBC60-1733-4070-8AFC-E3144757F574}"/>
    <cellStyle name="Normal 2 4 2 3 7 2 3" xfId="12291" xr:uid="{A99D6865-36FF-4F66-B4D5-E3A00FA6307E}"/>
    <cellStyle name="Normal 2 4 2 3 7 3" xfId="5914" xr:uid="{00000000-0005-0000-0000-00002F0F0000}"/>
    <cellStyle name="Normal 2 4 2 3 7 3 2" xfId="14364" xr:uid="{FB192176-42DE-4D87-AE22-12F4A0F537C3}"/>
    <cellStyle name="Normal 2 4 2 3 7 4" xfId="10146" xr:uid="{B9FD1837-2C4E-4E55-8F03-39FDE203E43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71819B13-238E-4943-AF49-05798E1F3DAA}"/>
    <cellStyle name="Normal 2 4 2 3 8 2 3" xfId="12704" xr:uid="{B2B0C47C-F415-4F28-8962-FBF1CB291EFE}"/>
    <cellStyle name="Normal 2 4 2 3 8 3" xfId="6327" xr:uid="{00000000-0005-0000-0000-0000330F0000}"/>
    <cellStyle name="Normal 2 4 2 3 8 3 2" xfId="14777" xr:uid="{903F8F4C-54A9-4A9E-B6D3-EDE49293D02B}"/>
    <cellStyle name="Normal 2 4 2 3 8 4" xfId="10559" xr:uid="{30B03CB5-1917-4959-B82B-AED20C3459EE}"/>
    <cellStyle name="Normal 2 4 2 3 9" xfId="2457" xr:uid="{00000000-0005-0000-0000-0000340F0000}"/>
    <cellStyle name="Normal 2 4 2 3 9 2" xfId="6740" xr:uid="{00000000-0005-0000-0000-0000350F0000}"/>
    <cellStyle name="Normal 2 4 2 3 9 2 2" xfId="15190" xr:uid="{20B59A07-6423-4BC1-8089-8B39529EB110}"/>
    <cellStyle name="Normal 2 4 2 3 9 3" xfId="10972" xr:uid="{3FCFC008-202C-4440-9E8A-D78FDCDF6B91}"/>
    <cellStyle name="Normal 2 4 2 4" xfId="289" xr:uid="{00000000-0005-0000-0000-0000360F0000}"/>
    <cellStyle name="Normal 2 4 2 4 10" xfId="8914" xr:uid="{2763BBFC-4178-4D15-864A-A39C5B4631C3}"/>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5A7D5CC7-CC72-4253-9D7B-3EC27F930655}"/>
    <cellStyle name="Normal 2 4 2 4 2 2 2 2 3" xfId="11475" xr:uid="{1675072F-6C19-461F-A859-1362BBC38A00}"/>
    <cellStyle name="Normal 2 4 2 4 2 2 2 3" xfId="5098" xr:uid="{00000000-0005-0000-0000-00003C0F0000}"/>
    <cellStyle name="Normal 2 4 2 4 2 2 2 3 2" xfId="13548" xr:uid="{9D603ACA-E70C-49EA-A377-2FD935BE5766}"/>
    <cellStyle name="Normal 2 4 2 4 2 2 2 4" xfId="9330" xr:uid="{94848FB0-9AA4-40CB-A89A-01C1407A1606}"/>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88ACD243-18A5-4787-BA94-2102788853D8}"/>
    <cellStyle name="Normal 2 4 2 4 2 2 3 2 3" xfId="11888" xr:uid="{C8FFCAA2-26F9-45E1-9C53-41289CBD5C7F}"/>
    <cellStyle name="Normal 2 4 2 4 2 2 3 3" xfId="5511" xr:uid="{00000000-0005-0000-0000-0000400F0000}"/>
    <cellStyle name="Normal 2 4 2 4 2 2 3 3 2" xfId="13961" xr:uid="{5F2BA097-C6E2-41DA-BE1F-B7457F41EE59}"/>
    <cellStyle name="Normal 2 4 2 4 2 2 3 4" xfId="9743" xr:uid="{6CE74301-812B-4E84-B0AB-AEBF2244DBB7}"/>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052F5169-B3C9-449D-860F-1A066A697278}"/>
    <cellStyle name="Normal 2 4 2 4 2 2 4 2 3" xfId="12301" xr:uid="{3397557F-038C-4E85-AD9D-B54319087744}"/>
    <cellStyle name="Normal 2 4 2 4 2 2 4 3" xfId="5924" xr:uid="{00000000-0005-0000-0000-0000440F0000}"/>
    <cellStyle name="Normal 2 4 2 4 2 2 4 3 2" xfId="14374" xr:uid="{EE8F4875-8B07-4F71-ABDA-6729064C2230}"/>
    <cellStyle name="Normal 2 4 2 4 2 2 4 4" xfId="10156" xr:uid="{735B9481-B110-49E5-9EA6-DF47C4FBA1C5}"/>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97BAB3D0-6EFA-4FCE-8D5E-AF6E0E795762}"/>
    <cellStyle name="Normal 2 4 2 4 2 2 5 2 3" xfId="12714" xr:uid="{968A96F2-EAA3-4041-A533-EF2AB757AEE9}"/>
    <cellStyle name="Normal 2 4 2 4 2 2 5 3" xfId="6337" xr:uid="{00000000-0005-0000-0000-0000480F0000}"/>
    <cellStyle name="Normal 2 4 2 4 2 2 5 3 2" xfId="14787" xr:uid="{AAD2CD42-CB89-430A-A3B5-306112DA07D0}"/>
    <cellStyle name="Normal 2 4 2 4 2 2 5 4" xfId="10569" xr:uid="{5F36B84D-B469-4B07-9120-58D9B35EAD8E}"/>
    <cellStyle name="Normal 2 4 2 4 2 2 6" xfId="2467" xr:uid="{00000000-0005-0000-0000-0000490F0000}"/>
    <cellStyle name="Normal 2 4 2 4 2 2 6 2" xfId="6750" xr:uid="{00000000-0005-0000-0000-00004A0F0000}"/>
    <cellStyle name="Normal 2 4 2 4 2 2 6 2 2" xfId="15200" xr:uid="{AF23C250-8B75-4C4C-89EB-CB6C78463970}"/>
    <cellStyle name="Normal 2 4 2 4 2 2 6 3" xfId="10982" xr:uid="{9716ABD0-3E6F-4A0A-B539-F36B7DA622E8}"/>
    <cellStyle name="Normal 2 4 2 4 2 2 7" xfId="4684" xr:uid="{00000000-0005-0000-0000-00004B0F0000}"/>
    <cellStyle name="Normal 2 4 2 4 2 2 7 2" xfId="13134" xr:uid="{1951F363-2CEA-42A6-B7CE-CA641E1AACFA}"/>
    <cellStyle name="Normal 2 4 2 4 2 2 8" xfId="8916" xr:uid="{9BA7B09D-EAAF-4AF9-8516-E5381F6A28F6}"/>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1DB2C597-681B-4B2B-B586-496928FBC3F4}"/>
    <cellStyle name="Normal 2 4 2 4 2 3 2 3" xfId="11474" xr:uid="{A27B4C91-2C9C-4794-B5CA-47A496D2FDDC}"/>
    <cellStyle name="Normal 2 4 2 4 2 3 3" xfId="5097" xr:uid="{00000000-0005-0000-0000-00004F0F0000}"/>
    <cellStyle name="Normal 2 4 2 4 2 3 3 2" xfId="13547" xr:uid="{6D2BA5E5-52A6-4B4E-9C1C-AF48336AE974}"/>
    <cellStyle name="Normal 2 4 2 4 2 3 4" xfId="9329" xr:uid="{D8CE3552-DCFE-4718-A784-A08A9CCA0215}"/>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5A8E0362-B0A6-4EA0-96FF-3E9A4EA339E6}"/>
    <cellStyle name="Normal 2 4 2 4 2 4 2 3" xfId="11887" xr:uid="{9EEF7803-2921-48A6-972B-D61C47FE15CB}"/>
    <cellStyle name="Normal 2 4 2 4 2 4 3" xfId="5510" xr:uid="{00000000-0005-0000-0000-0000530F0000}"/>
    <cellStyle name="Normal 2 4 2 4 2 4 3 2" xfId="13960" xr:uid="{51B5877B-B9C1-4BC2-9325-6A9B64BA0DA8}"/>
    <cellStyle name="Normal 2 4 2 4 2 4 4" xfId="9742" xr:uid="{1C031012-79AE-41BB-B0B2-24BC4CA11EEF}"/>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AF664C27-B1A9-4A12-88DF-D776ABBF09E7}"/>
    <cellStyle name="Normal 2 4 2 4 2 5 2 3" xfId="12300" xr:uid="{65558E71-BE5E-41CC-A864-2662AC3EDFEA}"/>
    <cellStyle name="Normal 2 4 2 4 2 5 3" xfId="5923" xr:uid="{00000000-0005-0000-0000-0000570F0000}"/>
    <cellStyle name="Normal 2 4 2 4 2 5 3 2" xfId="14373" xr:uid="{F298100F-F147-4A94-BE77-F180F07E6258}"/>
    <cellStyle name="Normal 2 4 2 4 2 5 4" xfId="10155" xr:uid="{92624A9D-DC5A-4BD2-9439-00CDDEEAAA88}"/>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A10D76CA-8118-4247-9EF8-2455773F23AD}"/>
    <cellStyle name="Normal 2 4 2 4 2 6 2 3" xfId="12713" xr:uid="{557D0943-E987-4ABC-8354-5001D32BB8C2}"/>
    <cellStyle name="Normal 2 4 2 4 2 6 3" xfId="6336" xr:uid="{00000000-0005-0000-0000-00005B0F0000}"/>
    <cellStyle name="Normal 2 4 2 4 2 6 3 2" xfId="14786" xr:uid="{6AEFF612-AA13-4102-8689-20100FAA6EAC}"/>
    <cellStyle name="Normal 2 4 2 4 2 6 4" xfId="10568" xr:uid="{FBC21D42-3532-48F7-9A7D-A81E112F3172}"/>
    <cellStyle name="Normal 2 4 2 4 2 7" xfId="2466" xr:uid="{00000000-0005-0000-0000-00005C0F0000}"/>
    <cellStyle name="Normal 2 4 2 4 2 7 2" xfId="6749" xr:uid="{00000000-0005-0000-0000-00005D0F0000}"/>
    <cellStyle name="Normal 2 4 2 4 2 7 2 2" xfId="15199" xr:uid="{2CBAAEE7-4795-4158-A6F3-04DC439AB9AD}"/>
    <cellStyle name="Normal 2 4 2 4 2 7 3" xfId="10981" xr:uid="{39308FE9-F219-46CF-85A3-2DD4C1A04396}"/>
    <cellStyle name="Normal 2 4 2 4 2 8" xfId="4683" xr:uid="{00000000-0005-0000-0000-00005E0F0000}"/>
    <cellStyle name="Normal 2 4 2 4 2 8 2" xfId="13133" xr:uid="{1B9AAC12-1971-444E-8522-9DC2D285037C}"/>
    <cellStyle name="Normal 2 4 2 4 2 9" xfId="8915" xr:uid="{33432616-36DC-498E-99D9-78B89A08E2C5}"/>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10B412E1-CA19-47C1-A426-8781834786AB}"/>
    <cellStyle name="Normal 2 4 2 4 3 2 2 3" xfId="11476" xr:uid="{FE8449BB-C194-416C-A89E-C5C6BD7FC88E}"/>
    <cellStyle name="Normal 2 4 2 4 3 2 3" xfId="5099" xr:uid="{00000000-0005-0000-0000-0000630F0000}"/>
    <cellStyle name="Normal 2 4 2 4 3 2 3 2" xfId="13549" xr:uid="{D1BFB247-02B5-4A5A-99C8-6D4EC30F7C0D}"/>
    <cellStyle name="Normal 2 4 2 4 3 2 4" xfId="9331" xr:uid="{BAC2A345-E8EE-43B0-B94D-96C9F71BE53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F4EBD74B-9521-4A00-9D9F-05E1801D2F17}"/>
    <cellStyle name="Normal 2 4 2 4 3 3 2 3" xfId="11889" xr:uid="{2FA85248-9975-4AB4-BF79-4D694A0432E9}"/>
    <cellStyle name="Normal 2 4 2 4 3 3 3" xfId="5512" xr:uid="{00000000-0005-0000-0000-0000670F0000}"/>
    <cellStyle name="Normal 2 4 2 4 3 3 3 2" xfId="13962" xr:uid="{E6CE499A-9B08-4988-B677-8CE762716A33}"/>
    <cellStyle name="Normal 2 4 2 4 3 3 4" xfId="9744" xr:uid="{E468EE15-DDED-48B8-85C0-AECFA2A5605B}"/>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09AD62AB-A3F6-41AD-BDB5-F8D4F009C512}"/>
    <cellStyle name="Normal 2 4 2 4 3 4 2 3" xfId="12302" xr:uid="{64EB34B5-5801-455D-98CD-EFF355CA71B5}"/>
    <cellStyle name="Normal 2 4 2 4 3 4 3" xfId="5925" xr:uid="{00000000-0005-0000-0000-00006B0F0000}"/>
    <cellStyle name="Normal 2 4 2 4 3 4 3 2" xfId="14375" xr:uid="{4101CE8C-C80D-45E8-BDA0-F19AAAB8DB85}"/>
    <cellStyle name="Normal 2 4 2 4 3 4 4" xfId="10157" xr:uid="{818E7112-7EBD-4456-B996-B4C798DA8A5C}"/>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BE69A8E3-E520-4C93-84E3-5702B8307DD2}"/>
    <cellStyle name="Normal 2 4 2 4 3 5 2 3" xfId="12715" xr:uid="{3DC8B3F4-7385-4C0B-A100-202384C8C90A}"/>
    <cellStyle name="Normal 2 4 2 4 3 5 3" xfId="6338" xr:uid="{00000000-0005-0000-0000-00006F0F0000}"/>
    <cellStyle name="Normal 2 4 2 4 3 5 3 2" xfId="14788" xr:uid="{A70F947F-C1E6-4AF1-8FF4-97050C6150F4}"/>
    <cellStyle name="Normal 2 4 2 4 3 5 4" xfId="10570" xr:uid="{482DE95F-4993-4194-ABD4-5C4E47C1725E}"/>
    <cellStyle name="Normal 2 4 2 4 3 6" xfId="2468" xr:uid="{00000000-0005-0000-0000-0000700F0000}"/>
    <cellStyle name="Normal 2 4 2 4 3 6 2" xfId="6751" xr:uid="{00000000-0005-0000-0000-0000710F0000}"/>
    <cellStyle name="Normal 2 4 2 4 3 6 2 2" xfId="15201" xr:uid="{4E45D3E0-0DD8-4E0B-98EA-25F253B1AFF6}"/>
    <cellStyle name="Normal 2 4 2 4 3 6 3" xfId="10983" xr:uid="{B691C91F-B0F3-4BB8-8CFD-4C9E5B76BC08}"/>
    <cellStyle name="Normal 2 4 2 4 3 7" xfId="4685" xr:uid="{00000000-0005-0000-0000-0000720F0000}"/>
    <cellStyle name="Normal 2 4 2 4 3 7 2" xfId="13135" xr:uid="{B523AFC6-6EE9-41F2-B093-4AD8733D5456}"/>
    <cellStyle name="Normal 2 4 2 4 3 8" xfId="8917" xr:uid="{64E63596-D805-4EFB-8764-EB96A603F297}"/>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0017122C-6BA4-4C72-BA53-3F9B9562DF9C}"/>
    <cellStyle name="Normal 2 4 2 4 4 2 3" xfId="11473" xr:uid="{CDB525E1-AC57-42E7-89B6-A125F7F80335}"/>
    <cellStyle name="Normal 2 4 2 4 4 3" xfId="5096" xr:uid="{00000000-0005-0000-0000-0000760F0000}"/>
    <cellStyle name="Normal 2 4 2 4 4 3 2" xfId="13546" xr:uid="{C6576EB4-9FDE-426B-B75E-25CFA9BDF0D1}"/>
    <cellStyle name="Normal 2 4 2 4 4 4" xfId="9328" xr:uid="{F6245B47-2041-4FEF-A152-8194024280F3}"/>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DEC67BCF-DCCC-4B90-B42C-E46B457B27D3}"/>
    <cellStyle name="Normal 2 4 2 4 5 2 3" xfId="11886" xr:uid="{E31548AF-4639-4482-8FF2-7D00CB2500FB}"/>
    <cellStyle name="Normal 2 4 2 4 5 3" xfId="5509" xr:uid="{00000000-0005-0000-0000-00007A0F0000}"/>
    <cellStyle name="Normal 2 4 2 4 5 3 2" xfId="13959" xr:uid="{AA05C622-3482-45F9-B2CA-54194949B0C1}"/>
    <cellStyle name="Normal 2 4 2 4 5 4" xfId="9741" xr:uid="{84D72F20-278C-4AA3-9939-EF7F4940EC65}"/>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47C4A58F-BF2E-4A82-B540-7ED788AFDB28}"/>
    <cellStyle name="Normal 2 4 2 4 6 2 3" xfId="12299" xr:uid="{9678FDA8-717F-486A-AB83-3A2C99C1CCB2}"/>
    <cellStyle name="Normal 2 4 2 4 6 3" xfId="5922" xr:uid="{00000000-0005-0000-0000-00007E0F0000}"/>
    <cellStyle name="Normal 2 4 2 4 6 3 2" xfId="14372" xr:uid="{D3A5E484-9F89-4A74-AF4A-25ACF7C463AF}"/>
    <cellStyle name="Normal 2 4 2 4 6 4" xfId="10154" xr:uid="{475D0A5C-41CE-4AE2-9F35-485FCD470BD2}"/>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6D4D1347-BB07-4B27-86D2-DD99B0819F5A}"/>
    <cellStyle name="Normal 2 4 2 4 7 2 3" xfId="12712" xr:uid="{7D254FEE-C594-435A-8698-DA6AE3509D6E}"/>
    <cellStyle name="Normal 2 4 2 4 7 3" xfId="6335" xr:uid="{00000000-0005-0000-0000-0000820F0000}"/>
    <cellStyle name="Normal 2 4 2 4 7 3 2" xfId="14785" xr:uid="{5CC60677-6641-4A64-84AD-66BB60745C3B}"/>
    <cellStyle name="Normal 2 4 2 4 7 4" xfId="10567" xr:uid="{E734D7A5-5AA6-4BD4-A229-305589BE404E}"/>
    <cellStyle name="Normal 2 4 2 4 8" xfId="2465" xr:uid="{00000000-0005-0000-0000-0000830F0000}"/>
    <cellStyle name="Normal 2 4 2 4 8 2" xfId="6748" xr:uid="{00000000-0005-0000-0000-0000840F0000}"/>
    <cellStyle name="Normal 2 4 2 4 8 2 2" xfId="15198" xr:uid="{88ACCE67-AEDC-4461-A478-861650383AC0}"/>
    <cellStyle name="Normal 2 4 2 4 8 3" xfId="10980" xr:uid="{57F6CD32-16BF-4DEA-B2CC-B903A219378B}"/>
    <cellStyle name="Normal 2 4 2 4 9" xfId="4682" xr:uid="{00000000-0005-0000-0000-0000850F0000}"/>
    <cellStyle name="Normal 2 4 2 4 9 2" xfId="13132" xr:uid="{62BC1D34-ED16-4D3F-83C4-5F0F89089E96}"/>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55643E8B-577B-4433-A5D7-C602EB3FE92F}"/>
    <cellStyle name="Normal 2 4 2 5 2 2 2 3" xfId="11478" xr:uid="{60D5CE3E-00F0-40B0-B4D8-177FD3BE7CE0}"/>
    <cellStyle name="Normal 2 4 2 5 2 2 3" xfId="5101" xr:uid="{00000000-0005-0000-0000-00008B0F0000}"/>
    <cellStyle name="Normal 2 4 2 5 2 2 3 2" xfId="13551" xr:uid="{8987E41A-7574-4335-9329-E559CD28FE45}"/>
    <cellStyle name="Normal 2 4 2 5 2 2 4" xfId="9333" xr:uid="{8B03388F-9D13-4205-B227-ABD0F7E65CE6}"/>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9D474F7F-EE0B-40D2-A61B-0DB3675CFC64}"/>
    <cellStyle name="Normal 2 4 2 5 2 3 2 3" xfId="11891" xr:uid="{5CCB06DA-B51C-4308-AF74-09F3C6813DCE}"/>
    <cellStyle name="Normal 2 4 2 5 2 3 3" xfId="5514" xr:uid="{00000000-0005-0000-0000-00008F0F0000}"/>
    <cellStyle name="Normal 2 4 2 5 2 3 3 2" xfId="13964" xr:uid="{5790341A-ED87-44AB-AA05-186B0C8779E8}"/>
    <cellStyle name="Normal 2 4 2 5 2 3 4" xfId="9746" xr:uid="{AE5C1735-E737-4B4F-80F1-CD0FD6E3AD16}"/>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4E52793F-B850-495A-9860-01FD67E92963}"/>
    <cellStyle name="Normal 2 4 2 5 2 4 2 3" xfId="12304" xr:uid="{50DE7530-A534-4DEB-960D-C918F592C2E8}"/>
    <cellStyle name="Normal 2 4 2 5 2 4 3" xfId="5927" xr:uid="{00000000-0005-0000-0000-0000930F0000}"/>
    <cellStyle name="Normal 2 4 2 5 2 4 3 2" xfId="14377" xr:uid="{2C198251-ECEA-4750-BF77-497DBC7002A2}"/>
    <cellStyle name="Normal 2 4 2 5 2 4 4" xfId="10159" xr:uid="{DF1E609E-3E43-4281-8772-29F03258E873}"/>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7ED8537C-CB83-44CC-B0A1-ED1F3F157A95}"/>
    <cellStyle name="Normal 2 4 2 5 2 5 2 3" xfId="12717" xr:uid="{F30350AB-3013-4B86-B2F7-0001B898EC84}"/>
    <cellStyle name="Normal 2 4 2 5 2 5 3" xfId="6340" xr:uid="{00000000-0005-0000-0000-0000970F0000}"/>
    <cellStyle name="Normal 2 4 2 5 2 5 3 2" xfId="14790" xr:uid="{BE65C78D-4CD0-4B25-A1CB-FFEB14E1DE7E}"/>
    <cellStyle name="Normal 2 4 2 5 2 5 4" xfId="10572" xr:uid="{35670A5B-082E-43AC-9459-7A38B8402245}"/>
    <cellStyle name="Normal 2 4 2 5 2 6" xfId="2470" xr:uid="{00000000-0005-0000-0000-0000980F0000}"/>
    <cellStyle name="Normal 2 4 2 5 2 6 2" xfId="6753" xr:uid="{00000000-0005-0000-0000-0000990F0000}"/>
    <cellStyle name="Normal 2 4 2 5 2 6 2 2" xfId="15203" xr:uid="{5CC1A379-9459-4872-8A49-B730C1475468}"/>
    <cellStyle name="Normal 2 4 2 5 2 6 3" xfId="10985" xr:uid="{4AD9BED5-5158-47E0-A609-6C7438E94EAD}"/>
    <cellStyle name="Normal 2 4 2 5 2 7" xfId="4687" xr:uid="{00000000-0005-0000-0000-00009A0F0000}"/>
    <cellStyle name="Normal 2 4 2 5 2 7 2" xfId="13137" xr:uid="{74868F9F-2FB7-42FE-A660-DFF8D0C34EBD}"/>
    <cellStyle name="Normal 2 4 2 5 2 8" xfId="8919" xr:uid="{BBDC46E0-7043-41AB-AACD-58949B43D933}"/>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C64D5AE7-F039-4C24-B7BB-ADE5C27E8645}"/>
    <cellStyle name="Normal 2 4 2 5 3 2 3" xfId="11477" xr:uid="{69AC332B-61C3-4C2A-8604-C837802FD822}"/>
    <cellStyle name="Normal 2 4 2 5 3 3" xfId="5100" xr:uid="{00000000-0005-0000-0000-00009E0F0000}"/>
    <cellStyle name="Normal 2 4 2 5 3 3 2" xfId="13550" xr:uid="{E2D510A2-024D-4B62-ADC7-5D948994281F}"/>
    <cellStyle name="Normal 2 4 2 5 3 4" xfId="9332" xr:uid="{B9BBDDFC-4F25-4430-8393-FF90F70FCCDC}"/>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167D5351-6573-4AE8-9C31-10F67A40C3B6}"/>
    <cellStyle name="Normal 2 4 2 5 4 2 3" xfId="11890" xr:uid="{ABDAF266-6143-4C0D-BBBB-6949EC0945FB}"/>
    <cellStyle name="Normal 2 4 2 5 4 3" xfId="5513" xr:uid="{00000000-0005-0000-0000-0000A20F0000}"/>
    <cellStyle name="Normal 2 4 2 5 4 3 2" xfId="13963" xr:uid="{E9C77EB6-8BD5-45BF-A202-B515661E5CFF}"/>
    <cellStyle name="Normal 2 4 2 5 4 4" xfId="9745" xr:uid="{08F30506-5EC9-435A-B7A9-8BC171C4516B}"/>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3D77B53D-B561-41B1-8BB1-D2661BD5545C}"/>
    <cellStyle name="Normal 2 4 2 5 5 2 3" xfId="12303" xr:uid="{4BE292CD-1E76-4E7B-BE24-8BF75D0071C5}"/>
    <cellStyle name="Normal 2 4 2 5 5 3" xfId="5926" xr:uid="{00000000-0005-0000-0000-0000A60F0000}"/>
    <cellStyle name="Normal 2 4 2 5 5 3 2" xfId="14376" xr:uid="{7534D0DF-FF0E-4274-9DC2-F02F3A30728F}"/>
    <cellStyle name="Normal 2 4 2 5 5 4" xfId="10158" xr:uid="{E9E7E49C-8A3F-4F9B-BCCA-6FA52CC46274}"/>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A60AE950-23CE-41C2-8047-E2E77649A865}"/>
    <cellStyle name="Normal 2 4 2 5 6 2 3" xfId="12716" xr:uid="{7E4D7668-F242-4525-9633-1A51E22A1933}"/>
    <cellStyle name="Normal 2 4 2 5 6 3" xfId="6339" xr:uid="{00000000-0005-0000-0000-0000AA0F0000}"/>
    <cellStyle name="Normal 2 4 2 5 6 3 2" xfId="14789" xr:uid="{EBD74A6F-87C5-422B-AE51-879F684B471F}"/>
    <cellStyle name="Normal 2 4 2 5 6 4" xfId="10571" xr:uid="{0C1DC45B-A7BF-4A88-9685-3E189B5DFD23}"/>
    <cellStyle name="Normal 2 4 2 5 7" xfId="2469" xr:uid="{00000000-0005-0000-0000-0000AB0F0000}"/>
    <cellStyle name="Normal 2 4 2 5 7 2" xfId="6752" xr:uid="{00000000-0005-0000-0000-0000AC0F0000}"/>
    <cellStyle name="Normal 2 4 2 5 7 2 2" xfId="15202" xr:uid="{4113FD3C-E817-48FB-851F-A4F7ABC8A474}"/>
    <cellStyle name="Normal 2 4 2 5 7 3" xfId="10984" xr:uid="{24D22173-1734-4C59-A55E-0578E36BD3D2}"/>
    <cellStyle name="Normal 2 4 2 5 8" xfId="4686" xr:uid="{00000000-0005-0000-0000-0000AD0F0000}"/>
    <cellStyle name="Normal 2 4 2 5 8 2" xfId="13136" xr:uid="{133E0F9A-8A37-4933-B1BE-842D5BC089DC}"/>
    <cellStyle name="Normal 2 4 2 5 9" xfId="8918" xr:uid="{BB74BF51-F141-4B80-A4E1-52AFCD454D6A}"/>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863B0032-F90B-4519-A6AF-1F706F0DDF6F}"/>
    <cellStyle name="Normal 2 4 2 6 2 2 3" xfId="11479" xr:uid="{3FC06BA9-685F-4126-B61E-D7CA14C1C1DC}"/>
    <cellStyle name="Normal 2 4 2 6 2 3" xfId="5102" xr:uid="{00000000-0005-0000-0000-0000B20F0000}"/>
    <cellStyle name="Normal 2 4 2 6 2 3 2" xfId="13552" xr:uid="{B8C33344-693D-48D4-833F-0BBC49D57EAE}"/>
    <cellStyle name="Normal 2 4 2 6 2 4" xfId="9334" xr:uid="{4E8E7C7F-6C44-4EED-946E-284480AD5B50}"/>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811034D8-F26E-4E96-81D7-FC35F3266BDA}"/>
    <cellStyle name="Normal 2 4 2 6 3 2 3" xfId="11892" xr:uid="{7F6D7A2A-08C0-4CB2-94B8-9F1812789C0F}"/>
    <cellStyle name="Normal 2 4 2 6 3 3" xfId="5515" xr:uid="{00000000-0005-0000-0000-0000B60F0000}"/>
    <cellStyle name="Normal 2 4 2 6 3 3 2" xfId="13965" xr:uid="{AAC7AD93-6ED8-4E86-B8E9-85CFA4E7341D}"/>
    <cellStyle name="Normal 2 4 2 6 3 4" xfId="9747" xr:uid="{8955720F-D666-4E5F-9981-643A5848F06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36601910-0EE7-41D4-AC93-5FBDEDCB0B0D}"/>
    <cellStyle name="Normal 2 4 2 6 4 2 3" xfId="12305" xr:uid="{46CB42E7-8219-4DF3-B142-DE9D64FCA9A0}"/>
    <cellStyle name="Normal 2 4 2 6 4 3" xfId="5928" xr:uid="{00000000-0005-0000-0000-0000BA0F0000}"/>
    <cellStyle name="Normal 2 4 2 6 4 3 2" xfId="14378" xr:uid="{E716D6F4-EB9F-4140-8D10-1648A6005834}"/>
    <cellStyle name="Normal 2 4 2 6 4 4" xfId="10160" xr:uid="{DC9540B5-E1A1-4845-B46D-0B73786D96C9}"/>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5DEE0DFA-1110-4440-B682-6C50ABE32C05}"/>
    <cellStyle name="Normal 2 4 2 6 5 2 3" xfId="12718" xr:uid="{C7C7C1BA-B439-407E-BC86-E35550F8A9DE}"/>
    <cellStyle name="Normal 2 4 2 6 5 3" xfId="6341" xr:uid="{00000000-0005-0000-0000-0000BE0F0000}"/>
    <cellStyle name="Normal 2 4 2 6 5 3 2" xfId="14791" xr:uid="{0F7BC3B1-91BD-43BF-90EF-3409D1C58828}"/>
    <cellStyle name="Normal 2 4 2 6 5 4" xfId="10573" xr:uid="{698D5814-4123-4A32-9A58-B21E7CFC3C28}"/>
    <cellStyle name="Normal 2 4 2 6 6" xfId="2471" xr:uid="{00000000-0005-0000-0000-0000BF0F0000}"/>
    <cellStyle name="Normal 2 4 2 6 6 2" xfId="6754" xr:uid="{00000000-0005-0000-0000-0000C00F0000}"/>
    <cellStyle name="Normal 2 4 2 6 6 2 2" xfId="15204" xr:uid="{E56A71FF-3D2D-467B-9387-7AF89598F7F9}"/>
    <cellStyle name="Normal 2 4 2 6 6 3" xfId="10986" xr:uid="{B2DD7A31-D892-4F94-847C-0FB0C6B13224}"/>
    <cellStyle name="Normal 2 4 2 6 7" xfId="4688" xr:uid="{00000000-0005-0000-0000-0000C10F0000}"/>
    <cellStyle name="Normal 2 4 2 6 7 2" xfId="13138" xr:uid="{76010696-BADA-44D1-B821-60487FC9A428}"/>
    <cellStyle name="Normal 2 4 2 6 8" xfId="8920" xr:uid="{6DDE43A4-63B3-45BC-8DBE-EA7E46E6B74F}"/>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61049C54-DBD2-4EE8-9CD8-4C38FE2B4474}"/>
    <cellStyle name="Normal 2 4 2 7 2 3" xfId="11464" xr:uid="{9B640CE4-46C1-4DB3-B534-7C138058E4B8}"/>
    <cellStyle name="Normal 2 4 2 7 3" xfId="5087" xr:uid="{00000000-0005-0000-0000-0000C50F0000}"/>
    <cellStyle name="Normal 2 4 2 7 3 2" xfId="13537" xr:uid="{821BC14A-246C-404A-AD7D-F4742E06CDEF}"/>
    <cellStyle name="Normal 2 4 2 7 4" xfId="9319" xr:uid="{47665229-AD6D-46CE-98B3-24E7921D01B8}"/>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B951C8C9-A03D-4C4E-801C-0207ED498966}"/>
    <cellStyle name="Normal 2 4 2 8 2 3" xfId="11877" xr:uid="{9B9C329D-5689-476D-B038-FCB5B8881984}"/>
    <cellStyle name="Normal 2 4 2 8 3" xfId="5500" xr:uid="{00000000-0005-0000-0000-0000C90F0000}"/>
    <cellStyle name="Normal 2 4 2 8 3 2" xfId="13950" xr:uid="{F1EAAA69-257C-48B8-8C86-2CFEB7C6187E}"/>
    <cellStyle name="Normal 2 4 2 8 4" xfId="9732" xr:uid="{724D2692-B8AF-4538-9A61-A94C5E60D44C}"/>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14A256B8-73C8-4537-804A-27F112922888}"/>
    <cellStyle name="Normal 2 4 2 9 2 3" xfId="12290" xr:uid="{4C138AA5-C415-42E6-A768-6B1DA0184258}"/>
    <cellStyle name="Normal 2 4 2 9 3" xfId="5913" xr:uid="{00000000-0005-0000-0000-0000CD0F0000}"/>
    <cellStyle name="Normal 2 4 2 9 3 2" xfId="14363" xr:uid="{17AFD16C-BF8A-4527-B43B-B695878E23F5}"/>
    <cellStyle name="Normal 2 4 2 9 4" xfId="10145" xr:uid="{3512F4EB-0114-4BF9-A0E3-BCF390921E6F}"/>
    <cellStyle name="Normal 2 4 3" xfId="296" xr:uid="{00000000-0005-0000-0000-0000CE0F0000}"/>
    <cellStyle name="Normal 2 4 3 10" xfId="8921" xr:uid="{8AC4ECA9-6638-47C0-A541-74E91F444036}"/>
    <cellStyle name="Normal 2 4 3 2" xfId="297" xr:uid="{00000000-0005-0000-0000-0000CF0F0000}"/>
    <cellStyle name="Normal 2 4 3 3" xfId="298" xr:uid="{00000000-0005-0000-0000-0000D00F0000}"/>
    <cellStyle name="Normal 2 4 3 3 10" xfId="8922" xr:uid="{EB1B8AE7-1F22-4760-A4B2-DECC8BFFB918}"/>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A68BCF94-A9D2-464E-8214-9CB20C26067D}"/>
    <cellStyle name="Normal 2 4 3 3 2 2 2 2 3" xfId="11483" xr:uid="{085B1A1A-D7F2-4914-90CF-45A10EB4C2E4}"/>
    <cellStyle name="Normal 2 4 3 3 2 2 2 3" xfId="5106" xr:uid="{00000000-0005-0000-0000-0000D60F0000}"/>
    <cellStyle name="Normal 2 4 3 3 2 2 2 3 2" xfId="13556" xr:uid="{FE060777-2BD7-4846-A4E8-44896C159E98}"/>
    <cellStyle name="Normal 2 4 3 3 2 2 2 4" xfId="9338" xr:uid="{563EB7FA-6B9B-47F0-B82D-739C9D813579}"/>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BE831B6B-D881-45B1-8C3E-9F255D915569}"/>
    <cellStyle name="Normal 2 4 3 3 2 2 3 2 3" xfId="11896" xr:uid="{33449B93-F77B-4850-847F-A9E2FA764E92}"/>
    <cellStyle name="Normal 2 4 3 3 2 2 3 3" xfId="5519" xr:uid="{00000000-0005-0000-0000-0000DA0F0000}"/>
    <cellStyle name="Normal 2 4 3 3 2 2 3 3 2" xfId="13969" xr:uid="{14372FB6-2FA3-49EA-8FB0-EAE58FDBF69B}"/>
    <cellStyle name="Normal 2 4 3 3 2 2 3 4" xfId="9751" xr:uid="{E8C233CB-01DA-4190-884B-551E7E9943A1}"/>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D9712822-A76F-484F-8267-13E6714E5133}"/>
    <cellStyle name="Normal 2 4 3 3 2 2 4 2 3" xfId="12309" xr:uid="{95DCC611-C181-4867-826A-883B256F8AE6}"/>
    <cellStyle name="Normal 2 4 3 3 2 2 4 3" xfId="5932" xr:uid="{00000000-0005-0000-0000-0000DE0F0000}"/>
    <cellStyle name="Normal 2 4 3 3 2 2 4 3 2" xfId="14382" xr:uid="{E52C4209-86C6-4256-9827-0BAEA13164E8}"/>
    <cellStyle name="Normal 2 4 3 3 2 2 4 4" xfId="10164" xr:uid="{0701CF77-442C-4965-9995-116C360CD90F}"/>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98458E67-10C4-4890-A95E-8D006153C6D5}"/>
    <cellStyle name="Normal 2 4 3 3 2 2 5 2 3" xfId="12722" xr:uid="{14DDDDD6-A56D-4642-A45F-55572EA4A851}"/>
    <cellStyle name="Normal 2 4 3 3 2 2 5 3" xfId="6345" xr:uid="{00000000-0005-0000-0000-0000E20F0000}"/>
    <cellStyle name="Normal 2 4 3 3 2 2 5 3 2" xfId="14795" xr:uid="{DD986C4D-FF11-4D9E-A9F2-D0AE804BF62D}"/>
    <cellStyle name="Normal 2 4 3 3 2 2 5 4" xfId="10577" xr:uid="{3DA6A05B-65C7-46BF-B3C4-7A0277D12965}"/>
    <cellStyle name="Normal 2 4 3 3 2 2 6" xfId="2475" xr:uid="{00000000-0005-0000-0000-0000E30F0000}"/>
    <cellStyle name="Normal 2 4 3 3 2 2 6 2" xfId="6758" xr:uid="{00000000-0005-0000-0000-0000E40F0000}"/>
    <cellStyle name="Normal 2 4 3 3 2 2 6 2 2" xfId="15208" xr:uid="{65F118C1-8DE5-479E-BED8-A86730783413}"/>
    <cellStyle name="Normal 2 4 3 3 2 2 6 3" xfId="10990" xr:uid="{3B638CDC-D647-45CE-96DC-16D343A5BB1D}"/>
    <cellStyle name="Normal 2 4 3 3 2 2 7" xfId="4692" xr:uid="{00000000-0005-0000-0000-0000E50F0000}"/>
    <cellStyle name="Normal 2 4 3 3 2 2 7 2" xfId="13142" xr:uid="{4282CB76-9A2C-43CE-AE59-B2311B30DBB7}"/>
    <cellStyle name="Normal 2 4 3 3 2 2 8" xfId="8924" xr:uid="{B1DD711B-5B65-46A7-AC2E-EBF7478C7C81}"/>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EFAD3CE1-195A-4A2C-BD0B-0C744588F808}"/>
    <cellStyle name="Normal 2 4 3 3 2 3 2 3" xfId="11482" xr:uid="{D83339D6-767D-466D-A5EF-933289557844}"/>
    <cellStyle name="Normal 2 4 3 3 2 3 3" xfId="5105" xr:uid="{00000000-0005-0000-0000-0000E90F0000}"/>
    <cellStyle name="Normal 2 4 3 3 2 3 3 2" xfId="13555" xr:uid="{6F9848B6-2C82-4C8D-9754-9D7AD663A67E}"/>
    <cellStyle name="Normal 2 4 3 3 2 3 4" xfId="9337" xr:uid="{80AB2C4A-A76F-4022-B53D-01CBB1D3C19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3B27D740-8D7A-4117-8FC1-6C82CC06842D}"/>
    <cellStyle name="Normal 2 4 3 3 2 4 2 3" xfId="11895" xr:uid="{97047D0B-FA4A-4F30-A743-E6064045A64D}"/>
    <cellStyle name="Normal 2 4 3 3 2 4 3" xfId="5518" xr:uid="{00000000-0005-0000-0000-0000ED0F0000}"/>
    <cellStyle name="Normal 2 4 3 3 2 4 3 2" xfId="13968" xr:uid="{2FC5C526-CE46-4BA5-B906-793E5909FAA4}"/>
    <cellStyle name="Normal 2 4 3 3 2 4 4" xfId="9750" xr:uid="{4A5A1EF4-B09E-45B7-9138-1723F6FF862F}"/>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44A777F8-3E65-407F-8B4E-2038FFB93364}"/>
    <cellStyle name="Normal 2 4 3 3 2 5 2 3" xfId="12308" xr:uid="{22E8019D-41A4-40FE-A444-7E89EE14972F}"/>
    <cellStyle name="Normal 2 4 3 3 2 5 3" xfId="5931" xr:uid="{00000000-0005-0000-0000-0000F10F0000}"/>
    <cellStyle name="Normal 2 4 3 3 2 5 3 2" xfId="14381" xr:uid="{37F934B0-0272-4B91-A4BF-F26632F4C6EA}"/>
    <cellStyle name="Normal 2 4 3 3 2 5 4" xfId="10163" xr:uid="{C0CD9922-7160-4A2C-8F4A-07834196AB39}"/>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44258FAC-8AB9-417F-9F12-1534B40C2DD8}"/>
    <cellStyle name="Normal 2 4 3 3 2 6 2 3" xfId="12721" xr:uid="{FB36F235-E926-4EE9-8CC4-44F486EF8892}"/>
    <cellStyle name="Normal 2 4 3 3 2 6 3" xfId="6344" xr:uid="{00000000-0005-0000-0000-0000F50F0000}"/>
    <cellStyle name="Normal 2 4 3 3 2 6 3 2" xfId="14794" xr:uid="{F055C893-E7F2-437A-9701-9B4927F8F446}"/>
    <cellStyle name="Normal 2 4 3 3 2 6 4" xfId="10576" xr:uid="{0D49E752-2832-4197-90AB-94C9EDE9B785}"/>
    <cellStyle name="Normal 2 4 3 3 2 7" xfId="2474" xr:uid="{00000000-0005-0000-0000-0000F60F0000}"/>
    <cellStyle name="Normal 2 4 3 3 2 7 2" xfId="6757" xr:uid="{00000000-0005-0000-0000-0000F70F0000}"/>
    <cellStyle name="Normal 2 4 3 3 2 7 2 2" xfId="15207" xr:uid="{94ADEA49-2D57-4B37-B72B-4B7FD4ADA2EF}"/>
    <cellStyle name="Normal 2 4 3 3 2 7 3" xfId="10989" xr:uid="{EAB692DC-5EB9-42B7-BC3F-9E4E17A91EAA}"/>
    <cellStyle name="Normal 2 4 3 3 2 8" xfId="4691" xr:uid="{00000000-0005-0000-0000-0000F80F0000}"/>
    <cellStyle name="Normal 2 4 3 3 2 8 2" xfId="13141" xr:uid="{DEC282EF-18B5-43B6-9581-930230536C4A}"/>
    <cellStyle name="Normal 2 4 3 3 2 9" xfId="8923" xr:uid="{BA7EDBA1-96E7-470A-B8A7-D2D36F2568F9}"/>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585E22EF-1ADA-499E-AA45-EF72E9BFEDCB}"/>
    <cellStyle name="Normal 2 4 3 3 3 2 2 3" xfId="11484" xr:uid="{BCE5A7F7-3365-4DBE-80C5-784F0DF8997A}"/>
    <cellStyle name="Normal 2 4 3 3 3 2 3" xfId="5107" xr:uid="{00000000-0005-0000-0000-0000FD0F0000}"/>
    <cellStyle name="Normal 2 4 3 3 3 2 3 2" xfId="13557" xr:uid="{F690392C-F971-4767-A57B-4F88FDBAA291}"/>
    <cellStyle name="Normal 2 4 3 3 3 2 4" xfId="9339" xr:uid="{24BEBE3B-71B8-4408-8BEF-D7A10F4B73C8}"/>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AFCBA984-98C6-4EBC-8FF0-4D690A789B80}"/>
    <cellStyle name="Normal 2 4 3 3 3 3 2 3" xfId="11897" xr:uid="{952E4131-C0F0-40F0-A72D-866E3708B158}"/>
    <cellStyle name="Normal 2 4 3 3 3 3 3" xfId="5520" xr:uid="{00000000-0005-0000-0000-000001100000}"/>
    <cellStyle name="Normal 2 4 3 3 3 3 3 2" xfId="13970" xr:uid="{5302B3DC-4AC2-4A8A-B6A3-FB6203172A72}"/>
    <cellStyle name="Normal 2 4 3 3 3 3 4" xfId="9752" xr:uid="{688D4B1B-5AE1-4ED1-B27D-0B85C884D25B}"/>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686FEFDA-1D9D-4AE9-9DE4-C16CFF16A42B}"/>
    <cellStyle name="Normal 2 4 3 3 3 4 2 3" xfId="12310" xr:uid="{21A75027-6597-43B9-9580-92985AC5C178}"/>
    <cellStyle name="Normal 2 4 3 3 3 4 3" xfId="5933" xr:uid="{00000000-0005-0000-0000-000005100000}"/>
    <cellStyle name="Normal 2 4 3 3 3 4 3 2" xfId="14383" xr:uid="{DD141DA6-8933-4DEE-9D8A-DE9A58DDE2BC}"/>
    <cellStyle name="Normal 2 4 3 3 3 4 4" xfId="10165" xr:uid="{223CC7F9-0103-4AED-BA1A-D9ED3C64A369}"/>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5B64883B-258A-4EF2-88BD-80E393FC092C}"/>
    <cellStyle name="Normal 2 4 3 3 3 5 2 3" xfId="12723" xr:uid="{91923CE1-D51E-43C7-9A41-FB1C39FF1EB5}"/>
    <cellStyle name="Normal 2 4 3 3 3 5 3" xfId="6346" xr:uid="{00000000-0005-0000-0000-000009100000}"/>
    <cellStyle name="Normal 2 4 3 3 3 5 3 2" xfId="14796" xr:uid="{CB2A5695-1AC2-4506-8E58-9572551864EE}"/>
    <cellStyle name="Normal 2 4 3 3 3 5 4" xfId="10578" xr:uid="{6412BD3C-9504-48D3-9F50-AAE57BD8E03D}"/>
    <cellStyle name="Normal 2 4 3 3 3 6" xfId="2476" xr:uid="{00000000-0005-0000-0000-00000A100000}"/>
    <cellStyle name="Normal 2 4 3 3 3 6 2" xfId="6759" xr:uid="{00000000-0005-0000-0000-00000B100000}"/>
    <cellStyle name="Normal 2 4 3 3 3 6 2 2" xfId="15209" xr:uid="{E2EB1285-61E7-474B-8C8B-8834A4E0B14D}"/>
    <cellStyle name="Normal 2 4 3 3 3 6 3" xfId="10991" xr:uid="{2CEF298D-900B-4528-BAE6-CD021965CC9A}"/>
    <cellStyle name="Normal 2 4 3 3 3 7" xfId="4693" xr:uid="{00000000-0005-0000-0000-00000C100000}"/>
    <cellStyle name="Normal 2 4 3 3 3 7 2" xfId="13143" xr:uid="{9BDD6C31-3BE4-46C5-9A10-CAF2ABEE7EEE}"/>
    <cellStyle name="Normal 2 4 3 3 3 8" xfId="8925" xr:uid="{AEAD7B50-815B-4874-88B4-ADB057CD72BF}"/>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4169A6C4-F320-4D6A-8575-644828DE8F70}"/>
    <cellStyle name="Normal 2 4 3 3 4 2 3" xfId="11481" xr:uid="{6157006D-93D1-46AD-B7B1-B68C49480D27}"/>
    <cellStyle name="Normal 2 4 3 3 4 3" xfId="5104" xr:uid="{00000000-0005-0000-0000-000010100000}"/>
    <cellStyle name="Normal 2 4 3 3 4 3 2" xfId="13554" xr:uid="{C43B0270-FC75-4F24-AD46-E52BF844AB8C}"/>
    <cellStyle name="Normal 2 4 3 3 4 4" xfId="9336" xr:uid="{A6B94EE8-25B2-4455-8888-E529C6DF94EF}"/>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C8AD1455-8814-4675-8004-345A0DD16837}"/>
    <cellStyle name="Normal 2 4 3 3 5 2 3" xfId="11894" xr:uid="{F8A78CB1-F1F7-4C7A-A788-231F09CCC463}"/>
    <cellStyle name="Normal 2 4 3 3 5 3" xfId="5517" xr:uid="{00000000-0005-0000-0000-000014100000}"/>
    <cellStyle name="Normal 2 4 3 3 5 3 2" xfId="13967" xr:uid="{E7511326-1902-40AA-A800-02E0ECBE39C6}"/>
    <cellStyle name="Normal 2 4 3 3 5 4" xfId="9749" xr:uid="{E4F12512-E06D-44A2-8B87-649BCE462113}"/>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B38453E3-12A6-49ED-838E-659339ECAED8}"/>
    <cellStyle name="Normal 2 4 3 3 6 2 3" xfId="12307" xr:uid="{6EFACA65-C5C9-4D71-A3EA-3AF330453B06}"/>
    <cellStyle name="Normal 2 4 3 3 6 3" xfId="5930" xr:uid="{00000000-0005-0000-0000-000018100000}"/>
    <cellStyle name="Normal 2 4 3 3 6 3 2" xfId="14380" xr:uid="{BC9E9E36-5DAF-4C80-866E-CDCB089E2276}"/>
    <cellStyle name="Normal 2 4 3 3 6 4" xfId="10162" xr:uid="{144F560F-F86E-4BF9-833E-D69320AA29FF}"/>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42069C90-2815-4B41-8484-75BD4C8F9736}"/>
    <cellStyle name="Normal 2 4 3 3 7 2 3" xfId="12720" xr:uid="{6CB8093D-7B6C-4AF0-A338-9E6A36AF4AD8}"/>
    <cellStyle name="Normal 2 4 3 3 7 3" xfId="6343" xr:uid="{00000000-0005-0000-0000-00001C100000}"/>
    <cellStyle name="Normal 2 4 3 3 7 3 2" xfId="14793" xr:uid="{C5CDAE02-2E2D-4C84-B938-871943D59FFF}"/>
    <cellStyle name="Normal 2 4 3 3 7 4" xfId="10575" xr:uid="{9B89D354-C971-4FC9-B0A3-2E167711A0D2}"/>
    <cellStyle name="Normal 2 4 3 3 8" xfId="2473" xr:uid="{00000000-0005-0000-0000-00001D100000}"/>
    <cellStyle name="Normal 2 4 3 3 8 2" xfId="6756" xr:uid="{00000000-0005-0000-0000-00001E100000}"/>
    <cellStyle name="Normal 2 4 3 3 8 2 2" xfId="15206" xr:uid="{04AC3BC4-E015-4008-B492-4C066B725DB3}"/>
    <cellStyle name="Normal 2 4 3 3 8 3" xfId="10988" xr:uid="{5E7AE7A3-B322-4F98-86E7-25D3BA9F6504}"/>
    <cellStyle name="Normal 2 4 3 3 9" xfId="4690" xr:uid="{00000000-0005-0000-0000-00001F100000}"/>
    <cellStyle name="Normal 2 4 3 3 9 2" xfId="13140" xr:uid="{74D850E9-F6E6-41A0-9169-7EB3D9FAA341}"/>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67C124D4-523B-41ED-9974-05DCE97581A2}"/>
    <cellStyle name="Normal 2 4 3 4 2 3" xfId="11480" xr:uid="{4C535108-218A-4A2C-BF8E-914BF2AB0B03}"/>
    <cellStyle name="Normal 2 4 3 4 3" xfId="5103" xr:uid="{00000000-0005-0000-0000-000023100000}"/>
    <cellStyle name="Normal 2 4 3 4 3 2" xfId="13553" xr:uid="{752F60CF-E826-4AE1-8218-9E48665A0D2D}"/>
    <cellStyle name="Normal 2 4 3 4 4" xfId="9335" xr:uid="{DC856F97-CFDF-4BC2-8CC0-93A02AEB3CBB}"/>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36E90ABA-AD9B-4986-8CC2-8652C0DC2609}"/>
    <cellStyle name="Normal 2 4 3 5 2 3" xfId="11893" xr:uid="{CE32722D-4227-4894-ABA3-92353AE8E19E}"/>
    <cellStyle name="Normal 2 4 3 5 3" xfId="5516" xr:uid="{00000000-0005-0000-0000-000027100000}"/>
    <cellStyle name="Normal 2 4 3 5 3 2" xfId="13966" xr:uid="{47B510E4-0C96-44FD-A8C4-FA72CC45A669}"/>
    <cellStyle name="Normal 2 4 3 5 4" xfId="9748" xr:uid="{2A9E767F-3C1D-4C00-83CA-43D2C3F70298}"/>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1891BE03-A8DA-47F1-B164-993D5310AF2C}"/>
    <cellStyle name="Normal 2 4 3 6 2 3" xfId="12306" xr:uid="{2B0A0729-3958-4B2D-963D-B18B309243B9}"/>
    <cellStyle name="Normal 2 4 3 6 3" xfId="5929" xr:uid="{00000000-0005-0000-0000-00002B100000}"/>
    <cellStyle name="Normal 2 4 3 6 3 2" xfId="14379" xr:uid="{D675A572-BCFE-417D-8FA8-4379F3FD4EB1}"/>
    <cellStyle name="Normal 2 4 3 6 4" xfId="10161" xr:uid="{0B51174D-E602-4B69-91BA-7EA1DC54B350}"/>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7B24898E-4496-45AD-B68A-95D56CD33BCB}"/>
    <cellStyle name="Normal 2 4 3 7 2 3" xfId="12719" xr:uid="{51573D4E-5CFD-41BB-8A15-037545656792}"/>
    <cellStyle name="Normal 2 4 3 7 3" xfId="6342" xr:uid="{00000000-0005-0000-0000-00002F100000}"/>
    <cellStyle name="Normal 2 4 3 7 3 2" xfId="14792" xr:uid="{845D6DB2-CE62-4D6A-9F46-F67525251717}"/>
    <cellStyle name="Normal 2 4 3 7 4" xfId="10574" xr:uid="{94CEF16B-04B8-4362-9A5B-6E1AE9F3887D}"/>
    <cellStyle name="Normal 2 4 3 8" xfId="2472" xr:uid="{00000000-0005-0000-0000-000030100000}"/>
    <cellStyle name="Normal 2 4 3 8 2" xfId="6755" xr:uid="{00000000-0005-0000-0000-000031100000}"/>
    <cellStyle name="Normal 2 4 3 8 2 2" xfId="15205" xr:uid="{E30A9A33-2953-407A-9738-C0B2F9B83587}"/>
    <cellStyle name="Normal 2 4 3 8 3" xfId="10987" xr:uid="{A9C38749-AA0C-4A1C-85BD-FDFF65FBB561}"/>
    <cellStyle name="Normal 2 4 3 9" xfId="4689" xr:uid="{00000000-0005-0000-0000-000032100000}"/>
    <cellStyle name="Normal 2 4 3 9 2" xfId="13139" xr:uid="{E0F0CEDD-AA1A-472A-AE80-D7F24BBB1CD6}"/>
    <cellStyle name="Normal 2 4 4" xfId="302" xr:uid="{00000000-0005-0000-0000-000033100000}"/>
    <cellStyle name="Normal 2 4 5" xfId="303" xr:uid="{00000000-0005-0000-0000-000034100000}"/>
    <cellStyle name="Normal 2 4 5 10" xfId="4694" xr:uid="{00000000-0005-0000-0000-000035100000}"/>
    <cellStyle name="Normal 2 4 5 10 2" xfId="13144" xr:uid="{D41E37BD-90BF-45D7-936F-0FB60716BC3B}"/>
    <cellStyle name="Normal 2 4 5 11" xfId="8926" xr:uid="{9B6A1DC5-0237-4569-875D-8445130B36CE}"/>
    <cellStyle name="Normal 2 4 5 2" xfId="304" xr:uid="{00000000-0005-0000-0000-000036100000}"/>
    <cellStyle name="Normal 2 4 5 2 10" xfId="8927" xr:uid="{99BB9F84-311C-452D-B7CA-51F3F64B5266}"/>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4BE25EC7-60AA-40F7-875F-DE77121DF3BB}"/>
    <cellStyle name="Normal 2 4 5 2 2 2 2 2 3" xfId="11488" xr:uid="{127A4595-2637-4B75-95B9-A4CFC3377218}"/>
    <cellStyle name="Normal 2 4 5 2 2 2 2 3" xfId="5111" xr:uid="{00000000-0005-0000-0000-00003C100000}"/>
    <cellStyle name="Normal 2 4 5 2 2 2 2 3 2" xfId="13561" xr:uid="{96039B10-D026-48B4-9EF2-0A2146683E7F}"/>
    <cellStyle name="Normal 2 4 5 2 2 2 2 4" xfId="9343" xr:uid="{0DD7AF7E-D3D2-4F83-92C6-A64661920ED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C6D4067B-5899-47D5-83E8-04B7CDA95B7F}"/>
    <cellStyle name="Normal 2 4 5 2 2 2 3 2 3" xfId="11901" xr:uid="{12AAD112-F3DF-42D0-AD17-362DAB47460D}"/>
    <cellStyle name="Normal 2 4 5 2 2 2 3 3" xfId="5524" xr:uid="{00000000-0005-0000-0000-000040100000}"/>
    <cellStyle name="Normal 2 4 5 2 2 2 3 3 2" xfId="13974" xr:uid="{A83C2C79-0BD6-4841-9074-A1DF6FCEE360}"/>
    <cellStyle name="Normal 2 4 5 2 2 2 3 4" xfId="9756" xr:uid="{BE836BD5-32CC-425B-8C75-AC55993301C5}"/>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23FCD7DB-F22B-4D30-9FFC-9260C3BB5D97}"/>
    <cellStyle name="Normal 2 4 5 2 2 2 4 2 3" xfId="12314" xr:uid="{85630C1B-E3D1-4045-BB95-08300F3E82EE}"/>
    <cellStyle name="Normal 2 4 5 2 2 2 4 3" xfId="5937" xr:uid="{00000000-0005-0000-0000-000044100000}"/>
    <cellStyle name="Normal 2 4 5 2 2 2 4 3 2" xfId="14387" xr:uid="{9877C4F9-D5C2-4CE3-929D-0F12B61D0246}"/>
    <cellStyle name="Normal 2 4 5 2 2 2 4 4" xfId="10169" xr:uid="{3782A9CC-A593-44C2-81C3-8536ECF3874C}"/>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1D8796E4-8B03-4114-B8BE-84E9D5B3278E}"/>
    <cellStyle name="Normal 2 4 5 2 2 2 5 2 3" xfId="12727" xr:uid="{4B55AF40-413E-4BA4-8113-1B59D70200AB}"/>
    <cellStyle name="Normal 2 4 5 2 2 2 5 3" xfId="6350" xr:uid="{00000000-0005-0000-0000-000048100000}"/>
    <cellStyle name="Normal 2 4 5 2 2 2 5 3 2" xfId="14800" xr:uid="{291E4CB0-0611-417B-9DEA-C4C74933CAC3}"/>
    <cellStyle name="Normal 2 4 5 2 2 2 5 4" xfId="10582" xr:uid="{B7570AFC-D654-4D5A-A74D-7A8106E5802D}"/>
    <cellStyle name="Normal 2 4 5 2 2 2 6" xfId="2480" xr:uid="{00000000-0005-0000-0000-000049100000}"/>
    <cellStyle name="Normal 2 4 5 2 2 2 6 2" xfId="6763" xr:uid="{00000000-0005-0000-0000-00004A100000}"/>
    <cellStyle name="Normal 2 4 5 2 2 2 6 2 2" xfId="15213" xr:uid="{B9685822-1BB5-4755-959F-D64AE005696F}"/>
    <cellStyle name="Normal 2 4 5 2 2 2 6 3" xfId="10995" xr:uid="{3C582720-C21D-4DE6-A361-73DF8093C3A5}"/>
    <cellStyle name="Normal 2 4 5 2 2 2 7" xfId="4697" xr:uid="{00000000-0005-0000-0000-00004B100000}"/>
    <cellStyle name="Normal 2 4 5 2 2 2 7 2" xfId="13147" xr:uid="{4FB702F2-E5CB-4993-B731-4B4C9F93CB38}"/>
    <cellStyle name="Normal 2 4 5 2 2 2 8" xfId="8929" xr:uid="{781068E9-5DA2-4824-A26A-92B3A1EE53FD}"/>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A0EF1CC8-35CA-4EC2-AB09-98BFD38CEF3B}"/>
    <cellStyle name="Normal 2 4 5 2 2 3 2 3" xfId="11487" xr:uid="{8C7965D5-1E93-430B-A93F-F7BFA1FB7FA1}"/>
    <cellStyle name="Normal 2 4 5 2 2 3 3" xfId="5110" xr:uid="{00000000-0005-0000-0000-00004F100000}"/>
    <cellStyle name="Normal 2 4 5 2 2 3 3 2" xfId="13560" xr:uid="{F5C5354A-2D39-4CF5-983F-25194A74FF9C}"/>
    <cellStyle name="Normal 2 4 5 2 2 3 4" xfId="9342" xr:uid="{70EF1E30-1671-45BE-9382-6F720A788CA8}"/>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D957106C-18BE-414E-A26B-3939450667C9}"/>
    <cellStyle name="Normal 2 4 5 2 2 4 2 3" xfId="11900" xr:uid="{170796CA-F140-4207-8B7B-FA5B185DE34A}"/>
    <cellStyle name="Normal 2 4 5 2 2 4 3" xfId="5523" xr:uid="{00000000-0005-0000-0000-000053100000}"/>
    <cellStyle name="Normal 2 4 5 2 2 4 3 2" xfId="13973" xr:uid="{8EC059F1-E8D1-47AA-ACB5-64C6DBA7F4ED}"/>
    <cellStyle name="Normal 2 4 5 2 2 4 4" xfId="9755" xr:uid="{4F8AB2A1-46BF-49B5-ADEC-2DDE2F5D53FF}"/>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35068ACE-86DF-4E90-BA93-5B89B8F55502}"/>
    <cellStyle name="Normal 2 4 5 2 2 5 2 3" xfId="12313" xr:uid="{63304FD5-DB47-4C5D-BB09-4DAFBDED7B09}"/>
    <cellStyle name="Normal 2 4 5 2 2 5 3" xfId="5936" xr:uid="{00000000-0005-0000-0000-000057100000}"/>
    <cellStyle name="Normal 2 4 5 2 2 5 3 2" xfId="14386" xr:uid="{9B8C4C31-C54F-4FA7-BB62-AA565576A8C7}"/>
    <cellStyle name="Normal 2 4 5 2 2 5 4" xfId="10168" xr:uid="{3AB59087-8CC5-49DD-A503-65EFD098008D}"/>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901F4315-0DE6-49F6-BC65-13CDA9BF2A91}"/>
    <cellStyle name="Normal 2 4 5 2 2 6 2 3" xfId="12726" xr:uid="{CE3AFB9E-145D-4586-B596-DAE21D805B2D}"/>
    <cellStyle name="Normal 2 4 5 2 2 6 3" xfId="6349" xr:uid="{00000000-0005-0000-0000-00005B100000}"/>
    <cellStyle name="Normal 2 4 5 2 2 6 3 2" xfId="14799" xr:uid="{AB45C2CE-20BE-4B00-B722-0EF1317A5BD0}"/>
    <cellStyle name="Normal 2 4 5 2 2 6 4" xfId="10581" xr:uid="{7CC154F5-72B4-472B-9149-998963DEB777}"/>
    <cellStyle name="Normal 2 4 5 2 2 7" xfId="2479" xr:uid="{00000000-0005-0000-0000-00005C100000}"/>
    <cellStyle name="Normal 2 4 5 2 2 7 2" xfId="6762" xr:uid="{00000000-0005-0000-0000-00005D100000}"/>
    <cellStyle name="Normal 2 4 5 2 2 7 2 2" xfId="15212" xr:uid="{D85E89A6-4D8E-462B-909A-BA310FBD0CBF}"/>
    <cellStyle name="Normal 2 4 5 2 2 7 3" xfId="10994" xr:uid="{A8DDFB38-0830-4E29-AF8B-421E3A4AAE1C}"/>
    <cellStyle name="Normal 2 4 5 2 2 8" xfId="4696" xr:uid="{00000000-0005-0000-0000-00005E100000}"/>
    <cellStyle name="Normal 2 4 5 2 2 8 2" xfId="13146" xr:uid="{46D7395F-FECF-4B9E-9CE5-5E76660762D4}"/>
    <cellStyle name="Normal 2 4 5 2 2 9" xfId="8928" xr:uid="{73A3B9E6-6FF3-4D24-A307-542EF5233F16}"/>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7B1A3011-3E78-4B63-91D9-C4713B96C380}"/>
    <cellStyle name="Normal 2 4 5 2 3 2 2 3" xfId="11489" xr:uid="{3F34217C-BB1B-4B84-B4AD-D153665C4F74}"/>
    <cellStyle name="Normal 2 4 5 2 3 2 3" xfId="5112" xr:uid="{00000000-0005-0000-0000-000063100000}"/>
    <cellStyle name="Normal 2 4 5 2 3 2 3 2" xfId="13562" xr:uid="{491700FD-3F7B-408E-80E3-D6F82C284F62}"/>
    <cellStyle name="Normal 2 4 5 2 3 2 4" xfId="9344" xr:uid="{B73C4CA1-251F-4A19-B225-72585B1FB226}"/>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ABD95A6D-E085-4E99-9CB3-1801949D3226}"/>
    <cellStyle name="Normal 2 4 5 2 3 3 2 3" xfId="11902" xr:uid="{C9C011EA-AC20-48C4-92A1-07689EC6A052}"/>
    <cellStyle name="Normal 2 4 5 2 3 3 3" xfId="5525" xr:uid="{00000000-0005-0000-0000-000067100000}"/>
    <cellStyle name="Normal 2 4 5 2 3 3 3 2" xfId="13975" xr:uid="{3B38E4DF-7757-41A1-A56E-C6694D2D40ED}"/>
    <cellStyle name="Normal 2 4 5 2 3 3 4" xfId="9757" xr:uid="{AF127D54-A30E-47E8-A000-731CB8697F84}"/>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3922D620-8A34-47DD-BF2E-69CE55F14CE4}"/>
    <cellStyle name="Normal 2 4 5 2 3 4 2 3" xfId="12315" xr:uid="{68F89E3B-9EE2-4A21-814A-CF75C9A284F4}"/>
    <cellStyle name="Normal 2 4 5 2 3 4 3" xfId="5938" xr:uid="{00000000-0005-0000-0000-00006B100000}"/>
    <cellStyle name="Normal 2 4 5 2 3 4 3 2" xfId="14388" xr:uid="{051680B9-A1C9-4801-93E6-F2AD96D5E75A}"/>
    <cellStyle name="Normal 2 4 5 2 3 4 4" xfId="10170" xr:uid="{01C8C3EB-826B-4087-B5BC-E5A998A17865}"/>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591FCB07-AC28-4DF6-B070-C563BC762510}"/>
    <cellStyle name="Normal 2 4 5 2 3 5 2 3" xfId="12728" xr:uid="{57FEF529-3403-4FDD-8E7D-34985F801D8A}"/>
    <cellStyle name="Normal 2 4 5 2 3 5 3" xfId="6351" xr:uid="{00000000-0005-0000-0000-00006F100000}"/>
    <cellStyle name="Normal 2 4 5 2 3 5 3 2" xfId="14801" xr:uid="{656463AB-9F5D-40BA-878B-AC24191C6A71}"/>
    <cellStyle name="Normal 2 4 5 2 3 5 4" xfId="10583" xr:uid="{764A21DC-5797-40DC-A7E7-78D3658C92AD}"/>
    <cellStyle name="Normal 2 4 5 2 3 6" xfId="2481" xr:uid="{00000000-0005-0000-0000-000070100000}"/>
    <cellStyle name="Normal 2 4 5 2 3 6 2" xfId="6764" xr:uid="{00000000-0005-0000-0000-000071100000}"/>
    <cellStyle name="Normal 2 4 5 2 3 6 2 2" xfId="15214" xr:uid="{1B9294EF-3233-4D36-8C00-4991A0D7B652}"/>
    <cellStyle name="Normal 2 4 5 2 3 6 3" xfId="10996" xr:uid="{5C756C55-FADA-4A6E-A50A-3D709DA98228}"/>
    <cellStyle name="Normal 2 4 5 2 3 7" xfId="4698" xr:uid="{00000000-0005-0000-0000-000072100000}"/>
    <cellStyle name="Normal 2 4 5 2 3 7 2" xfId="13148" xr:uid="{56EF73A3-A47C-4AD8-BEFD-4CEDFC6602DB}"/>
    <cellStyle name="Normal 2 4 5 2 3 8" xfId="8930" xr:uid="{70236A93-AA1F-4F29-91F8-8F8D2AC26EE3}"/>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E60FDA33-9BB9-4AF2-BA49-AFE2637EE093}"/>
    <cellStyle name="Normal 2 4 5 2 4 2 3" xfId="11486" xr:uid="{93E07D52-1E7F-4815-AB25-71F7D4A64EF1}"/>
    <cellStyle name="Normal 2 4 5 2 4 3" xfId="5109" xr:uid="{00000000-0005-0000-0000-000076100000}"/>
    <cellStyle name="Normal 2 4 5 2 4 3 2" xfId="13559" xr:uid="{99186C11-CCCB-4221-914D-C52129A64526}"/>
    <cellStyle name="Normal 2 4 5 2 4 4" xfId="9341" xr:uid="{46198651-0D00-4DF9-906A-24B90D69D04D}"/>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C390927E-00DC-4A6B-A007-21F1CA250A8D}"/>
    <cellStyle name="Normal 2 4 5 2 5 2 3" xfId="11899" xr:uid="{1A71B9B8-F7A0-4262-947D-427F3B64F497}"/>
    <cellStyle name="Normal 2 4 5 2 5 3" xfId="5522" xr:uid="{00000000-0005-0000-0000-00007A100000}"/>
    <cellStyle name="Normal 2 4 5 2 5 3 2" xfId="13972" xr:uid="{4C79D1BF-3C1A-411C-87ED-D537D457E71E}"/>
    <cellStyle name="Normal 2 4 5 2 5 4" xfId="9754" xr:uid="{C546D7EF-4868-4720-A702-29D4FB5FF32E}"/>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4FC62A7B-D0F3-4384-AAB2-EF06347A41EC}"/>
    <cellStyle name="Normal 2 4 5 2 6 2 3" xfId="12312" xr:uid="{51BD4D9F-B9F2-4F62-8B13-50CED2FA0377}"/>
    <cellStyle name="Normal 2 4 5 2 6 3" xfId="5935" xr:uid="{00000000-0005-0000-0000-00007E100000}"/>
    <cellStyle name="Normal 2 4 5 2 6 3 2" xfId="14385" xr:uid="{B554AD4A-739C-4C01-917E-3343328056F0}"/>
    <cellStyle name="Normal 2 4 5 2 6 4" xfId="10167" xr:uid="{9495ED1A-B815-4A37-B18B-FBA00BB0CB6B}"/>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CDF1662B-C4A1-40D4-8865-6935DE191527}"/>
    <cellStyle name="Normal 2 4 5 2 7 2 3" xfId="12725" xr:uid="{1CF7CB35-20F0-4AF7-861B-D3555236C5B9}"/>
    <cellStyle name="Normal 2 4 5 2 7 3" xfId="6348" xr:uid="{00000000-0005-0000-0000-000082100000}"/>
    <cellStyle name="Normal 2 4 5 2 7 3 2" xfId="14798" xr:uid="{EE2A538E-57BC-48A0-890D-B436EC2A7966}"/>
    <cellStyle name="Normal 2 4 5 2 7 4" xfId="10580" xr:uid="{70522930-6F95-49E4-99CF-E166A676CD72}"/>
    <cellStyle name="Normal 2 4 5 2 8" xfId="2478" xr:uid="{00000000-0005-0000-0000-000083100000}"/>
    <cellStyle name="Normal 2 4 5 2 8 2" xfId="6761" xr:uid="{00000000-0005-0000-0000-000084100000}"/>
    <cellStyle name="Normal 2 4 5 2 8 2 2" xfId="15211" xr:uid="{310CD183-131A-4956-B6C0-505DD3333171}"/>
    <cellStyle name="Normal 2 4 5 2 8 3" xfId="10993" xr:uid="{5FC3E0EE-7FE6-49F6-AD66-FE3575C0CA7B}"/>
    <cellStyle name="Normal 2 4 5 2 9" xfId="4695" xr:uid="{00000000-0005-0000-0000-000085100000}"/>
    <cellStyle name="Normal 2 4 5 2 9 2" xfId="13145" xr:uid="{9767D1BC-1B0B-4B44-859A-77EE2D18C92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8CFB688C-55EF-4E46-AE93-CD9EB9D3CEBD}"/>
    <cellStyle name="Normal 2 4 5 3 2 2 2 3" xfId="11491" xr:uid="{E82F143D-13C8-425D-AA5C-51F86BD77229}"/>
    <cellStyle name="Normal 2 4 5 3 2 2 3" xfId="5114" xr:uid="{00000000-0005-0000-0000-00008B100000}"/>
    <cellStyle name="Normal 2 4 5 3 2 2 3 2" xfId="13564" xr:uid="{1CCA4836-C1BA-4F30-87CD-A5B4D532B8E0}"/>
    <cellStyle name="Normal 2 4 5 3 2 2 4" xfId="9346" xr:uid="{470BB45A-6B31-4E56-B243-F2883C023ECC}"/>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BAEDBCB1-2BB4-4E0A-AFBE-0301859607A8}"/>
    <cellStyle name="Normal 2 4 5 3 2 3 2 3" xfId="11904" xr:uid="{1652D2E5-106D-4F2B-857B-A65A328D0D79}"/>
    <cellStyle name="Normal 2 4 5 3 2 3 3" xfId="5527" xr:uid="{00000000-0005-0000-0000-00008F100000}"/>
    <cellStyle name="Normal 2 4 5 3 2 3 3 2" xfId="13977" xr:uid="{5F2C0906-8F62-4191-91C0-6BAD715754C0}"/>
    <cellStyle name="Normal 2 4 5 3 2 3 4" xfId="9759" xr:uid="{EBF562CE-DE73-4EBC-BA6D-4105596D8506}"/>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9F0F79CB-173B-4286-AC9D-DFE8EA5FC0BA}"/>
    <cellStyle name="Normal 2 4 5 3 2 4 2 3" xfId="12317" xr:uid="{10B367FB-0538-4970-92EB-4A9B8CA859D6}"/>
    <cellStyle name="Normal 2 4 5 3 2 4 3" xfId="5940" xr:uid="{00000000-0005-0000-0000-000093100000}"/>
    <cellStyle name="Normal 2 4 5 3 2 4 3 2" xfId="14390" xr:uid="{DDE6467D-E3D0-43EF-9D54-5BDE911F673E}"/>
    <cellStyle name="Normal 2 4 5 3 2 4 4" xfId="10172" xr:uid="{9807FA8D-C234-4C64-8258-2553043C2F52}"/>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31E367CD-E72F-4F69-A1EE-FAABA62F066E}"/>
    <cellStyle name="Normal 2 4 5 3 2 5 2 3" xfId="12730" xr:uid="{47BC0933-7261-46C9-95F4-D73577DA3FC7}"/>
    <cellStyle name="Normal 2 4 5 3 2 5 3" xfId="6353" xr:uid="{00000000-0005-0000-0000-000097100000}"/>
    <cellStyle name="Normal 2 4 5 3 2 5 3 2" xfId="14803" xr:uid="{F9E9FF78-AF3E-4E9A-8E51-D3F926017890}"/>
    <cellStyle name="Normal 2 4 5 3 2 5 4" xfId="10585" xr:uid="{187185E9-CBBC-4A90-8721-8DFFAA8A4ED8}"/>
    <cellStyle name="Normal 2 4 5 3 2 6" xfId="2483" xr:uid="{00000000-0005-0000-0000-000098100000}"/>
    <cellStyle name="Normal 2 4 5 3 2 6 2" xfId="6766" xr:uid="{00000000-0005-0000-0000-000099100000}"/>
    <cellStyle name="Normal 2 4 5 3 2 6 2 2" xfId="15216" xr:uid="{1D2B6043-2381-4838-87D4-2D7036ECA0FD}"/>
    <cellStyle name="Normal 2 4 5 3 2 6 3" xfId="10998" xr:uid="{9BC5BD67-208A-46B1-8735-0DC4095895EC}"/>
    <cellStyle name="Normal 2 4 5 3 2 7" xfId="4700" xr:uid="{00000000-0005-0000-0000-00009A100000}"/>
    <cellStyle name="Normal 2 4 5 3 2 7 2" xfId="13150" xr:uid="{6B2FFD61-370B-42F2-A06C-DAC3A1B4730A}"/>
    <cellStyle name="Normal 2 4 5 3 2 8" xfId="8932" xr:uid="{1ED20F46-C1CA-4A1A-998F-24753BF82CBB}"/>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773210E8-C508-4456-B5C8-B58A67D59E3A}"/>
    <cellStyle name="Normal 2 4 5 3 3 2 3" xfId="11490" xr:uid="{8113DB16-9518-4013-8B93-6015FDFFD56F}"/>
    <cellStyle name="Normal 2 4 5 3 3 3" xfId="5113" xr:uid="{00000000-0005-0000-0000-00009E100000}"/>
    <cellStyle name="Normal 2 4 5 3 3 3 2" xfId="13563" xr:uid="{2B41A859-7CEE-4855-93EB-235BC34E3167}"/>
    <cellStyle name="Normal 2 4 5 3 3 4" xfId="9345" xr:uid="{3FFE03F7-5391-491B-9706-4C87684225B0}"/>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D0505607-0169-4D92-B10B-77D40D78BEB4}"/>
    <cellStyle name="Normal 2 4 5 3 4 2 3" xfId="11903" xr:uid="{677C33BB-EC84-4D75-958F-5B02FCA084C7}"/>
    <cellStyle name="Normal 2 4 5 3 4 3" xfId="5526" xr:uid="{00000000-0005-0000-0000-0000A2100000}"/>
    <cellStyle name="Normal 2 4 5 3 4 3 2" xfId="13976" xr:uid="{B2D10682-F5BA-4FB9-B868-BE73AE7B5837}"/>
    <cellStyle name="Normal 2 4 5 3 4 4" xfId="9758" xr:uid="{96B222AE-EDFE-4C44-A1EF-6CF17FFE4D3B}"/>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34822D1A-73FD-4FE0-93A7-655F08D28B5D}"/>
    <cellStyle name="Normal 2 4 5 3 5 2 3" xfId="12316" xr:uid="{138498AF-6BB3-47B1-B3D6-F40220DCA9FF}"/>
    <cellStyle name="Normal 2 4 5 3 5 3" xfId="5939" xr:uid="{00000000-0005-0000-0000-0000A6100000}"/>
    <cellStyle name="Normal 2 4 5 3 5 3 2" xfId="14389" xr:uid="{B560A33A-4C58-4A5B-9A2E-EFC4951B97CA}"/>
    <cellStyle name="Normal 2 4 5 3 5 4" xfId="10171" xr:uid="{CD9F6815-896A-4796-8DBB-BB2F086A6215}"/>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291EF5D5-73A1-4467-876E-CA9D286A7343}"/>
    <cellStyle name="Normal 2 4 5 3 6 2 3" xfId="12729" xr:uid="{4A539FD6-9345-4B1E-9A37-06AA8CAD7908}"/>
    <cellStyle name="Normal 2 4 5 3 6 3" xfId="6352" xr:uid="{00000000-0005-0000-0000-0000AA100000}"/>
    <cellStyle name="Normal 2 4 5 3 6 3 2" xfId="14802" xr:uid="{EE29BE77-6373-4F68-95F7-031F9E9D4424}"/>
    <cellStyle name="Normal 2 4 5 3 6 4" xfId="10584" xr:uid="{28C58AB0-4749-42D7-A151-5A141DB4C750}"/>
    <cellStyle name="Normal 2 4 5 3 7" xfId="2482" xr:uid="{00000000-0005-0000-0000-0000AB100000}"/>
    <cellStyle name="Normal 2 4 5 3 7 2" xfId="6765" xr:uid="{00000000-0005-0000-0000-0000AC100000}"/>
    <cellStyle name="Normal 2 4 5 3 7 2 2" xfId="15215" xr:uid="{B69C04EA-48B6-4777-9A31-1F9A6FAF298C}"/>
    <cellStyle name="Normal 2 4 5 3 7 3" xfId="10997" xr:uid="{A23AFCC1-6B4B-4FC1-AA97-EAF1C440FCD0}"/>
    <cellStyle name="Normal 2 4 5 3 8" xfId="4699" xr:uid="{00000000-0005-0000-0000-0000AD100000}"/>
    <cellStyle name="Normal 2 4 5 3 8 2" xfId="13149" xr:uid="{C93C543B-59CA-4FDA-A20B-7C081E2D3D88}"/>
    <cellStyle name="Normal 2 4 5 3 9" xfId="8931" xr:uid="{22746F9A-73C5-42C9-9D8F-2821CCC00B67}"/>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3B8A1F52-0057-4127-92B1-9B8AE305A3B3}"/>
    <cellStyle name="Normal 2 4 5 4 2 2 3" xfId="11492" xr:uid="{9B7D2931-6C34-434B-BD29-A1DFD0B64A78}"/>
    <cellStyle name="Normal 2 4 5 4 2 3" xfId="5115" xr:uid="{00000000-0005-0000-0000-0000B2100000}"/>
    <cellStyle name="Normal 2 4 5 4 2 3 2" xfId="13565" xr:uid="{CA81D678-CB18-4EE8-86E3-E1FF6D0DA6D5}"/>
    <cellStyle name="Normal 2 4 5 4 2 4" xfId="9347" xr:uid="{E3046EB3-C823-4D20-9D6B-61159F4F5E7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CEF83B9F-08DA-4CDC-B683-FC6D5D6A9D9E}"/>
    <cellStyle name="Normal 2 4 5 4 3 2 3" xfId="11905" xr:uid="{A1266CAE-5627-4201-AB44-669D3C7A6CA6}"/>
    <cellStyle name="Normal 2 4 5 4 3 3" xfId="5528" xr:uid="{00000000-0005-0000-0000-0000B6100000}"/>
    <cellStyle name="Normal 2 4 5 4 3 3 2" xfId="13978" xr:uid="{4786589E-F04C-4F63-A0A0-CF44C87B44F6}"/>
    <cellStyle name="Normal 2 4 5 4 3 4" xfId="9760" xr:uid="{957EC6B3-7412-46B1-8892-A87455D674B2}"/>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EC09363E-044D-40AF-81D7-68F6F6045FAA}"/>
    <cellStyle name="Normal 2 4 5 4 4 2 3" xfId="12318" xr:uid="{5CDB01C7-4E3C-4BB3-994E-0C98DA844D65}"/>
    <cellStyle name="Normal 2 4 5 4 4 3" xfId="5941" xr:uid="{00000000-0005-0000-0000-0000BA100000}"/>
    <cellStyle name="Normal 2 4 5 4 4 3 2" xfId="14391" xr:uid="{DF57E2FC-0C6F-4E6E-A844-8FF17F24C08D}"/>
    <cellStyle name="Normal 2 4 5 4 4 4" xfId="10173" xr:uid="{22320A14-2041-45E9-873B-7952A61BE67A}"/>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584BA7B1-FFE7-4BEE-BA4A-7ACA2E0AB6A7}"/>
    <cellStyle name="Normal 2 4 5 4 5 2 3" xfId="12731" xr:uid="{CF2A4F9C-CCAC-4D42-8214-B7C11E657E84}"/>
    <cellStyle name="Normal 2 4 5 4 5 3" xfId="6354" xr:uid="{00000000-0005-0000-0000-0000BE100000}"/>
    <cellStyle name="Normal 2 4 5 4 5 3 2" xfId="14804" xr:uid="{D3F49C32-6A3E-4EC2-A6DF-6DC61CBF40B2}"/>
    <cellStyle name="Normal 2 4 5 4 5 4" xfId="10586" xr:uid="{C846D186-C1FE-409C-B071-5493DF45DD8A}"/>
    <cellStyle name="Normal 2 4 5 4 6" xfId="2484" xr:uid="{00000000-0005-0000-0000-0000BF100000}"/>
    <cellStyle name="Normal 2 4 5 4 6 2" xfId="6767" xr:uid="{00000000-0005-0000-0000-0000C0100000}"/>
    <cellStyle name="Normal 2 4 5 4 6 2 2" xfId="15217" xr:uid="{104C88D7-90E1-430C-9782-025E201CD183}"/>
    <cellStyle name="Normal 2 4 5 4 6 3" xfId="10999" xr:uid="{1A4E7468-C228-4175-9D32-ACED90FC07DA}"/>
    <cellStyle name="Normal 2 4 5 4 7" xfId="4701" xr:uid="{00000000-0005-0000-0000-0000C1100000}"/>
    <cellStyle name="Normal 2 4 5 4 7 2" xfId="13151" xr:uid="{F7EEC32C-E220-4EAA-A0ED-543297B79512}"/>
    <cellStyle name="Normal 2 4 5 4 8" xfId="8933" xr:uid="{67C90BB1-8426-4340-8E84-2586050E42C5}"/>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9C9FACF1-564F-45F5-A407-DBEBD29EA406}"/>
    <cellStyle name="Normal 2 4 5 5 2 3" xfId="11485" xr:uid="{A9D1537F-D6AE-43D1-B1D1-39CEB5AFF9D8}"/>
    <cellStyle name="Normal 2 4 5 5 3" xfId="5108" xr:uid="{00000000-0005-0000-0000-0000C5100000}"/>
    <cellStyle name="Normal 2 4 5 5 3 2" xfId="13558" xr:uid="{D9244C2A-2C14-4536-941D-37501EBC349E}"/>
    <cellStyle name="Normal 2 4 5 5 4" xfId="9340" xr:uid="{9AC99EEA-E823-40C9-B7E0-13DB1E242C97}"/>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368252BD-3751-4548-9460-AC02569E04A3}"/>
    <cellStyle name="Normal 2 4 5 6 2 3" xfId="11898" xr:uid="{46F028A6-9903-4FA0-BE3F-9AF081008684}"/>
    <cellStyle name="Normal 2 4 5 6 3" xfId="5521" xr:uid="{00000000-0005-0000-0000-0000C9100000}"/>
    <cellStyle name="Normal 2 4 5 6 3 2" xfId="13971" xr:uid="{4DD8A23F-BC77-4D0E-BD50-B8EE98D2836B}"/>
    <cellStyle name="Normal 2 4 5 6 4" xfId="9753" xr:uid="{AC2FE751-27E8-4D9D-B4C2-145A09C3E3C4}"/>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CE3D637E-56BD-4F2C-B16D-A3A45D05E532}"/>
    <cellStyle name="Normal 2 4 5 7 2 3" xfId="12311" xr:uid="{EDB6904B-1C7F-453F-AE0D-9752729626DA}"/>
    <cellStyle name="Normal 2 4 5 7 3" xfId="5934" xr:uid="{00000000-0005-0000-0000-0000CD100000}"/>
    <cellStyle name="Normal 2 4 5 7 3 2" xfId="14384" xr:uid="{1BA5A48C-B704-4529-A035-627245B57E0F}"/>
    <cellStyle name="Normal 2 4 5 7 4" xfId="10166" xr:uid="{8A6F3125-FFD9-461C-BCF2-D8A574047D98}"/>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17C4654B-BF61-4C3C-8A0D-C08B217EF423}"/>
    <cellStyle name="Normal 2 4 5 8 2 3" xfId="12724" xr:uid="{2F0FE1F9-6E2A-47AA-A698-54A7B8661174}"/>
    <cellStyle name="Normal 2 4 5 8 3" xfId="6347" xr:uid="{00000000-0005-0000-0000-0000D1100000}"/>
    <cellStyle name="Normal 2 4 5 8 3 2" xfId="14797" xr:uid="{8157CB11-4997-46F2-89FE-BB3E87AEE174}"/>
    <cellStyle name="Normal 2 4 5 8 4" xfId="10579" xr:uid="{8384BBF3-2A84-40AE-8170-C180D8EA609D}"/>
    <cellStyle name="Normal 2 4 5 9" xfId="2477" xr:uid="{00000000-0005-0000-0000-0000D2100000}"/>
    <cellStyle name="Normal 2 4 5 9 2" xfId="6760" xr:uid="{00000000-0005-0000-0000-0000D3100000}"/>
    <cellStyle name="Normal 2 4 5 9 2 2" xfId="15210" xr:uid="{A814AC4F-C0B9-4BE5-B3A7-E7D2FD8A0E66}"/>
    <cellStyle name="Normal 2 4 5 9 3" xfId="10992" xr:uid="{2B3361C8-9D79-4F9B-9F5C-3FA34B62A81C}"/>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25B3A2A9-1E70-4CD0-8727-11543E6654AB}"/>
    <cellStyle name="Normal 2 4 7 2 2 2 3" xfId="11494" xr:uid="{1C578160-C189-4DB8-B87B-9A621A567ED6}"/>
    <cellStyle name="Normal 2 4 7 2 2 3" xfId="5117" xr:uid="{00000000-0005-0000-0000-0000DA100000}"/>
    <cellStyle name="Normal 2 4 7 2 2 3 2" xfId="13567" xr:uid="{21EB4B4E-8DB2-4B1B-9582-CA300CA861A7}"/>
    <cellStyle name="Normal 2 4 7 2 2 4" xfId="9349" xr:uid="{63D8AA85-E9F1-4E93-BC92-43349841A233}"/>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3896F2C4-DDF3-4F3D-A564-F5356FF7A0B1}"/>
    <cellStyle name="Normal 2 4 7 2 3 2 3" xfId="11907" xr:uid="{3A9A4E21-2215-44E6-8BB2-23F88CE677C0}"/>
    <cellStyle name="Normal 2 4 7 2 3 3" xfId="5530" xr:uid="{00000000-0005-0000-0000-0000DE100000}"/>
    <cellStyle name="Normal 2 4 7 2 3 3 2" xfId="13980" xr:uid="{CAF3F497-8448-42F8-9129-13AC011CFBFA}"/>
    <cellStyle name="Normal 2 4 7 2 3 4" xfId="9762" xr:uid="{B1CBA463-FFAF-4E00-B5C4-4D882AC437B8}"/>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E0F37941-2EF9-4460-AE57-FD70E74E29E9}"/>
    <cellStyle name="Normal 2 4 7 2 4 2 3" xfId="12320" xr:uid="{58D2F81E-67C1-49E8-AD47-6FC4E6C665BC}"/>
    <cellStyle name="Normal 2 4 7 2 4 3" xfId="5943" xr:uid="{00000000-0005-0000-0000-0000E2100000}"/>
    <cellStyle name="Normal 2 4 7 2 4 3 2" xfId="14393" xr:uid="{6CE2A644-EBB0-4905-9E05-F158350D7F1F}"/>
    <cellStyle name="Normal 2 4 7 2 4 4" xfId="10175" xr:uid="{431B5C39-1722-4AB8-BA60-08E6F9E5C2A0}"/>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FE502D13-51F8-4D29-BACF-7E68C0721C8B}"/>
    <cellStyle name="Normal 2 4 7 2 5 2 3" xfId="12733" xr:uid="{D52CF8F7-A56A-4F94-A689-A0B909543B0B}"/>
    <cellStyle name="Normal 2 4 7 2 5 3" xfId="6356" xr:uid="{00000000-0005-0000-0000-0000E6100000}"/>
    <cellStyle name="Normal 2 4 7 2 5 3 2" xfId="14806" xr:uid="{BBA42F30-9FBF-4607-99AD-08DA3D4625B3}"/>
    <cellStyle name="Normal 2 4 7 2 5 4" xfId="10588" xr:uid="{541C2D62-4EE5-4FF3-B5F9-AFE4478C4153}"/>
    <cellStyle name="Normal 2 4 7 2 6" xfId="2486" xr:uid="{00000000-0005-0000-0000-0000E7100000}"/>
    <cellStyle name="Normal 2 4 7 2 6 2" xfId="6769" xr:uid="{00000000-0005-0000-0000-0000E8100000}"/>
    <cellStyle name="Normal 2 4 7 2 6 2 2" xfId="15219" xr:uid="{EDC7627C-26B3-4D68-964A-E1EDBD070CB4}"/>
    <cellStyle name="Normal 2 4 7 2 6 3" xfId="11001" xr:uid="{52E4E710-D6ED-4A9E-85AF-57D0A745F0E9}"/>
    <cellStyle name="Normal 2 4 7 2 7" xfId="4703" xr:uid="{00000000-0005-0000-0000-0000E9100000}"/>
    <cellStyle name="Normal 2 4 7 2 7 2" xfId="13153" xr:uid="{550BB7C4-D605-43AD-8037-A922CFA4C906}"/>
    <cellStyle name="Normal 2 4 7 2 8" xfId="8935" xr:uid="{3F486E33-30D7-46CD-947D-B54A64E379BC}"/>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9E5B04AF-5BC0-4ECE-8D44-05A1BE97FE18}"/>
    <cellStyle name="Normal 2 4 7 3 2 3" xfId="11493" xr:uid="{E3F35DBD-B8CC-4C18-9CCE-98C5ACDA6145}"/>
    <cellStyle name="Normal 2 4 7 3 3" xfId="5116" xr:uid="{00000000-0005-0000-0000-0000ED100000}"/>
    <cellStyle name="Normal 2 4 7 3 3 2" xfId="13566" xr:uid="{314496B9-8D2C-4CFC-BC18-F7ED10F21297}"/>
    <cellStyle name="Normal 2 4 7 3 4" xfId="9348" xr:uid="{D04B6886-9177-4F69-9C88-3584733BD144}"/>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4B246FDD-DDC7-4D8C-A16B-DCCD5951B616}"/>
    <cellStyle name="Normal 2 4 7 4 2 3" xfId="11906" xr:uid="{7B8E92E0-FD34-4E3D-9EE3-125ADBC22091}"/>
    <cellStyle name="Normal 2 4 7 4 3" xfId="5529" xr:uid="{00000000-0005-0000-0000-0000F1100000}"/>
    <cellStyle name="Normal 2 4 7 4 3 2" xfId="13979" xr:uid="{CC8BFF12-4466-4243-A321-E848D9D125AB}"/>
    <cellStyle name="Normal 2 4 7 4 4" xfId="9761" xr:uid="{798E8020-02F3-464F-9277-30CF361838E4}"/>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0CB116AA-6505-44CB-BA1F-8D490CABC6CA}"/>
    <cellStyle name="Normal 2 4 7 5 2 3" xfId="12319" xr:uid="{2A170E9D-166B-48FA-ADF1-DD48CE8590D4}"/>
    <cellStyle name="Normal 2 4 7 5 3" xfId="5942" xr:uid="{00000000-0005-0000-0000-0000F5100000}"/>
    <cellStyle name="Normal 2 4 7 5 3 2" xfId="14392" xr:uid="{31F9FCAF-75BF-4858-B2D8-38E4585BD261}"/>
    <cellStyle name="Normal 2 4 7 5 4" xfId="10174" xr:uid="{CE722982-7949-4E8B-81E9-7C2CD1DC7A1D}"/>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2CD970DC-A8AA-488C-8C3C-5B5EC63EC785}"/>
    <cellStyle name="Normal 2 4 7 6 2 3" xfId="12732" xr:uid="{147CB78A-FC59-46B1-BC39-9DFA0C9117A4}"/>
    <cellStyle name="Normal 2 4 7 6 3" xfId="6355" xr:uid="{00000000-0005-0000-0000-0000F9100000}"/>
    <cellStyle name="Normal 2 4 7 6 3 2" xfId="14805" xr:uid="{351F30BA-857A-4BB5-B41D-C7C1ABAA68D1}"/>
    <cellStyle name="Normal 2 4 7 6 4" xfId="10587" xr:uid="{32843503-65A1-4394-8690-67A12921DE56}"/>
    <cellStyle name="Normal 2 4 7 7" xfId="2485" xr:uid="{00000000-0005-0000-0000-0000FA100000}"/>
    <cellStyle name="Normal 2 4 7 7 2" xfId="6768" xr:uid="{00000000-0005-0000-0000-0000FB100000}"/>
    <cellStyle name="Normal 2 4 7 7 2 2" xfId="15218" xr:uid="{4EEFD738-1FEE-4E7E-B9CA-6805FB9F91AB}"/>
    <cellStyle name="Normal 2 4 7 7 3" xfId="11000" xr:uid="{9A4ED12A-308C-4586-82FD-B889D59C9BAA}"/>
    <cellStyle name="Normal 2 4 7 8" xfId="4702" xr:uid="{00000000-0005-0000-0000-0000FC100000}"/>
    <cellStyle name="Normal 2 4 7 8 2" xfId="13152" xr:uid="{CDA9A728-4740-46E9-A98B-466CD777640E}"/>
    <cellStyle name="Normal 2 4 7 9" xfId="8934" xr:uid="{6BD8B796-FBB0-42C3-BAFE-9BE6E299A14D}"/>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75CC9F7C-39D6-414C-B5ED-B1EA58F63140}"/>
    <cellStyle name="Normal 2 4 8 2 2 3" xfId="11495" xr:uid="{6113EDB1-5467-4DAF-96FF-8139E1158838}"/>
    <cellStyle name="Normal 2 4 8 2 3" xfId="5118" xr:uid="{00000000-0005-0000-0000-000001110000}"/>
    <cellStyle name="Normal 2 4 8 2 3 2" xfId="13568" xr:uid="{62E25D8E-FC7A-40B0-AB0E-0A83F9C40209}"/>
    <cellStyle name="Normal 2 4 8 2 4" xfId="9350" xr:uid="{B2231A9F-C28C-4487-9A56-B1E944CC08A6}"/>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EB1DBD6D-7490-4B40-AE62-8DA19DFCCE8E}"/>
    <cellStyle name="Normal 2 4 8 3 2 3" xfId="11908" xr:uid="{7213BFFD-6610-4EFC-A58F-D83838E2ACC3}"/>
    <cellStyle name="Normal 2 4 8 3 3" xfId="5531" xr:uid="{00000000-0005-0000-0000-000005110000}"/>
    <cellStyle name="Normal 2 4 8 3 3 2" xfId="13981" xr:uid="{9D4778D7-FA82-4D3D-AB6F-9D30447C2D45}"/>
    <cellStyle name="Normal 2 4 8 3 4" xfId="9763" xr:uid="{5434D228-1669-4157-8B51-FA8C54AE86A0}"/>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3B3C13AC-E2D3-4DDA-AA75-23D2D6AB133C}"/>
    <cellStyle name="Normal 2 4 8 4 2 3" xfId="12321" xr:uid="{01FE3017-7E4E-4900-8D53-31A2473D5C81}"/>
    <cellStyle name="Normal 2 4 8 4 3" xfId="5944" xr:uid="{00000000-0005-0000-0000-000009110000}"/>
    <cellStyle name="Normal 2 4 8 4 3 2" xfId="14394" xr:uid="{05AEA1A4-5378-42D1-A2E6-3D227CAE239F}"/>
    <cellStyle name="Normal 2 4 8 4 4" xfId="10176" xr:uid="{7662A3BA-36EF-4905-9600-34356C63CA33}"/>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88723114-B5B7-4952-831F-12AC044508EB}"/>
    <cellStyle name="Normal 2 4 8 5 2 3" xfId="12734" xr:uid="{E56A741D-024E-4AFC-AFD9-A8AE1451B1B8}"/>
    <cellStyle name="Normal 2 4 8 5 3" xfId="6357" xr:uid="{00000000-0005-0000-0000-00000D110000}"/>
    <cellStyle name="Normal 2 4 8 5 3 2" xfId="14807" xr:uid="{C663F74C-7281-4F36-A84C-9B44B901CC61}"/>
    <cellStyle name="Normal 2 4 8 5 4" xfId="10589" xr:uid="{926846B6-0253-4248-B23C-19B1C13B42FC}"/>
    <cellStyle name="Normal 2 4 8 6" xfId="2487" xr:uid="{00000000-0005-0000-0000-00000E110000}"/>
    <cellStyle name="Normal 2 4 8 6 2" xfId="6770" xr:uid="{00000000-0005-0000-0000-00000F110000}"/>
    <cellStyle name="Normal 2 4 8 6 2 2" xfId="15220" xr:uid="{8234F8FA-7A01-4B26-88DD-1D2E6DAD8BE3}"/>
    <cellStyle name="Normal 2 4 8 6 3" xfId="11002" xr:uid="{26CAB923-0B3B-4633-9134-8013E433B9F6}"/>
    <cellStyle name="Normal 2 4 8 7" xfId="4704" xr:uid="{00000000-0005-0000-0000-000010110000}"/>
    <cellStyle name="Normal 2 4 8 7 2" xfId="13154" xr:uid="{DF03205F-1EE9-4DF8-B210-557799C800E3}"/>
    <cellStyle name="Normal 2 4 8 8" xfId="8936" xr:uid="{4EE2CAAF-62B0-4F3B-82B9-8D0A7F0F1F03}"/>
    <cellStyle name="Normal 2 5" xfId="315" xr:uid="{00000000-0005-0000-0000-000011110000}"/>
    <cellStyle name="Normal 2 5 10" xfId="4705" xr:uid="{00000000-0005-0000-0000-000012110000}"/>
    <cellStyle name="Normal 2 5 10 2" xfId="13155" xr:uid="{62CD72E4-1C60-4305-BEFC-045175358A75}"/>
    <cellStyle name="Normal 2 5 11" xfId="8937" xr:uid="{AC431EDF-511E-4A1A-B079-BF4E6729D10E}"/>
    <cellStyle name="Normal 2 5 2" xfId="316" xr:uid="{00000000-0005-0000-0000-000013110000}"/>
    <cellStyle name="Normal 2 5 3" xfId="317" xr:uid="{00000000-0005-0000-0000-000014110000}"/>
    <cellStyle name="Normal 2 5 4" xfId="318" xr:uid="{00000000-0005-0000-0000-000015110000}"/>
    <cellStyle name="Normal 2 5 4 10" xfId="8938" xr:uid="{0F11A2E3-AD10-4016-B1B0-EFFE33800965}"/>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277F68D1-F5D5-4E88-87A4-38CFF5622E3E}"/>
    <cellStyle name="Normal 2 5 4 2 2 2 2 3" xfId="11499" xr:uid="{698520E0-7913-4E68-92F7-57010F7D61BD}"/>
    <cellStyle name="Normal 2 5 4 2 2 2 3" xfId="5122" xr:uid="{00000000-0005-0000-0000-00001B110000}"/>
    <cellStyle name="Normal 2 5 4 2 2 2 3 2" xfId="13572" xr:uid="{B3B64371-831E-40DC-B60F-EC1C8290304C}"/>
    <cellStyle name="Normal 2 5 4 2 2 2 4" xfId="9354" xr:uid="{66FD46DE-9983-44D2-BFDD-9AC2F24C0CCE}"/>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C36A9D47-5D8F-42E8-8E69-FDEAF8BCAEC4}"/>
    <cellStyle name="Normal 2 5 4 2 2 3 2 3" xfId="11912" xr:uid="{177D155C-7A1B-49D9-9A9F-EE8E4682DAB7}"/>
    <cellStyle name="Normal 2 5 4 2 2 3 3" xfId="5535" xr:uid="{00000000-0005-0000-0000-00001F110000}"/>
    <cellStyle name="Normal 2 5 4 2 2 3 3 2" xfId="13985" xr:uid="{A194F6BB-4738-4D1C-AD38-3BB72E803C68}"/>
    <cellStyle name="Normal 2 5 4 2 2 3 4" xfId="9767" xr:uid="{799C7BB3-E483-47D6-85AF-F472AD9A98ED}"/>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8146D77C-8865-4403-A341-2DF5B9CEA52D}"/>
    <cellStyle name="Normal 2 5 4 2 2 4 2 3" xfId="12325" xr:uid="{C5A2CFD9-317B-4438-B29A-98CA028EC7AF}"/>
    <cellStyle name="Normal 2 5 4 2 2 4 3" xfId="5948" xr:uid="{00000000-0005-0000-0000-000023110000}"/>
    <cellStyle name="Normal 2 5 4 2 2 4 3 2" xfId="14398" xr:uid="{18AA5203-99AE-49FC-ABD7-19B2F40D5C25}"/>
    <cellStyle name="Normal 2 5 4 2 2 4 4" xfId="10180" xr:uid="{30872F79-726C-4643-B360-5710F18E41CF}"/>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2869EA85-1B8B-4C02-B309-D8F4C1AB4D19}"/>
    <cellStyle name="Normal 2 5 4 2 2 5 2 3" xfId="12738" xr:uid="{4A3C3DB1-2482-4EB1-BA4C-249C59E3EB74}"/>
    <cellStyle name="Normal 2 5 4 2 2 5 3" xfId="6361" xr:uid="{00000000-0005-0000-0000-000027110000}"/>
    <cellStyle name="Normal 2 5 4 2 2 5 3 2" xfId="14811" xr:uid="{988040BB-6AB2-41BD-AC04-3B17CDDEE153}"/>
    <cellStyle name="Normal 2 5 4 2 2 5 4" xfId="10593" xr:uid="{7565D47E-499C-49EE-A683-2D4638260D5A}"/>
    <cellStyle name="Normal 2 5 4 2 2 6" xfId="2491" xr:uid="{00000000-0005-0000-0000-000028110000}"/>
    <cellStyle name="Normal 2 5 4 2 2 6 2" xfId="6774" xr:uid="{00000000-0005-0000-0000-000029110000}"/>
    <cellStyle name="Normal 2 5 4 2 2 6 2 2" xfId="15224" xr:uid="{A15CC5BA-55FB-4DE2-9F6B-7EE94F293F9F}"/>
    <cellStyle name="Normal 2 5 4 2 2 6 3" xfId="11006" xr:uid="{F5128F5A-155E-4368-BB72-F379ED9E5105}"/>
    <cellStyle name="Normal 2 5 4 2 2 7" xfId="4708" xr:uid="{00000000-0005-0000-0000-00002A110000}"/>
    <cellStyle name="Normal 2 5 4 2 2 7 2" xfId="13158" xr:uid="{4DB769A8-BD48-4228-857B-05CB345A1906}"/>
    <cellStyle name="Normal 2 5 4 2 2 8" xfId="8940" xr:uid="{EFA7981A-5877-418D-AC4B-377388D8D0F0}"/>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2811D774-EE3C-4F08-8E03-1C0AECC6B13F}"/>
    <cellStyle name="Normal 2 5 4 2 3 2 3" xfId="11498" xr:uid="{9972D5DC-5520-4D29-ABA3-3D932201B73D}"/>
    <cellStyle name="Normal 2 5 4 2 3 3" xfId="5121" xr:uid="{00000000-0005-0000-0000-00002E110000}"/>
    <cellStyle name="Normal 2 5 4 2 3 3 2" xfId="13571" xr:uid="{BB06BAEC-21EE-43A1-9351-C31A9E337EDE}"/>
    <cellStyle name="Normal 2 5 4 2 3 4" xfId="9353" xr:uid="{543B83D8-EEB2-4441-B3CA-C5703C4647A0}"/>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814C0CA2-0CDD-494C-AE33-B643648039B6}"/>
    <cellStyle name="Normal 2 5 4 2 4 2 3" xfId="11911" xr:uid="{201DD42A-768E-4C92-A461-54A0823F94F5}"/>
    <cellStyle name="Normal 2 5 4 2 4 3" xfId="5534" xr:uid="{00000000-0005-0000-0000-000032110000}"/>
    <cellStyle name="Normal 2 5 4 2 4 3 2" xfId="13984" xr:uid="{19386C0C-190A-4B11-B2F2-ECAC4DD6C804}"/>
    <cellStyle name="Normal 2 5 4 2 4 4" xfId="9766" xr:uid="{9DF2275A-1A3C-45A1-8C0D-F16D78D1771B}"/>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E638C673-D9AD-40B1-AE48-7A7CA221A0AE}"/>
    <cellStyle name="Normal 2 5 4 2 5 2 3" xfId="12324" xr:uid="{D3D284E8-DDD5-4FA1-A3B2-F107C8683085}"/>
    <cellStyle name="Normal 2 5 4 2 5 3" xfId="5947" xr:uid="{00000000-0005-0000-0000-000036110000}"/>
    <cellStyle name="Normal 2 5 4 2 5 3 2" xfId="14397" xr:uid="{88377ED0-A5E7-4A50-86BC-0AD3B632B499}"/>
    <cellStyle name="Normal 2 5 4 2 5 4" xfId="10179" xr:uid="{4FC956B5-C331-474C-9BC7-7B5BC9B09ABA}"/>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EAB0EB5E-219D-40C2-BABC-E06043E3C8E0}"/>
    <cellStyle name="Normal 2 5 4 2 6 2 3" xfId="12737" xr:uid="{DE28A333-973D-44EE-B617-F97228F10379}"/>
    <cellStyle name="Normal 2 5 4 2 6 3" xfId="6360" xr:uid="{00000000-0005-0000-0000-00003A110000}"/>
    <cellStyle name="Normal 2 5 4 2 6 3 2" xfId="14810" xr:uid="{64A93AD0-6CB8-4BB2-AA14-B93B198480B4}"/>
    <cellStyle name="Normal 2 5 4 2 6 4" xfId="10592" xr:uid="{A9DE9DF2-FA06-4E00-9E62-D6E3CB9A857D}"/>
    <cellStyle name="Normal 2 5 4 2 7" xfId="2490" xr:uid="{00000000-0005-0000-0000-00003B110000}"/>
    <cellStyle name="Normal 2 5 4 2 7 2" xfId="6773" xr:uid="{00000000-0005-0000-0000-00003C110000}"/>
    <cellStyle name="Normal 2 5 4 2 7 2 2" xfId="15223" xr:uid="{A4638B36-766B-4C41-AAD2-C32D8FC7AB09}"/>
    <cellStyle name="Normal 2 5 4 2 7 3" xfId="11005" xr:uid="{17DB7849-94F1-42FE-81FE-6097FAFDF84C}"/>
    <cellStyle name="Normal 2 5 4 2 8" xfId="4707" xr:uid="{00000000-0005-0000-0000-00003D110000}"/>
    <cellStyle name="Normal 2 5 4 2 8 2" xfId="13157" xr:uid="{F5F7B21C-8654-4914-9E21-FDEBF9D1CB2F}"/>
    <cellStyle name="Normal 2 5 4 2 9" xfId="8939" xr:uid="{FF84785D-2C19-4FCC-894B-F30E5FFA22B9}"/>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2C15309B-DE4F-47C5-A1DC-84A3C3F49072}"/>
    <cellStyle name="Normal 2 5 4 3 2 2 3" xfId="11500" xr:uid="{7E49440C-0A2A-459A-836F-3C55C6AE3A44}"/>
    <cellStyle name="Normal 2 5 4 3 2 3" xfId="5123" xr:uid="{00000000-0005-0000-0000-000042110000}"/>
    <cellStyle name="Normal 2 5 4 3 2 3 2" xfId="13573" xr:uid="{9F617915-BEB6-4E69-9639-EDA8ABF5DD7C}"/>
    <cellStyle name="Normal 2 5 4 3 2 4" xfId="9355" xr:uid="{C5484B8B-3CF5-4F7C-A2D9-E09C3918E03B}"/>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C9441E51-A87E-4973-9868-5ED83316F3A8}"/>
    <cellStyle name="Normal 2 5 4 3 3 2 3" xfId="11913" xr:uid="{BFE44A95-0CAD-42F7-ABDA-D3AB8BDBEF66}"/>
    <cellStyle name="Normal 2 5 4 3 3 3" xfId="5536" xr:uid="{00000000-0005-0000-0000-000046110000}"/>
    <cellStyle name="Normal 2 5 4 3 3 3 2" xfId="13986" xr:uid="{BDA9AA4C-F55D-4E94-AD1B-16C7292855DE}"/>
    <cellStyle name="Normal 2 5 4 3 3 4" xfId="9768" xr:uid="{F0A2D68E-5E78-4A75-AF6A-7E518FBACFC3}"/>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A4DF1D6D-8B25-4B7D-BAE2-63C4FCE9B394}"/>
    <cellStyle name="Normal 2 5 4 3 4 2 3" xfId="12326" xr:uid="{2C004AD0-FB47-48A3-88F8-26A55761CCE5}"/>
    <cellStyle name="Normal 2 5 4 3 4 3" xfId="5949" xr:uid="{00000000-0005-0000-0000-00004A110000}"/>
    <cellStyle name="Normal 2 5 4 3 4 3 2" xfId="14399" xr:uid="{AE6D4094-01F9-43B4-ABE7-1D6EDBE8D403}"/>
    <cellStyle name="Normal 2 5 4 3 4 4" xfId="10181" xr:uid="{8887021A-4D8B-4389-869E-830222AD3E8E}"/>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EF88E026-B683-41B6-8A71-8FD2509393FC}"/>
    <cellStyle name="Normal 2 5 4 3 5 2 3" xfId="12739" xr:uid="{7D649DFA-5595-4D34-8470-DC43A494B125}"/>
    <cellStyle name="Normal 2 5 4 3 5 3" xfId="6362" xr:uid="{00000000-0005-0000-0000-00004E110000}"/>
    <cellStyle name="Normal 2 5 4 3 5 3 2" xfId="14812" xr:uid="{F4744CEC-4DCE-4663-82EB-6FAA7C06484A}"/>
    <cellStyle name="Normal 2 5 4 3 5 4" xfId="10594" xr:uid="{7366A7EE-9679-43C5-9A3A-252138DCBEFB}"/>
    <cellStyle name="Normal 2 5 4 3 6" xfId="2492" xr:uid="{00000000-0005-0000-0000-00004F110000}"/>
    <cellStyle name="Normal 2 5 4 3 6 2" xfId="6775" xr:uid="{00000000-0005-0000-0000-000050110000}"/>
    <cellStyle name="Normal 2 5 4 3 6 2 2" xfId="15225" xr:uid="{057685A2-6602-477F-9D5F-10AE4F8A2A75}"/>
    <cellStyle name="Normal 2 5 4 3 6 3" xfId="11007" xr:uid="{AA0BDEEF-043F-46F1-852C-F6C99254D7BF}"/>
    <cellStyle name="Normal 2 5 4 3 7" xfId="4709" xr:uid="{00000000-0005-0000-0000-000051110000}"/>
    <cellStyle name="Normal 2 5 4 3 7 2" xfId="13159" xr:uid="{B4BE243B-9F08-408E-8F72-52ACA23FE200}"/>
    <cellStyle name="Normal 2 5 4 3 8" xfId="8941" xr:uid="{0882FB81-AFE3-40B0-9A8A-8FAA4C0A900B}"/>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8ED5E61C-D586-4CB9-A5E9-C80535E9C000}"/>
    <cellStyle name="Normal 2 5 4 4 2 3" xfId="11497" xr:uid="{89120771-2E8C-41E1-9C88-0B0C4BC5BA59}"/>
    <cellStyle name="Normal 2 5 4 4 3" xfId="5120" xr:uid="{00000000-0005-0000-0000-000055110000}"/>
    <cellStyle name="Normal 2 5 4 4 3 2" xfId="13570" xr:uid="{795184BB-D480-4152-A5CF-0A5F4AC3DADE}"/>
    <cellStyle name="Normal 2 5 4 4 4" xfId="9352" xr:uid="{1B8ADACD-6EA9-47EC-8F5E-5A451DCC9FF8}"/>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0EF32C14-AF94-4679-ABFF-1917F1FC190E}"/>
    <cellStyle name="Normal 2 5 4 5 2 3" xfId="11910" xr:uid="{AF218E04-EB00-4037-8E87-042C4B91CD8E}"/>
    <cellStyle name="Normal 2 5 4 5 3" xfId="5533" xr:uid="{00000000-0005-0000-0000-000059110000}"/>
    <cellStyle name="Normal 2 5 4 5 3 2" xfId="13983" xr:uid="{0F6F9F87-E7EF-4A97-BABE-1BE8362BD7BE}"/>
    <cellStyle name="Normal 2 5 4 5 4" xfId="9765" xr:uid="{4DF0E5AD-2E7A-49F8-960F-EED913AEBD70}"/>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33B088CB-AA66-4751-9DEC-F7D321F42F15}"/>
    <cellStyle name="Normal 2 5 4 6 2 3" xfId="12323" xr:uid="{5D5356A2-3ED5-482B-9714-72ABB71D4025}"/>
    <cellStyle name="Normal 2 5 4 6 3" xfId="5946" xr:uid="{00000000-0005-0000-0000-00005D110000}"/>
    <cellStyle name="Normal 2 5 4 6 3 2" xfId="14396" xr:uid="{082D59E7-9798-4ADD-83FA-ECD4E6C71FE2}"/>
    <cellStyle name="Normal 2 5 4 6 4" xfId="10178" xr:uid="{2559CD90-B0CB-4338-B85E-DEFE279B711A}"/>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12D17007-83DD-4055-BA6B-A2AB115428CD}"/>
    <cellStyle name="Normal 2 5 4 7 2 3" xfId="12736" xr:uid="{D16936D1-AA2D-41B7-B691-5047CE3D0C81}"/>
    <cellStyle name="Normal 2 5 4 7 3" xfId="6359" xr:uid="{00000000-0005-0000-0000-000061110000}"/>
    <cellStyle name="Normal 2 5 4 7 3 2" xfId="14809" xr:uid="{94CCDF85-BCAF-47D4-A8A3-E1F07058C93F}"/>
    <cellStyle name="Normal 2 5 4 7 4" xfId="10591" xr:uid="{8A6C95D6-7353-4BA2-9442-A229BB04E2C0}"/>
    <cellStyle name="Normal 2 5 4 8" xfId="2489" xr:uid="{00000000-0005-0000-0000-000062110000}"/>
    <cellStyle name="Normal 2 5 4 8 2" xfId="6772" xr:uid="{00000000-0005-0000-0000-000063110000}"/>
    <cellStyle name="Normal 2 5 4 8 2 2" xfId="15222" xr:uid="{5042BBF9-4E43-4D53-A10D-4476EDFBC5CA}"/>
    <cellStyle name="Normal 2 5 4 8 3" xfId="11004" xr:uid="{EB9C68E0-706A-4232-B497-C2149F47B66F}"/>
    <cellStyle name="Normal 2 5 4 9" xfId="4706" xr:uid="{00000000-0005-0000-0000-000064110000}"/>
    <cellStyle name="Normal 2 5 4 9 2" xfId="13156" xr:uid="{451B6B0D-E8F6-40B9-8AC1-136298E8A7E9}"/>
    <cellStyle name="Normal 2 5 5" xfId="803" xr:uid="{00000000-0005-0000-0000-000065110000}"/>
    <cellStyle name="Normal 2 5 5 2" xfId="3042" xr:uid="{00000000-0005-0000-0000-000066110000}"/>
    <cellStyle name="Normal 2 5 5 2 2" xfId="7264" xr:uid="{00000000-0005-0000-0000-000067110000}"/>
    <cellStyle name="Normal 2 5 5 2 2 2" xfId="15714" xr:uid="{6DBBA733-AA5A-4FFA-B9BD-6923CEFA28AA}"/>
    <cellStyle name="Normal 2 5 5 2 3" xfId="11496" xr:uid="{8C6B2A03-6B17-459B-BE12-C6C679BA8E94}"/>
    <cellStyle name="Normal 2 5 5 3" xfId="5119" xr:uid="{00000000-0005-0000-0000-000068110000}"/>
    <cellStyle name="Normal 2 5 5 3 2" xfId="13569" xr:uid="{5EFC7D9B-ABC7-4285-A0E1-6EB0A3E54244}"/>
    <cellStyle name="Normal 2 5 5 4" xfId="9351" xr:uid="{D6D06FF3-2FF4-4D14-ACDF-DAABE6C65C1C}"/>
    <cellStyle name="Normal 2 5 6" xfId="1225" xr:uid="{00000000-0005-0000-0000-000069110000}"/>
    <cellStyle name="Normal 2 5 6 2" xfId="3455" xr:uid="{00000000-0005-0000-0000-00006A110000}"/>
    <cellStyle name="Normal 2 5 6 2 2" xfId="7677" xr:uid="{00000000-0005-0000-0000-00006B110000}"/>
    <cellStyle name="Normal 2 5 6 2 2 2" xfId="16127" xr:uid="{30C8933A-EB2C-479D-B47E-2E777267EE38}"/>
    <cellStyle name="Normal 2 5 6 2 3" xfId="11909" xr:uid="{C6CBF19D-B49B-4A91-ADAF-B16FC197D2D2}"/>
    <cellStyle name="Normal 2 5 6 3" xfId="5532" xr:uid="{00000000-0005-0000-0000-00006C110000}"/>
    <cellStyle name="Normal 2 5 6 3 2" xfId="13982" xr:uid="{3EF3D38E-3F6A-4C50-A8DC-0050227E2865}"/>
    <cellStyle name="Normal 2 5 6 4" xfId="9764" xr:uid="{916D34B1-4731-4B18-B0B5-9C742BB1B7DA}"/>
    <cellStyle name="Normal 2 5 7" xfId="1638" xr:uid="{00000000-0005-0000-0000-00006D110000}"/>
    <cellStyle name="Normal 2 5 7 2" xfId="3868" xr:uid="{00000000-0005-0000-0000-00006E110000}"/>
    <cellStyle name="Normal 2 5 7 2 2" xfId="8090" xr:uid="{00000000-0005-0000-0000-00006F110000}"/>
    <cellStyle name="Normal 2 5 7 2 2 2" xfId="16540" xr:uid="{A71B8C93-6AA5-4B76-BBBD-958C5912C757}"/>
    <cellStyle name="Normal 2 5 7 2 3" xfId="12322" xr:uid="{19B1C80E-54A8-4877-A4DF-F8048725B9AD}"/>
    <cellStyle name="Normal 2 5 7 3" xfId="5945" xr:uid="{00000000-0005-0000-0000-000070110000}"/>
    <cellStyle name="Normal 2 5 7 3 2" xfId="14395" xr:uid="{3BE03FA7-B8A6-4227-BA30-6DD5B887894F}"/>
    <cellStyle name="Normal 2 5 7 4" xfId="10177" xr:uid="{C540304C-5C81-4A87-85BF-EEF033CF4E5A}"/>
    <cellStyle name="Normal 2 5 8" xfId="2052" xr:uid="{00000000-0005-0000-0000-000071110000}"/>
    <cellStyle name="Normal 2 5 8 2" xfId="4281" xr:uid="{00000000-0005-0000-0000-000072110000}"/>
    <cellStyle name="Normal 2 5 8 2 2" xfId="8503" xr:uid="{00000000-0005-0000-0000-000073110000}"/>
    <cellStyle name="Normal 2 5 8 2 2 2" xfId="16953" xr:uid="{22932F9C-C8C6-4EB3-BDEC-43610254772B}"/>
    <cellStyle name="Normal 2 5 8 2 3" xfId="12735" xr:uid="{C2B4635C-7827-43D6-B3E1-E177F7F7C6A3}"/>
    <cellStyle name="Normal 2 5 8 3" xfId="6358" xr:uid="{00000000-0005-0000-0000-000074110000}"/>
    <cellStyle name="Normal 2 5 8 3 2" xfId="14808" xr:uid="{2EF0452D-485A-4ABA-93E5-658C9C85C2A9}"/>
    <cellStyle name="Normal 2 5 8 4" xfId="10590" xr:uid="{4B13D4A1-82D0-455E-BF1C-912B93C76C49}"/>
    <cellStyle name="Normal 2 5 9" xfId="2488" xr:uid="{00000000-0005-0000-0000-000075110000}"/>
    <cellStyle name="Normal 2 5 9 2" xfId="6771" xr:uid="{00000000-0005-0000-0000-000076110000}"/>
    <cellStyle name="Normal 2 5 9 2 2" xfId="15221" xr:uid="{3B3A9F63-4470-4881-9EF6-B58B264CCFFA}"/>
    <cellStyle name="Normal 2 5 9 3" xfId="11003" xr:uid="{D289824C-7DFE-46DB-8B88-CB24C47F7EE1}"/>
    <cellStyle name="Normal 2 6" xfId="322" xr:uid="{00000000-0005-0000-0000-000077110000}"/>
    <cellStyle name="Normal 2 7" xfId="769" xr:uid="{00000000-0005-0000-0000-000078110000}"/>
    <cellStyle name="Normal 2 8" xfId="4495" xr:uid="{00000000-0005-0000-0000-000079110000}"/>
    <cellStyle name="Normal 2 8 2" xfId="12947" xr:uid="{4478A41D-9CE0-4ED8-AC84-8853A46C84E1}"/>
    <cellStyle name="Normal 3" xfId="323" xr:uid="{00000000-0005-0000-0000-00007A110000}"/>
    <cellStyle name="Normal 3 2" xfId="324" xr:uid="{00000000-0005-0000-0000-00007B110000}"/>
    <cellStyle name="Normal 3 2 10" xfId="8942" xr:uid="{807A72C3-83CE-4D0E-8201-C33AC3AD334C}"/>
    <cellStyle name="Normal 3 2 2" xfId="325" xr:uid="{00000000-0005-0000-0000-00007C110000}"/>
    <cellStyle name="Normal 3 2 2 2" xfId="810" xr:uid="{00000000-0005-0000-0000-00007D110000}"/>
    <cellStyle name="Normal 3 2 3" xfId="326" xr:uid="{00000000-0005-0000-0000-00007E110000}"/>
    <cellStyle name="Normal 3 2 3 10" xfId="8943" xr:uid="{7837C696-C1C8-49B6-A209-0401D2124422}"/>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23BE07FB-C3DE-4532-9C7D-31C5223D84ED}"/>
    <cellStyle name="Normal 3 2 3 2 2 2 2 3" xfId="11504" xr:uid="{85F2F36F-FBB1-4911-8EA0-1414EC1A480C}"/>
    <cellStyle name="Normal 3 2 3 2 2 2 3" xfId="5127" xr:uid="{00000000-0005-0000-0000-000084110000}"/>
    <cellStyle name="Normal 3 2 3 2 2 2 3 2" xfId="13577" xr:uid="{2B89A27B-4323-464F-8AF5-BEBDD2DEB7AD}"/>
    <cellStyle name="Normal 3 2 3 2 2 2 4" xfId="9359" xr:uid="{85B94F06-3FE3-443A-9297-2472D540078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59BAC697-5DF8-464B-80EE-81B164EAC73A}"/>
    <cellStyle name="Normal 3 2 3 2 2 3 2 3" xfId="11917" xr:uid="{8FC679A2-2C48-438D-B1D0-8A09C9E88BC2}"/>
    <cellStyle name="Normal 3 2 3 2 2 3 3" xfId="5540" xr:uid="{00000000-0005-0000-0000-000088110000}"/>
    <cellStyle name="Normal 3 2 3 2 2 3 3 2" xfId="13990" xr:uid="{8B8B111F-26F4-438E-92EB-44D67753E046}"/>
    <cellStyle name="Normal 3 2 3 2 2 3 4" xfId="9772" xr:uid="{14B5FE27-EDF8-4547-A3D5-4457CEDE695A}"/>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E7C16DA8-66FF-4071-9E14-043EA142A80D}"/>
    <cellStyle name="Normal 3 2 3 2 2 4 2 3" xfId="12330" xr:uid="{0EDFE09D-6AE6-47E1-9C0B-E5911C3C225D}"/>
    <cellStyle name="Normal 3 2 3 2 2 4 3" xfId="5953" xr:uid="{00000000-0005-0000-0000-00008C110000}"/>
    <cellStyle name="Normal 3 2 3 2 2 4 3 2" xfId="14403" xr:uid="{A0C33AAC-28FC-4833-ADD6-B990B78B9426}"/>
    <cellStyle name="Normal 3 2 3 2 2 4 4" xfId="10185" xr:uid="{6E28C37B-FE2E-4DBF-AE96-6A8BFB599BA5}"/>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44D9D4D3-92D6-44AE-B6C6-04CEC164A30A}"/>
    <cellStyle name="Normal 3 2 3 2 2 5 2 3" xfId="12743" xr:uid="{C3255F75-07DE-4D2E-94E6-CDDD9A0215E0}"/>
    <cellStyle name="Normal 3 2 3 2 2 5 3" xfId="6366" xr:uid="{00000000-0005-0000-0000-000090110000}"/>
    <cellStyle name="Normal 3 2 3 2 2 5 3 2" xfId="14816" xr:uid="{D4BC44A9-A97A-4827-A71F-6A2C2CBD383A}"/>
    <cellStyle name="Normal 3 2 3 2 2 5 4" xfId="10598" xr:uid="{3D3FB5B5-B266-45DB-9AE9-D75067C5264A}"/>
    <cellStyle name="Normal 3 2 3 2 2 6" xfId="2496" xr:uid="{00000000-0005-0000-0000-000091110000}"/>
    <cellStyle name="Normal 3 2 3 2 2 6 2" xfId="6779" xr:uid="{00000000-0005-0000-0000-000092110000}"/>
    <cellStyle name="Normal 3 2 3 2 2 6 2 2" xfId="15229" xr:uid="{A2FF8571-1968-437F-9289-7E60D2D42015}"/>
    <cellStyle name="Normal 3 2 3 2 2 6 3" xfId="11011" xr:uid="{263C25B2-2B6D-413C-89A3-FA2A85871EF3}"/>
    <cellStyle name="Normal 3 2 3 2 2 7" xfId="4713" xr:uid="{00000000-0005-0000-0000-000093110000}"/>
    <cellStyle name="Normal 3 2 3 2 2 7 2" xfId="13163" xr:uid="{9F6A9C1D-11F9-4AAD-A58A-0DE6C2BC9709}"/>
    <cellStyle name="Normal 3 2 3 2 2 8" xfId="8945" xr:uid="{F725C399-0E7B-4060-8B28-B1E5C236D9D7}"/>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75769D9F-F9D1-41CB-8160-3D0FE81481D6}"/>
    <cellStyle name="Normal 3 2 3 2 3 2 3" xfId="11503" xr:uid="{875CF913-ACC0-4627-93B8-1BFC415A028A}"/>
    <cellStyle name="Normal 3 2 3 2 3 3" xfId="5126" xr:uid="{00000000-0005-0000-0000-000097110000}"/>
    <cellStyle name="Normal 3 2 3 2 3 3 2" xfId="13576" xr:uid="{7C903BF5-7FAE-47ED-B224-0379070C6FCF}"/>
    <cellStyle name="Normal 3 2 3 2 3 4" xfId="9358" xr:uid="{72F2D309-7E20-46DA-96C5-A31AEEA48217}"/>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A8F94CB0-D037-4FD9-8BAF-135E0A58B8A2}"/>
    <cellStyle name="Normal 3 2 3 2 4 2 3" xfId="11916" xr:uid="{10026376-7824-4224-828A-D551B67FCD5A}"/>
    <cellStyle name="Normal 3 2 3 2 4 3" xfId="5539" xr:uid="{00000000-0005-0000-0000-00009B110000}"/>
    <cellStyle name="Normal 3 2 3 2 4 3 2" xfId="13989" xr:uid="{D5B78B8A-0B49-4310-962C-E20127B7247A}"/>
    <cellStyle name="Normal 3 2 3 2 4 4" xfId="9771" xr:uid="{CA6D1DBD-B76F-4F23-964F-12EEF463CAC4}"/>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86B0C633-7254-4F2A-AB98-733A3AE6D446}"/>
    <cellStyle name="Normal 3 2 3 2 5 2 3" xfId="12329" xr:uid="{13176705-8FD2-4D39-97BC-2177611679B4}"/>
    <cellStyle name="Normal 3 2 3 2 5 3" xfId="5952" xr:uid="{00000000-0005-0000-0000-00009F110000}"/>
    <cellStyle name="Normal 3 2 3 2 5 3 2" xfId="14402" xr:uid="{68F8584A-C78B-435C-8DAF-B95AD46D211F}"/>
    <cellStyle name="Normal 3 2 3 2 5 4" xfId="10184" xr:uid="{30AA687D-2623-4809-9A1B-D47CD735F562}"/>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BFBD1A97-6A95-4168-A895-9A8E54A82C95}"/>
    <cellStyle name="Normal 3 2 3 2 6 2 3" xfId="12742" xr:uid="{624CA9A1-6446-4739-8D37-3437B8A6D549}"/>
    <cellStyle name="Normal 3 2 3 2 6 3" xfId="6365" xr:uid="{00000000-0005-0000-0000-0000A3110000}"/>
    <cellStyle name="Normal 3 2 3 2 6 3 2" xfId="14815" xr:uid="{B37DDA21-C13E-4F9E-B1D5-851186066854}"/>
    <cellStyle name="Normal 3 2 3 2 6 4" xfId="10597" xr:uid="{7D163826-579C-4A90-890F-F10536766595}"/>
    <cellStyle name="Normal 3 2 3 2 7" xfId="2495" xr:uid="{00000000-0005-0000-0000-0000A4110000}"/>
    <cellStyle name="Normal 3 2 3 2 7 2" xfId="6778" xr:uid="{00000000-0005-0000-0000-0000A5110000}"/>
    <cellStyle name="Normal 3 2 3 2 7 2 2" xfId="15228" xr:uid="{A2E51531-7894-479B-9122-F1D539686707}"/>
    <cellStyle name="Normal 3 2 3 2 7 3" xfId="11010" xr:uid="{BD5B1638-F0CE-4D6E-8A2F-BDF35E9EE6FD}"/>
    <cellStyle name="Normal 3 2 3 2 8" xfId="4712" xr:uid="{00000000-0005-0000-0000-0000A6110000}"/>
    <cellStyle name="Normal 3 2 3 2 8 2" xfId="13162" xr:uid="{2FCE7B54-9056-4DBD-9C06-BD7B42034C0D}"/>
    <cellStyle name="Normal 3 2 3 2 9" xfId="8944" xr:uid="{13298434-ACEA-4766-915D-0679A673A99D}"/>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20A6917A-BC21-47FE-BA3A-2D0DF33E42AA}"/>
    <cellStyle name="Normal 3 2 3 3 2 2 3" xfId="11505" xr:uid="{71B56582-BD24-496E-93D0-113059B1B4CD}"/>
    <cellStyle name="Normal 3 2 3 3 2 3" xfId="5128" xr:uid="{00000000-0005-0000-0000-0000AB110000}"/>
    <cellStyle name="Normal 3 2 3 3 2 3 2" xfId="13578" xr:uid="{959117F7-7308-47FD-9FC1-15CD7A0F4199}"/>
    <cellStyle name="Normal 3 2 3 3 2 4" xfId="9360" xr:uid="{6D2320A8-2AF7-424D-A1A6-FC9EE1BF8A13}"/>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10644A29-08C9-415E-B51E-B23D510F2978}"/>
    <cellStyle name="Normal 3 2 3 3 3 2 3" xfId="11918" xr:uid="{B8C8DAEB-D4C5-4E34-A35B-9CF5FCF3BB10}"/>
    <cellStyle name="Normal 3 2 3 3 3 3" xfId="5541" xr:uid="{00000000-0005-0000-0000-0000AF110000}"/>
    <cellStyle name="Normal 3 2 3 3 3 3 2" xfId="13991" xr:uid="{E587AFA2-E603-44FE-8E52-D7E363F1C112}"/>
    <cellStyle name="Normal 3 2 3 3 3 4" xfId="9773" xr:uid="{2B2C12AC-BB3C-44B6-9A45-E19C32440C4C}"/>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0B6BA33F-A4B5-458B-AD5B-EAF23BC9FE56}"/>
    <cellStyle name="Normal 3 2 3 3 4 2 3" xfId="12331" xr:uid="{575F7E09-4F40-444E-B770-64BF3B9066F1}"/>
    <cellStyle name="Normal 3 2 3 3 4 3" xfId="5954" xr:uid="{00000000-0005-0000-0000-0000B3110000}"/>
    <cellStyle name="Normal 3 2 3 3 4 3 2" xfId="14404" xr:uid="{CCC27B2B-A1B6-4AE1-896D-2D48B7D221BE}"/>
    <cellStyle name="Normal 3 2 3 3 4 4" xfId="10186" xr:uid="{3AC9C648-B6A2-4F4A-9F23-B3FA1F8E315A}"/>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E01A48ED-4A91-4824-9D3F-FA0C453E6AB3}"/>
    <cellStyle name="Normal 3 2 3 3 5 2 3" xfId="12744" xr:uid="{BA857B03-49AD-49BA-BBE5-527BFDB573D7}"/>
    <cellStyle name="Normal 3 2 3 3 5 3" xfId="6367" xr:uid="{00000000-0005-0000-0000-0000B7110000}"/>
    <cellStyle name="Normal 3 2 3 3 5 3 2" xfId="14817" xr:uid="{B36D8F63-E2FC-46C3-92F3-3246B34CE884}"/>
    <cellStyle name="Normal 3 2 3 3 5 4" xfId="10599" xr:uid="{844B7DFA-F9EB-4241-9979-51BC20F456EB}"/>
    <cellStyle name="Normal 3 2 3 3 6" xfId="2497" xr:uid="{00000000-0005-0000-0000-0000B8110000}"/>
    <cellStyle name="Normal 3 2 3 3 6 2" xfId="6780" xr:uid="{00000000-0005-0000-0000-0000B9110000}"/>
    <cellStyle name="Normal 3 2 3 3 6 2 2" xfId="15230" xr:uid="{E3625A88-725D-4CBD-91C9-17FBEBA4F123}"/>
    <cellStyle name="Normal 3 2 3 3 6 3" xfId="11012" xr:uid="{1F48BB53-B950-4931-8F6A-ABF756A8D5AB}"/>
    <cellStyle name="Normal 3 2 3 3 7" xfId="4714" xr:uid="{00000000-0005-0000-0000-0000BA110000}"/>
    <cellStyle name="Normal 3 2 3 3 7 2" xfId="13164" xr:uid="{77684B23-8469-49FF-9D5A-1531E865A649}"/>
    <cellStyle name="Normal 3 2 3 3 8" xfId="8946" xr:uid="{1D24CEB2-0A0A-452A-BC57-9210E1D566B6}"/>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78E81D3A-A4BD-4B4B-BDAC-F21E0B25B1B2}"/>
    <cellStyle name="Normal 3 2 3 4 2 3" xfId="11502" xr:uid="{38069F27-E603-4742-89B3-8F03C8F69D4F}"/>
    <cellStyle name="Normal 3 2 3 4 3" xfId="5125" xr:uid="{00000000-0005-0000-0000-0000BE110000}"/>
    <cellStyle name="Normal 3 2 3 4 3 2" xfId="13575" xr:uid="{85406C30-DA7D-45C0-8FE4-E0C63EF2780E}"/>
    <cellStyle name="Normal 3 2 3 4 4" xfId="9357" xr:uid="{1E049FE8-1E08-4559-B8AA-06A2C50A72AC}"/>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A84E666F-4515-4BC4-AA36-75F4B7EBFECA}"/>
    <cellStyle name="Normal 3 2 3 5 2 3" xfId="11915" xr:uid="{EB760BAF-409C-4B6B-95A5-06AADA1C4643}"/>
    <cellStyle name="Normal 3 2 3 5 3" xfId="5538" xr:uid="{00000000-0005-0000-0000-0000C2110000}"/>
    <cellStyle name="Normal 3 2 3 5 3 2" xfId="13988" xr:uid="{9D2155B2-0BF1-4A30-9B9A-F6842C783598}"/>
    <cellStyle name="Normal 3 2 3 5 4" xfId="9770" xr:uid="{A57E52FE-2E43-4575-97A2-FC0C95FF4A9F}"/>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ECDC686A-2D7C-4BFA-AA5E-768B50453251}"/>
    <cellStyle name="Normal 3 2 3 6 2 3" xfId="12328" xr:uid="{689C8A8E-B70A-4B26-B2F2-5605FBCFAB2D}"/>
    <cellStyle name="Normal 3 2 3 6 3" xfId="5951" xr:uid="{00000000-0005-0000-0000-0000C6110000}"/>
    <cellStyle name="Normal 3 2 3 6 3 2" xfId="14401" xr:uid="{E57787E9-2B74-42E2-9015-F4D1C5E54397}"/>
    <cellStyle name="Normal 3 2 3 6 4" xfId="10183" xr:uid="{86398F01-460C-4632-8775-E816CDAA46B4}"/>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C745CAD6-2030-4DF6-A728-51E0E0E44F51}"/>
    <cellStyle name="Normal 3 2 3 7 2 3" xfId="12741" xr:uid="{9BA72B47-5071-4B70-BB12-60C164C3B55F}"/>
    <cellStyle name="Normal 3 2 3 7 3" xfId="6364" xr:uid="{00000000-0005-0000-0000-0000CA110000}"/>
    <cellStyle name="Normal 3 2 3 7 3 2" xfId="14814" xr:uid="{3CB805B5-3C65-428B-9240-469DF9D60724}"/>
    <cellStyle name="Normal 3 2 3 7 4" xfId="10596" xr:uid="{C9514509-829F-4A1F-AC4A-27F17F3A3073}"/>
    <cellStyle name="Normal 3 2 3 8" xfId="2494" xr:uid="{00000000-0005-0000-0000-0000CB110000}"/>
    <cellStyle name="Normal 3 2 3 8 2" xfId="6777" xr:uid="{00000000-0005-0000-0000-0000CC110000}"/>
    <cellStyle name="Normal 3 2 3 8 2 2" xfId="15227" xr:uid="{23B3E5EB-A700-41A9-BC73-026C5A8AC3F7}"/>
    <cellStyle name="Normal 3 2 3 8 3" xfId="11009" xr:uid="{3A95D163-2A24-4575-A8FB-5467CC8B7F15}"/>
    <cellStyle name="Normal 3 2 3 9" xfId="4711" xr:uid="{00000000-0005-0000-0000-0000CD110000}"/>
    <cellStyle name="Normal 3 2 3 9 2" xfId="13161" xr:uid="{6AD4C579-9A81-4E83-86BE-6E88E3878A12}"/>
    <cellStyle name="Normal 3 2 4" xfId="809" xr:uid="{00000000-0005-0000-0000-0000CE110000}"/>
    <cellStyle name="Normal 3 2 4 2" xfId="3047" xr:uid="{00000000-0005-0000-0000-0000CF110000}"/>
    <cellStyle name="Normal 3 2 4 2 2" xfId="7269" xr:uid="{00000000-0005-0000-0000-0000D0110000}"/>
    <cellStyle name="Normal 3 2 4 2 2 2" xfId="15719" xr:uid="{8C99B703-BAEF-407C-AA6E-34AB8D5FAC2B}"/>
    <cellStyle name="Normal 3 2 4 2 3" xfId="11501" xr:uid="{9D6D058B-2762-4BA5-9459-4A845286EB0D}"/>
    <cellStyle name="Normal 3 2 4 3" xfId="5124" xr:uid="{00000000-0005-0000-0000-0000D1110000}"/>
    <cellStyle name="Normal 3 2 4 3 2" xfId="13574" xr:uid="{82D53D6B-034E-46A8-A4F6-FDAAC896FE73}"/>
    <cellStyle name="Normal 3 2 4 4" xfId="9356" xr:uid="{C0B00D86-2A11-4061-A788-48646F46B73A}"/>
    <cellStyle name="Normal 3 2 5" xfId="1230" xr:uid="{00000000-0005-0000-0000-0000D2110000}"/>
    <cellStyle name="Normal 3 2 5 2" xfId="3460" xr:uid="{00000000-0005-0000-0000-0000D3110000}"/>
    <cellStyle name="Normal 3 2 5 2 2" xfId="7682" xr:uid="{00000000-0005-0000-0000-0000D4110000}"/>
    <cellStyle name="Normal 3 2 5 2 2 2" xfId="16132" xr:uid="{B6BBEF0F-419F-4966-A254-AB16D337A97D}"/>
    <cellStyle name="Normal 3 2 5 2 3" xfId="11914" xr:uid="{8D52C41C-01F8-4CDE-893D-18CF86B42CE6}"/>
    <cellStyle name="Normal 3 2 5 3" xfId="5537" xr:uid="{00000000-0005-0000-0000-0000D5110000}"/>
    <cellStyle name="Normal 3 2 5 3 2" xfId="13987" xr:uid="{24F04821-CB2B-4AF6-A1E1-7075B1BB6334}"/>
    <cellStyle name="Normal 3 2 5 4" xfId="9769" xr:uid="{C5222093-38BA-4C0D-98E8-4E2B8223F2C9}"/>
    <cellStyle name="Normal 3 2 6" xfId="1643" xr:uid="{00000000-0005-0000-0000-0000D6110000}"/>
    <cellStyle name="Normal 3 2 6 2" xfId="3873" xr:uid="{00000000-0005-0000-0000-0000D7110000}"/>
    <cellStyle name="Normal 3 2 6 2 2" xfId="8095" xr:uid="{00000000-0005-0000-0000-0000D8110000}"/>
    <cellStyle name="Normal 3 2 6 2 2 2" xfId="16545" xr:uid="{455E7F39-D0F9-4AEE-809D-3D0CB2790DD0}"/>
    <cellStyle name="Normal 3 2 6 2 3" xfId="12327" xr:uid="{F3CAA46F-979A-4DAD-98CA-EB18A276B97B}"/>
    <cellStyle name="Normal 3 2 6 3" xfId="5950" xr:uid="{00000000-0005-0000-0000-0000D9110000}"/>
    <cellStyle name="Normal 3 2 6 3 2" xfId="14400" xr:uid="{905400F2-E024-4166-B405-97DE28AA12A0}"/>
    <cellStyle name="Normal 3 2 6 4" xfId="10182" xr:uid="{FB225DF9-FEEF-4D4B-AD2C-E6E750B27011}"/>
    <cellStyle name="Normal 3 2 7" xfId="2057" xr:uid="{00000000-0005-0000-0000-0000DA110000}"/>
    <cellStyle name="Normal 3 2 7 2" xfId="4286" xr:uid="{00000000-0005-0000-0000-0000DB110000}"/>
    <cellStyle name="Normal 3 2 7 2 2" xfId="8508" xr:uid="{00000000-0005-0000-0000-0000DC110000}"/>
    <cellStyle name="Normal 3 2 7 2 2 2" xfId="16958" xr:uid="{C31C66A8-460C-4AFF-829E-2899BC641E96}"/>
    <cellStyle name="Normal 3 2 7 2 3" xfId="12740" xr:uid="{254938BE-311D-47FF-B342-7743536EAF2D}"/>
    <cellStyle name="Normal 3 2 7 3" xfId="6363" xr:uid="{00000000-0005-0000-0000-0000DD110000}"/>
    <cellStyle name="Normal 3 2 7 3 2" xfId="14813" xr:uid="{8A2959C3-48E3-41D4-8705-3FF622EB01BB}"/>
    <cellStyle name="Normal 3 2 7 4" xfId="10595" xr:uid="{D041C2E5-DD14-4231-B93E-1E3743B218C1}"/>
    <cellStyle name="Normal 3 2 8" xfId="2493" xr:uid="{00000000-0005-0000-0000-0000DE110000}"/>
    <cellStyle name="Normal 3 2 8 2" xfId="6776" xr:uid="{00000000-0005-0000-0000-0000DF110000}"/>
    <cellStyle name="Normal 3 2 8 2 2" xfId="15226" xr:uid="{BFD466CE-FB3F-4433-8816-39F7D8DBB307}"/>
    <cellStyle name="Normal 3 2 8 3" xfId="11008" xr:uid="{747D0E99-BB0B-4C25-9E8F-77C4BA652149}"/>
    <cellStyle name="Normal 3 2 9" xfId="4710" xr:uid="{00000000-0005-0000-0000-0000E0110000}"/>
    <cellStyle name="Normal 3 2 9 2" xfId="13160" xr:uid="{CF0CBD47-8211-4A9D-9304-98F2D6B4FA57}"/>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D8B90B82-8F95-4EB5-B34B-43699EA497C8}"/>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2E2335C8-A0BA-493B-A8AA-47120E4D7352}"/>
    <cellStyle name="Normal 4 2 2 10 2 3" xfId="12745" xr:uid="{73389917-EA79-4175-812D-E11FD3C3D5E3}"/>
    <cellStyle name="Normal 4 2 2 10 3" xfId="6368" xr:uid="{00000000-0005-0000-0000-0000ED110000}"/>
    <cellStyle name="Normal 4 2 2 10 3 2" xfId="14818" xr:uid="{CF7F6081-6186-47F8-B75B-9EDFD9526C82}"/>
    <cellStyle name="Normal 4 2 2 10 4" xfId="10600" xr:uid="{D0B307D9-197F-4167-A6F9-D16E193CAD0D}"/>
    <cellStyle name="Normal 4 2 2 11" xfId="2498" xr:uid="{00000000-0005-0000-0000-0000EE110000}"/>
    <cellStyle name="Normal 4 2 2 11 2" xfId="6781" xr:uid="{00000000-0005-0000-0000-0000EF110000}"/>
    <cellStyle name="Normal 4 2 2 11 2 2" xfId="15231" xr:uid="{6DC83C75-F1F6-43C4-86D4-E35AFBEA185C}"/>
    <cellStyle name="Normal 4 2 2 11 3" xfId="11013" xr:uid="{AB34F35F-3383-4E0D-8C2E-43ECAEE42B1E}"/>
    <cellStyle name="Normal 4 2 2 12" xfId="4716" xr:uid="{00000000-0005-0000-0000-0000F0110000}"/>
    <cellStyle name="Normal 4 2 2 12 2" xfId="13166" xr:uid="{6DCAEC38-C3F9-40AF-A7FE-C7A3F02F6550}"/>
    <cellStyle name="Normal 4 2 2 13" xfId="8948" xr:uid="{6C6DC84C-520E-4ABD-86B8-19B198CF6D7C}"/>
    <cellStyle name="Normal 4 2 2 2" xfId="338" xr:uid="{00000000-0005-0000-0000-0000F1110000}"/>
    <cellStyle name="Normal 4 2 2 3" xfId="339" xr:uid="{00000000-0005-0000-0000-0000F2110000}"/>
    <cellStyle name="Normal 4 2 2 3 10" xfId="4717" xr:uid="{00000000-0005-0000-0000-0000F3110000}"/>
    <cellStyle name="Normal 4 2 2 3 10 2" xfId="13167" xr:uid="{65F7E22C-9B7B-4159-AB6E-10E490505CE6}"/>
    <cellStyle name="Normal 4 2 2 3 11" xfId="8949" xr:uid="{98D1C99D-82DE-4DB1-A412-501A09EAB221}"/>
    <cellStyle name="Normal 4 2 2 3 2" xfId="340" xr:uid="{00000000-0005-0000-0000-0000F4110000}"/>
    <cellStyle name="Normal 4 2 2 3 2 10" xfId="8950" xr:uid="{E090294D-868B-4D60-968D-6A57A6AA8D44}"/>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E98EEAF0-681B-4638-BAAD-4CFC6CEC1098}"/>
    <cellStyle name="Normal 4 2 2 3 2 2 2 2 2 3" xfId="11510" xr:uid="{7A17A0F1-B65D-462F-A05B-824F8A6D4D30}"/>
    <cellStyle name="Normal 4 2 2 3 2 2 2 2 3" xfId="5133" xr:uid="{00000000-0005-0000-0000-0000FA110000}"/>
    <cellStyle name="Normal 4 2 2 3 2 2 2 2 3 2" xfId="13583" xr:uid="{9BBC4B71-477B-41BA-8E34-E3F64E5C461C}"/>
    <cellStyle name="Normal 4 2 2 3 2 2 2 2 4" xfId="9365" xr:uid="{7557CC70-EBA4-4087-93B0-0893B733B332}"/>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1F6FE6F0-659E-43CF-9F2D-88539DEAAC7F}"/>
    <cellStyle name="Normal 4 2 2 3 2 2 2 3 2 3" xfId="11923" xr:uid="{C5F8D80B-B296-4590-BBB4-468F4BE6FABE}"/>
    <cellStyle name="Normal 4 2 2 3 2 2 2 3 3" xfId="5546" xr:uid="{00000000-0005-0000-0000-0000FE110000}"/>
    <cellStyle name="Normal 4 2 2 3 2 2 2 3 3 2" xfId="13996" xr:uid="{77EC03CC-C82A-47B7-A8B1-131CA3A325E9}"/>
    <cellStyle name="Normal 4 2 2 3 2 2 2 3 4" xfId="9778" xr:uid="{E3A90490-348E-4838-BCBC-FAA51494EB67}"/>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727F29C3-596F-45AB-8DAA-12E261B07054}"/>
    <cellStyle name="Normal 4 2 2 3 2 2 2 4 2 3" xfId="12336" xr:uid="{7AEF261F-CDD5-4A95-9DB4-6D5C81B7489D}"/>
    <cellStyle name="Normal 4 2 2 3 2 2 2 4 3" xfId="5959" xr:uid="{00000000-0005-0000-0000-000002120000}"/>
    <cellStyle name="Normal 4 2 2 3 2 2 2 4 3 2" xfId="14409" xr:uid="{41A6F99B-FDD9-4E0D-B4D5-2C7D1B12B727}"/>
    <cellStyle name="Normal 4 2 2 3 2 2 2 4 4" xfId="10191" xr:uid="{F11EFAB7-E090-4778-8631-EF6C763A5E6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EA804D6F-E2CB-4643-BE5F-A9D787E4F1EC}"/>
    <cellStyle name="Normal 4 2 2 3 2 2 2 5 2 3" xfId="12749" xr:uid="{69A322FD-27D7-4DF3-904B-C9E8CEFF83A5}"/>
    <cellStyle name="Normal 4 2 2 3 2 2 2 5 3" xfId="6372" xr:uid="{00000000-0005-0000-0000-000006120000}"/>
    <cellStyle name="Normal 4 2 2 3 2 2 2 5 3 2" xfId="14822" xr:uid="{51712EAE-186C-4A7D-A24C-3C9CE150F149}"/>
    <cellStyle name="Normal 4 2 2 3 2 2 2 5 4" xfId="10604" xr:uid="{FE50002D-D0D1-4898-8328-C8BD4E731933}"/>
    <cellStyle name="Normal 4 2 2 3 2 2 2 6" xfId="2502" xr:uid="{00000000-0005-0000-0000-000007120000}"/>
    <cellStyle name="Normal 4 2 2 3 2 2 2 6 2" xfId="6785" xr:uid="{00000000-0005-0000-0000-000008120000}"/>
    <cellStyle name="Normal 4 2 2 3 2 2 2 6 2 2" xfId="15235" xr:uid="{7234CDCD-36EC-49D7-AE4C-414BAA7044B5}"/>
    <cellStyle name="Normal 4 2 2 3 2 2 2 6 3" xfId="11017" xr:uid="{47B57985-4231-4DEB-895A-7FFDD13EB290}"/>
    <cellStyle name="Normal 4 2 2 3 2 2 2 7" xfId="4720" xr:uid="{00000000-0005-0000-0000-000009120000}"/>
    <cellStyle name="Normal 4 2 2 3 2 2 2 7 2" xfId="13170" xr:uid="{094D6C66-036B-48A5-90F7-85CC832AF549}"/>
    <cellStyle name="Normal 4 2 2 3 2 2 2 8" xfId="8952" xr:uid="{652D7F34-4637-413F-B322-31B69F609E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3082DE5B-8F2F-4711-93E6-5D4004A65164}"/>
    <cellStyle name="Normal 4 2 2 3 2 2 3 2 3" xfId="11509" xr:uid="{4F07C49C-41E7-49D6-95C8-C3A445582D94}"/>
    <cellStyle name="Normal 4 2 2 3 2 2 3 3" xfId="5132" xr:uid="{00000000-0005-0000-0000-00000D120000}"/>
    <cellStyle name="Normal 4 2 2 3 2 2 3 3 2" xfId="13582" xr:uid="{9DBAFB66-A99C-4DD9-B147-C4931CDCED7D}"/>
    <cellStyle name="Normal 4 2 2 3 2 2 3 4" xfId="9364" xr:uid="{C786FBF7-1238-45EA-A229-5E264744A34B}"/>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EE1F0663-B91F-4D88-A988-B2021005984A}"/>
    <cellStyle name="Normal 4 2 2 3 2 2 4 2 3" xfId="11922" xr:uid="{532436C1-436F-4D89-A799-797235EC777C}"/>
    <cellStyle name="Normal 4 2 2 3 2 2 4 3" xfId="5545" xr:uid="{00000000-0005-0000-0000-000011120000}"/>
    <cellStyle name="Normal 4 2 2 3 2 2 4 3 2" xfId="13995" xr:uid="{2C859FF7-ECF8-4185-A14A-E550861E759D}"/>
    <cellStyle name="Normal 4 2 2 3 2 2 4 4" xfId="9777" xr:uid="{7762639A-7341-4022-BB0E-BBBB9EB2FCDF}"/>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943A7168-ED66-4994-ACA6-2BB2A920D76C}"/>
    <cellStyle name="Normal 4 2 2 3 2 2 5 2 3" xfId="12335" xr:uid="{DFE40B1B-76FA-4A04-86B9-20DE089DD9E2}"/>
    <cellStyle name="Normal 4 2 2 3 2 2 5 3" xfId="5958" xr:uid="{00000000-0005-0000-0000-000015120000}"/>
    <cellStyle name="Normal 4 2 2 3 2 2 5 3 2" xfId="14408" xr:uid="{A7B9796F-36FB-413C-A338-151907E81A9A}"/>
    <cellStyle name="Normal 4 2 2 3 2 2 5 4" xfId="10190" xr:uid="{4F3E98F7-972B-4924-9CA9-3106B6E963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A8B1F403-A2AB-41AB-A800-AA7D5C5924BB}"/>
    <cellStyle name="Normal 4 2 2 3 2 2 6 2 3" xfId="12748" xr:uid="{12A18C7F-E09E-4F55-8DD2-097904EE422D}"/>
    <cellStyle name="Normal 4 2 2 3 2 2 6 3" xfId="6371" xr:uid="{00000000-0005-0000-0000-000019120000}"/>
    <cellStyle name="Normal 4 2 2 3 2 2 6 3 2" xfId="14821" xr:uid="{B25FBCD1-5EAC-448E-BA24-25DD9F7728CE}"/>
    <cellStyle name="Normal 4 2 2 3 2 2 6 4" xfId="10603" xr:uid="{46A04041-D798-47C5-8CC5-BD25C7C0094E}"/>
    <cellStyle name="Normal 4 2 2 3 2 2 7" xfId="2501" xr:uid="{00000000-0005-0000-0000-00001A120000}"/>
    <cellStyle name="Normal 4 2 2 3 2 2 7 2" xfId="6784" xr:uid="{00000000-0005-0000-0000-00001B120000}"/>
    <cellStyle name="Normal 4 2 2 3 2 2 7 2 2" xfId="15234" xr:uid="{50A13194-C196-4CB2-A70F-C42D77AA1AAF}"/>
    <cellStyle name="Normal 4 2 2 3 2 2 7 3" xfId="11016" xr:uid="{41485BC9-53DC-4625-A2EC-85EFFA8D09EB}"/>
    <cellStyle name="Normal 4 2 2 3 2 2 8" xfId="4719" xr:uid="{00000000-0005-0000-0000-00001C120000}"/>
    <cellStyle name="Normal 4 2 2 3 2 2 8 2" xfId="13169" xr:uid="{53148E63-34A7-425E-AE95-D4E8C8AFEA15}"/>
    <cellStyle name="Normal 4 2 2 3 2 2 9" xfId="8951" xr:uid="{871A55BE-16FF-41D5-9D24-6A88135DD5A6}"/>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077C3B7C-BB1D-4534-84F7-21181B6E7EB8}"/>
    <cellStyle name="Normal 4 2 2 3 2 3 2 2 3" xfId="11511" xr:uid="{C787C908-3101-4A8C-A4EA-C2CFE4EA7DF1}"/>
    <cellStyle name="Normal 4 2 2 3 2 3 2 3" xfId="5134" xr:uid="{00000000-0005-0000-0000-000021120000}"/>
    <cellStyle name="Normal 4 2 2 3 2 3 2 3 2" xfId="13584" xr:uid="{E4C74B09-6A6F-40A1-847F-9CFE4E5E61A4}"/>
    <cellStyle name="Normal 4 2 2 3 2 3 2 4" xfId="9366" xr:uid="{3CAB2D99-64B7-4FFA-8774-CD2206B819ED}"/>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17A08888-0479-468D-B93D-532172C02B53}"/>
    <cellStyle name="Normal 4 2 2 3 2 3 3 2 3" xfId="11924" xr:uid="{E49121CE-BD97-48A3-9C9D-238C4E84D93B}"/>
    <cellStyle name="Normal 4 2 2 3 2 3 3 3" xfId="5547" xr:uid="{00000000-0005-0000-0000-000025120000}"/>
    <cellStyle name="Normal 4 2 2 3 2 3 3 3 2" xfId="13997" xr:uid="{D051FE22-7696-4810-AC0A-D9212916B109}"/>
    <cellStyle name="Normal 4 2 2 3 2 3 3 4" xfId="9779" xr:uid="{5316A0CB-CBED-43F5-85F0-A882D63FA6E2}"/>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DD256526-E96A-472C-ACC5-A914E5CEDBEB}"/>
    <cellStyle name="Normal 4 2 2 3 2 3 4 2 3" xfId="12337" xr:uid="{7B49440A-822D-4373-B71E-ED9A1421BEC9}"/>
    <cellStyle name="Normal 4 2 2 3 2 3 4 3" xfId="5960" xr:uid="{00000000-0005-0000-0000-000029120000}"/>
    <cellStyle name="Normal 4 2 2 3 2 3 4 3 2" xfId="14410" xr:uid="{362CCC29-2C49-4F7B-A4EE-769E42E59424}"/>
    <cellStyle name="Normal 4 2 2 3 2 3 4 4" xfId="10192" xr:uid="{D90DE00A-FFE3-418D-BAEC-DE08E5AFB81B}"/>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6DC3D51B-5A49-4033-87E0-DBCE091E11B2}"/>
    <cellStyle name="Normal 4 2 2 3 2 3 5 2 3" xfId="12750" xr:uid="{DDA169BA-2FDA-4F90-B810-F29F02BC2A59}"/>
    <cellStyle name="Normal 4 2 2 3 2 3 5 3" xfId="6373" xr:uid="{00000000-0005-0000-0000-00002D120000}"/>
    <cellStyle name="Normal 4 2 2 3 2 3 5 3 2" xfId="14823" xr:uid="{FF3C41A0-9564-48AF-8B4F-0CE93DC34005}"/>
    <cellStyle name="Normal 4 2 2 3 2 3 5 4" xfId="10605" xr:uid="{AFABC5BA-80BD-4FB4-91E8-7AC8AC664322}"/>
    <cellStyle name="Normal 4 2 2 3 2 3 6" xfId="2503" xr:uid="{00000000-0005-0000-0000-00002E120000}"/>
    <cellStyle name="Normal 4 2 2 3 2 3 6 2" xfId="6786" xr:uid="{00000000-0005-0000-0000-00002F120000}"/>
    <cellStyle name="Normal 4 2 2 3 2 3 6 2 2" xfId="15236" xr:uid="{DDB77850-AA6A-4D30-9A60-FB6B43B9ADAB}"/>
    <cellStyle name="Normal 4 2 2 3 2 3 6 3" xfId="11018" xr:uid="{E894EF3F-4281-4DFF-8665-6955DA2417E9}"/>
    <cellStyle name="Normal 4 2 2 3 2 3 7" xfId="4721" xr:uid="{00000000-0005-0000-0000-000030120000}"/>
    <cellStyle name="Normal 4 2 2 3 2 3 7 2" xfId="13171" xr:uid="{C55EE144-C510-4B93-871E-927DA6CC10CB}"/>
    <cellStyle name="Normal 4 2 2 3 2 3 8" xfId="8953" xr:uid="{C43D30AC-6E36-48E5-84E2-73D43527031C}"/>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91EB5A1B-BBC6-4A46-BE39-8608FCE6D6A3}"/>
    <cellStyle name="Normal 4 2 2 3 2 4 2 3" xfId="11508" xr:uid="{5AB3EDCD-B5FB-483B-842A-2AE33BDCC5D8}"/>
    <cellStyle name="Normal 4 2 2 3 2 4 3" xfId="5131" xr:uid="{00000000-0005-0000-0000-000034120000}"/>
    <cellStyle name="Normal 4 2 2 3 2 4 3 2" xfId="13581" xr:uid="{30B101B8-F613-4AA8-B074-A973A7DF87A4}"/>
    <cellStyle name="Normal 4 2 2 3 2 4 4" xfId="9363" xr:uid="{43AFE3EA-5BC0-44A5-8568-DCF192D8F90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464B6F20-5128-4842-A525-67914195F407}"/>
    <cellStyle name="Normal 4 2 2 3 2 5 2 3" xfId="11921" xr:uid="{4F7F407B-57C0-4454-BDF2-5E25D54D3E9D}"/>
    <cellStyle name="Normal 4 2 2 3 2 5 3" xfId="5544" xr:uid="{00000000-0005-0000-0000-000038120000}"/>
    <cellStyle name="Normal 4 2 2 3 2 5 3 2" xfId="13994" xr:uid="{8D9891A9-B199-4C14-921E-2EDC04C60653}"/>
    <cellStyle name="Normal 4 2 2 3 2 5 4" xfId="9776" xr:uid="{9C54803D-91C3-44D6-941C-D89C37405FA9}"/>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D49F277B-338B-4E7E-8D03-58A96B02E86E}"/>
    <cellStyle name="Normal 4 2 2 3 2 6 2 3" xfId="12334" xr:uid="{3B3BFD51-7F94-4D26-A036-C8D2ACCAC9D3}"/>
    <cellStyle name="Normal 4 2 2 3 2 6 3" xfId="5957" xr:uid="{00000000-0005-0000-0000-00003C120000}"/>
    <cellStyle name="Normal 4 2 2 3 2 6 3 2" xfId="14407" xr:uid="{25609E6F-B6C0-46DA-8824-379AFF766F2C}"/>
    <cellStyle name="Normal 4 2 2 3 2 6 4" xfId="10189" xr:uid="{D32499C2-3E66-4A9C-8D6B-A72525E392BA}"/>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18D536BF-B043-4BA7-8144-0DCAE059590F}"/>
    <cellStyle name="Normal 4 2 2 3 2 7 2 3" xfId="12747" xr:uid="{4A8FF3BD-1F36-4442-A0A3-04C498A07FC7}"/>
    <cellStyle name="Normal 4 2 2 3 2 7 3" xfId="6370" xr:uid="{00000000-0005-0000-0000-000040120000}"/>
    <cellStyle name="Normal 4 2 2 3 2 7 3 2" xfId="14820" xr:uid="{0405B0F5-381D-48EE-BB7E-18EE782CB52B}"/>
    <cellStyle name="Normal 4 2 2 3 2 7 4" xfId="10602" xr:uid="{2393B49A-D876-4542-9D0E-12F7A9F1E7F3}"/>
    <cellStyle name="Normal 4 2 2 3 2 8" xfId="2500" xr:uid="{00000000-0005-0000-0000-000041120000}"/>
    <cellStyle name="Normal 4 2 2 3 2 8 2" xfId="6783" xr:uid="{00000000-0005-0000-0000-000042120000}"/>
    <cellStyle name="Normal 4 2 2 3 2 8 2 2" xfId="15233" xr:uid="{44C29FF8-1BD4-4E7C-8663-76E72C8FB406}"/>
    <cellStyle name="Normal 4 2 2 3 2 8 3" xfId="11015" xr:uid="{5D38FC38-A324-4149-96A6-31FD29D73E05}"/>
    <cellStyle name="Normal 4 2 2 3 2 9" xfId="4718" xr:uid="{00000000-0005-0000-0000-000043120000}"/>
    <cellStyle name="Normal 4 2 2 3 2 9 2" xfId="13168" xr:uid="{914F9DB2-A809-461A-854F-8009A17B0E52}"/>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36E535D4-9A3B-4D47-BA60-AA121A345FF0}"/>
    <cellStyle name="Normal 4 2 2 3 3 2 2 2 3" xfId="11513" xr:uid="{28B83860-AEA7-428E-9755-74D8B4396E83}"/>
    <cellStyle name="Normal 4 2 2 3 3 2 2 3" xfId="5136" xr:uid="{00000000-0005-0000-0000-000049120000}"/>
    <cellStyle name="Normal 4 2 2 3 3 2 2 3 2" xfId="13586" xr:uid="{7AE54C11-CEE3-4E95-9243-589C3226B9B6}"/>
    <cellStyle name="Normal 4 2 2 3 3 2 2 4" xfId="9368" xr:uid="{6F0A5310-998C-48F5-8CCC-56D82105576C}"/>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0D70FD95-23CE-4AD3-A54A-8BA8C435E016}"/>
    <cellStyle name="Normal 4 2 2 3 3 2 3 2 3" xfId="11926" xr:uid="{24F9CB2A-3E29-491E-BABB-A203471183F8}"/>
    <cellStyle name="Normal 4 2 2 3 3 2 3 3" xfId="5549" xr:uid="{00000000-0005-0000-0000-00004D120000}"/>
    <cellStyle name="Normal 4 2 2 3 3 2 3 3 2" xfId="13999" xr:uid="{6D394A0A-48E0-435F-8F72-05490AF293B7}"/>
    <cellStyle name="Normal 4 2 2 3 3 2 3 4" xfId="9781" xr:uid="{DFC159A0-4B8F-42AE-B7FF-022DE78EB1E8}"/>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2113A47B-11D7-4355-B907-AAD58E47803E}"/>
    <cellStyle name="Normal 4 2 2 3 3 2 4 2 3" xfId="12339" xr:uid="{676691A8-C84D-4B1F-8825-DA8B02921293}"/>
    <cellStyle name="Normal 4 2 2 3 3 2 4 3" xfId="5962" xr:uid="{00000000-0005-0000-0000-000051120000}"/>
    <cellStyle name="Normal 4 2 2 3 3 2 4 3 2" xfId="14412" xr:uid="{EE190CEE-AB94-447C-8A8F-05E22CB1A5F0}"/>
    <cellStyle name="Normal 4 2 2 3 3 2 4 4" xfId="10194" xr:uid="{FA672F03-BEEF-466D-B878-4B746C51369C}"/>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8C0F3CBE-7FAF-42E9-8387-F5316320C006}"/>
    <cellStyle name="Normal 4 2 2 3 3 2 5 2 3" xfId="12752" xr:uid="{C2148E53-5E5B-4D3B-B6BC-3B6532FE1EAC}"/>
    <cellStyle name="Normal 4 2 2 3 3 2 5 3" xfId="6375" xr:uid="{00000000-0005-0000-0000-000055120000}"/>
    <cellStyle name="Normal 4 2 2 3 3 2 5 3 2" xfId="14825" xr:uid="{9F5B562C-4692-4A95-AA4F-D0D5CC2C392E}"/>
    <cellStyle name="Normal 4 2 2 3 3 2 5 4" xfId="10607" xr:uid="{0D8CA3CC-4679-4636-9F42-02719A6537CA}"/>
    <cellStyle name="Normal 4 2 2 3 3 2 6" xfId="2505" xr:uid="{00000000-0005-0000-0000-000056120000}"/>
    <cellStyle name="Normal 4 2 2 3 3 2 6 2" xfId="6788" xr:uid="{00000000-0005-0000-0000-000057120000}"/>
    <cellStyle name="Normal 4 2 2 3 3 2 6 2 2" xfId="15238" xr:uid="{9602362F-21F0-4D1F-B8A9-4543837C1E89}"/>
    <cellStyle name="Normal 4 2 2 3 3 2 6 3" xfId="11020" xr:uid="{7D338FCA-B78C-445E-8D9B-6D046DC7F47B}"/>
    <cellStyle name="Normal 4 2 2 3 3 2 7" xfId="4723" xr:uid="{00000000-0005-0000-0000-000058120000}"/>
    <cellStyle name="Normal 4 2 2 3 3 2 7 2" xfId="13173" xr:uid="{2C760D23-7DEC-4B10-9361-96BB2A2F27A0}"/>
    <cellStyle name="Normal 4 2 2 3 3 2 8" xfId="8955" xr:uid="{9CA08C03-35EA-4F78-9A17-3A3761EA81CD}"/>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A82229E4-F240-4B50-A1A1-9A5464DDACC8}"/>
    <cellStyle name="Normal 4 2 2 3 3 3 2 3" xfId="11512" xr:uid="{65F80A28-469E-46A3-A0C3-EAE576080BB9}"/>
    <cellStyle name="Normal 4 2 2 3 3 3 3" xfId="5135" xr:uid="{00000000-0005-0000-0000-00005C120000}"/>
    <cellStyle name="Normal 4 2 2 3 3 3 3 2" xfId="13585" xr:uid="{E51BC968-AADB-4A46-A3E6-86B48B651C86}"/>
    <cellStyle name="Normal 4 2 2 3 3 3 4" xfId="9367" xr:uid="{44224128-7DB9-488F-921F-6F633D2C9A5F}"/>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60E29AF9-FF00-47DC-9909-C2DF427CD17C}"/>
    <cellStyle name="Normal 4 2 2 3 3 4 2 3" xfId="11925" xr:uid="{C24F5360-9D20-4B2A-A7D4-48AB5D90C643}"/>
    <cellStyle name="Normal 4 2 2 3 3 4 3" xfId="5548" xr:uid="{00000000-0005-0000-0000-000060120000}"/>
    <cellStyle name="Normal 4 2 2 3 3 4 3 2" xfId="13998" xr:uid="{D5F7FFC4-FC44-4E1F-AE5F-51180C20F68F}"/>
    <cellStyle name="Normal 4 2 2 3 3 4 4" xfId="9780" xr:uid="{3ED3CD8C-2068-4921-AEC9-52CC59E38131}"/>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8E1224CB-3D76-411E-9959-E62463F8787C}"/>
    <cellStyle name="Normal 4 2 2 3 3 5 2 3" xfId="12338" xr:uid="{A7AEDA76-8868-4CE5-B83E-ADFFC229BDC6}"/>
    <cellStyle name="Normal 4 2 2 3 3 5 3" xfId="5961" xr:uid="{00000000-0005-0000-0000-000064120000}"/>
    <cellStyle name="Normal 4 2 2 3 3 5 3 2" xfId="14411" xr:uid="{AD8DDDF6-2548-4649-BC87-7C95E66D7314}"/>
    <cellStyle name="Normal 4 2 2 3 3 5 4" xfId="10193" xr:uid="{5B858180-6691-41D0-ADA6-A6924B735118}"/>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A6FB10FC-5DB2-4D18-9923-101EC7E21584}"/>
    <cellStyle name="Normal 4 2 2 3 3 6 2 3" xfId="12751" xr:uid="{547365A2-C811-40AE-A8B9-8F296F6A500E}"/>
    <cellStyle name="Normal 4 2 2 3 3 6 3" xfId="6374" xr:uid="{00000000-0005-0000-0000-000068120000}"/>
    <cellStyle name="Normal 4 2 2 3 3 6 3 2" xfId="14824" xr:uid="{03765295-C675-44CC-A90B-7C71A290B456}"/>
    <cellStyle name="Normal 4 2 2 3 3 6 4" xfId="10606" xr:uid="{1AF14709-2F7D-46A4-B664-1C8D4593ACE1}"/>
    <cellStyle name="Normal 4 2 2 3 3 7" xfId="2504" xr:uid="{00000000-0005-0000-0000-000069120000}"/>
    <cellStyle name="Normal 4 2 2 3 3 7 2" xfId="6787" xr:uid="{00000000-0005-0000-0000-00006A120000}"/>
    <cellStyle name="Normal 4 2 2 3 3 7 2 2" xfId="15237" xr:uid="{5B42A7E3-204F-4DAB-BFD4-0020132184F2}"/>
    <cellStyle name="Normal 4 2 2 3 3 7 3" xfId="11019" xr:uid="{195820E9-C414-4A35-8EF3-24BF7A45FC2D}"/>
    <cellStyle name="Normal 4 2 2 3 3 8" xfId="4722" xr:uid="{00000000-0005-0000-0000-00006B120000}"/>
    <cellStyle name="Normal 4 2 2 3 3 8 2" xfId="13172" xr:uid="{952E7019-B453-438F-9C78-E2E7B89BA70D}"/>
    <cellStyle name="Normal 4 2 2 3 3 9" xfId="8954" xr:uid="{7FE82997-8196-444B-9967-2DFDD8837C9F}"/>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1A67AC5F-FBFB-4E77-B243-4D79E5124F07}"/>
    <cellStyle name="Normal 4 2 2 3 4 2 2 3" xfId="11514" xr:uid="{909799CF-61D6-4DB3-96D9-D569BC303B1F}"/>
    <cellStyle name="Normal 4 2 2 3 4 2 3" xfId="5137" xr:uid="{00000000-0005-0000-0000-000070120000}"/>
    <cellStyle name="Normal 4 2 2 3 4 2 3 2" xfId="13587" xr:uid="{68FEFC8D-2EB9-431D-A996-164357A67FDB}"/>
    <cellStyle name="Normal 4 2 2 3 4 2 4" xfId="9369" xr:uid="{498591AE-7BA5-48D8-BC61-147A2669FA8E}"/>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DEADE97F-5909-4A33-878D-303700B0BE12}"/>
    <cellStyle name="Normal 4 2 2 3 4 3 2 3" xfId="11927" xr:uid="{1323D17F-BB5C-4D6F-9BB0-3983E773D6B2}"/>
    <cellStyle name="Normal 4 2 2 3 4 3 3" xfId="5550" xr:uid="{00000000-0005-0000-0000-000074120000}"/>
    <cellStyle name="Normal 4 2 2 3 4 3 3 2" xfId="14000" xr:uid="{6D386E45-3D5E-40CA-8F84-77EB7D75CE18}"/>
    <cellStyle name="Normal 4 2 2 3 4 3 4" xfId="9782" xr:uid="{924AC27A-6BB2-4AC5-8868-04CEF6C6F4AA}"/>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8286E849-6C2A-4394-A638-5E5E1D8C647A}"/>
    <cellStyle name="Normal 4 2 2 3 4 4 2 3" xfId="12340" xr:uid="{A31715D9-A4DE-4E17-B66C-4DABAC7AD35B}"/>
    <cellStyle name="Normal 4 2 2 3 4 4 3" xfId="5963" xr:uid="{00000000-0005-0000-0000-000078120000}"/>
    <cellStyle name="Normal 4 2 2 3 4 4 3 2" xfId="14413" xr:uid="{0C60FBD5-39ED-40EC-8BAA-D1CFA7E6BD90}"/>
    <cellStyle name="Normal 4 2 2 3 4 4 4" xfId="10195" xr:uid="{35034CE2-3230-4DA8-921B-5E7243A97BE3}"/>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77466373-FAA3-4ED1-9A6E-98E6868150A2}"/>
    <cellStyle name="Normal 4 2 2 3 4 5 2 3" xfId="12753" xr:uid="{E7F35642-7BED-4D97-BC0E-07CECD663F96}"/>
    <cellStyle name="Normal 4 2 2 3 4 5 3" xfId="6376" xr:uid="{00000000-0005-0000-0000-00007C120000}"/>
    <cellStyle name="Normal 4 2 2 3 4 5 3 2" xfId="14826" xr:uid="{074DE8DA-35BE-4B9E-BEBA-D4E3F950929D}"/>
    <cellStyle name="Normal 4 2 2 3 4 5 4" xfId="10608" xr:uid="{843DFB78-1E47-44A6-A426-C900AC78FE9A}"/>
    <cellStyle name="Normal 4 2 2 3 4 6" xfId="2506" xr:uid="{00000000-0005-0000-0000-00007D120000}"/>
    <cellStyle name="Normal 4 2 2 3 4 6 2" xfId="6789" xr:uid="{00000000-0005-0000-0000-00007E120000}"/>
    <cellStyle name="Normal 4 2 2 3 4 6 2 2" xfId="15239" xr:uid="{2E7DEE89-92DF-48F0-A288-24D947413AAC}"/>
    <cellStyle name="Normal 4 2 2 3 4 6 3" xfId="11021" xr:uid="{EFF3ED78-6CED-4FDF-B40D-750BF7EA27EA}"/>
    <cellStyle name="Normal 4 2 2 3 4 7" xfId="4724" xr:uid="{00000000-0005-0000-0000-00007F120000}"/>
    <cellStyle name="Normal 4 2 2 3 4 7 2" xfId="13174" xr:uid="{FE297E04-DD53-4F18-8552-C9E4C0A893A4}"/>
    <cellStyle name="Normal 4 2 2 3 4 8" xfId="8956" xr:uid="{668D1EBD-AFBD-463B-8035-1CEC9988ADA3}"/>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A7419768-77E3-40E5-A4CF-91A13352DFDF}"/>
    <cellStyle name="Normal 4 2 2 3 5 2 3" xfId="11507" xr:uid="{7407E2A0-1580-4FC8-B990-09894149457E}"/>
    <cellStyle name="Normal 4 2 2 3 5 3" xfId="5130" xr:uid="{00000000-0005-0000-0000-000083120000}"/>
    <cellStyle name="Normal 4 2 2 3 5 3 2" xfId="13580" xr:uid="{3648A759-FC4C-47C2-8C82-C40981D6A187}"/>
    <cellStyle name="Normal 4 2 2 3 5 4" xfId="9362" xr:uid="{49D7417D-88C0-426C-B3C4-346CFEB2200D}"/>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42D36341-BAC3-4B3E-987D-2500542C3A0C}"/>
    <cellStyle name="Normal 4 2 2 3 6 2 3" xfId="11920" xr:uid="{2A086B0B-77C6-4DDA-99E4-8F5C7F7F28C3}"/>
    <cellStyle name="Normal 4 2 2 3 6 3" xfId="5543" xr:uid="{00000000-0005-0000-0000-000087120000}"/>
    <cellStyle name="Normal 4 2 2 3 6 3 2" xfId="13993" xr:uid="{D5BE6CA9-3250-46EA-980C-9F9A1620EA95}"/>
    <cellStyle name="Normal 4 2 2 3 6 4" xfId="9775" xr:uid="{EB1B81B6-D6F2-4C09-BA00-F4A472A6F625}"/>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C8237103-A2F2-4943-841B-AF81CAE49B46}"/>
    <cellStyle name="Normal 4 2 2 3 7 2 3" xfId="12333" xr:uid="{2E82D569-A60C-42CE-AB07-DF8E851432E2}"/>
    <cellStyle name="Normal 4 2 2 3 7 3" xfId="5956" xr:uid="{00000000-0005-0000-0000-00008B120000}"/>
    <cellStyle name="Normal 4 2 2 3 7 3 2" xfId="14406" xr:uid="{07502084-0E4C-4F86-A3BA-17D88F4EFBD1}"/>
    <cellStyle name="Normal 4 2 2 3 7 4" xfId="10188" xr:uid="{76A9546A-A2AE-4725-ABF6-1591D2B91F8C}"/>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A1892259-015B-4CEE-BB03-71E4254AF27F}"/>
    <cellStyle name="Normal 4 2 2 3 8 2 3" xfId="12746" xr:uid="{41BF7F13-64C7-4825-B726-9752029305D9}"/>
    <cellStyle name="Normal 4 2 2 3 8 3" xfId="6369" xr:uid="{00000000-0005-0000-0000-00008F120000}"/>
    <cellStyle name="Normal 4 2 2 3 8 3 2" xfId="14819" xr:uid="{91E31D63-1D62-4C82-987E-194A4A66381E}"/>
    <cellStyle name="Normal 4 2 2 3 8 4" xfId="10601" xr:uid="{9CCD3927-D009-422A-A404-D1856F0BB397}"/>
    <cellStyle name="Normal 4 2 2 3 9" xfId="2499" xr:uid="{00000000-0005-0000-0000-000090120000}"/>
    <cellStyle name="Normal 4 2 2 3 9 2" xfId="6782" xr:uid="{00000000-0005-0000-0000-000091120000}"/>
    <cellStyle name="Normal 4 2 2 3 9 2 2" xfId="15232" xr:uid="{54B1AC4C-0EE0-4CB9-8779-E4A872F4ABA4}"/>
    <cellStyle name="Normal 4 2 2 3 9 3" xfId="11014" xr:uid="{2B5FC6F7-6316-4BE5-B803-0A30E6391CF4}"/>
    <cellStyle name="Normal 4 2 2 4" xfId="347" xr:uid="{00000000-0005-0000-0000-000092120000}"/>
    <cellStyle name="Normal 4 2 2 4 10" xfId="8957" xr:uid="{43CBC28F-7982-47D7-AC3D-87EE96CD6F72}"/>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7013F741-0C2A-46FA-9A82-B09521E6400E}"/>
    <cellStyle name="Normal 4 2 2 4 2 2 2 2 3" xfId="11517" xr:uid="{7F2C970B-7EE5-46EA-97F8-C905FD1E8091}"/>
    <cellStyle name="Normal 4 2 2 4 2 2 2 3" xfId="5140" xr:uid="{00000000-0005-0000-0000-000098120000}"/>
    <cellStyle name="Normal 4 2 2 4 2 2 2 3 2" xfId="13590" xr:uid="{FB1CD2CB-5F2E-42F9-BC79-195BF0ED4AE4}"/>
    <cellStyle name="Normal 4 2 2 4 2 2 2 4" xfId="9372" xr:uid="{311E10CA-E9CF-4261-AF74-D6919E6C96E4}"/>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A25BDA11-E426-4B93-9FAD-6940D32C2830}"/>
    <cellStyle name="Normal 4 2 2 4 2 2 3 2 3" xfId="11930" xr:uid="{85422BA8-3179-4648-862A-2DD26417F16A}"/>
    <cellStyle name="Normal 4 2 2 4 2 2 3 3" xfId="5553" xr:uid="{00000000-0005-0000-0000-00009C120000}"/>
    <cellStyle name="Normal 4 2 2 4 2 2 3 3 2" xfId="14003" xr:uid="{750847EA-761E-4F5F-B334-902EE80ED555}"/>
    <cellStyle name="Normal 4 2 2 4 2 2 3 4" xfId="9785" xr:uid="{577F91C2-0993-40E0-B938-464EEB2A1941}"/>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4067DECE-CCFD-4572-86A6-B2CB72125EEF}"/>
    <cellStyle name="Normal 4 2 2 4 2 2 4 2 3" xfId="12343" xr:uid="{B0BF0B3F-40DA-4363-8EFC-4512E99A1A36}"/>
    <cellStyle name="Normal 4 2 2 4 2 2 4 3" xfId="5966" xr:uid="{00000000-0005-0000-0000-0000A0120000}"/>
    <cellStyle name="Normal 4 2 2 4 2 2 4 3 2" xfId="14416" xr:uid="{80408749-A033-4DAF-B2ED-EF5BC5FF8A7E}"/>
    <cellStyle name="Normal 4 2 2 4 2 2 4 4" xfId="10198" xr:uid="{EF07F4D8-3B81-4642-AB42-684E57AD5744}"/>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358C6DD9-114A-44FB-96A1-DFF4880119BB}"/>
    <cellStyle name="Normal 4 2 2 4 2 2 5 2 3" xfId="12756" xr:uid="{24DDC19B-C707-4F8E-80A2-E438CE7D80F3}"/>
    <cellStyle name="Normal 4 2 2 4 2 2 5 3" xfId="6379" xr:uid="{00000000-0005-0000-0000-0000A4120000}"/>
    <cellStyle name="Normal 4 2 2 4 2 2 5 3 2" xfId="14829" xr:uid="{DFB1183B-3012-4B26-B92B-EA62DA7BC701}"/>
    <cellStyle name="Normal 4 2 2 4 2 2 5 4" xfId="10611" xr:uid="{070A5E2A-C23B-43B0-9E1F-F24D6D07A9E4}"/>
    <cellStyle name="Normal 4 2 2 4 2 2 6" xfId="2509" xr:uid="{00000000-0005-0000-0000-0000A5120000}"/>
    <cellStyle name="Normal 4 2 2 4 2 2 6 2" xfId="6792" xr:uid="{00000000-0005-0000-0000-0000A6120000}"/>
    <cellStyle name="Normal 4 2 2 4 2 2 6 2 2" xfId="15242" xr:uid="{6A54694C-8ED8-492C-B834-614EB8CCCDB6}"/>
    <cellStyle name="Normal 4 2 2 4 2 2 6 3" xfId="11024" xr:uid="{4C1FC924-26DF-4F6E-B253-CF8FFFF15B00}"/>
    <cellStyle name="Normal 4 2 2 4 2 2 7" xfId="4727" xr:uid="{00000000-0005-0000-0000-0000A7120000}"/>
    <cellStyle name="Normal 4 2 2 4 2 2 7 2" xfId="13177" xr:uid="{2C6A0CA9-3D8D-44D4-A2D3-9D35AAF647DF}"/>
    <cellStyle name="Normal 4 2 2 4 2 2 8" xfId="8959" xr:uid="{E663BFBC-D836-415C-8C51-D7CCD3673964}"/>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AD3DF860-19E1-47FF-BC00-54E698FE0B3F}"/>
    <cellStyle name="Normal 4 2 2 4 2 3 2 3" xfId="11516" xr:uid="{FDF55665-65D9-4303-8706-93C65ACD235F}"/>
    <cellStyle name="Normal 4 2 2 4 2 3 3" xfId="5139" xr:uid="{00000000-0005-0000-0000-0000AB120000}"/>
    <cellStyle name="Normal 4 2 2 4 2 3 3 2" xfId="13589" xr:uid="{9803FD9B-FC23-4A17-9B28-05F6F76ADBFF}"/>
    <cellStyle name="Normal 4 2 2 4 2 3 4" xfId="9371" xr:uid="{C611C1A4-589D-4289-A105-CA6C80AA3359}"/>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504D9F35-E8D2-4F3F-A818-FB712B806018}"/>
    <cellStyle name="Normal 4 2 2 4 2 4 2 3" xfId="11929" xr:uid="{99BD3D7C-27ED-43AA-8472-B2394B4DF27B}"/>
    <cellStyle name="Normal 4 2 2 4 2 4 3" xfId="5552" xr:uid="{00000000-0005-0000-0000-0000AF120000}"/>
    <cellStyle name="Normal 4 2 2 4 2 4 3 2" xfId="14002" xr:uid="{20650DE1-D652-4452-8202-9DF82E528566}"/>
    <cellStyle name="Normal 4 2 2 4 2 4 4" xfId="9784" xr:uid="{4CE671A2-515F-410F-B679-EC1FFBC11EBA}"/>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61504492-6975-447D-A094-41FE2371ABBC}"/>
    <cellStyle name="Normal 4 2 2 4 2 5 2 3" xfId="12342" xr:uid="{F01925D7-087D-44F2-8415-E94A68D734D3}"/>
    <cellStyle name="Normal 4 2 2 4 2 5 3" xfId="5965" xr:uid="{00000000-0005-0000-0000-0000B3120000}"/>
    <cellStyle name="Normal 4 2 2 4 2 5 3 2" xfId="14415" xr:uid="{1896BF33-CCBC-4BEE-A28F-2FAB6F6E22D9}"/>
    <cellStyle name="Normal 4 2 2 4 2 5 4" xfId="10197" xr:uid="{28C28C3B-46FB-4171-813C-E70C1A79C3E3}"/>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B420291F-0E94-447C-B9B7-8D1835F7075B}"/>
    <cellStyle name="Normal 4 2 2 4 2 6 2 3" xfId="12755" xr:uid="{F26D978C-92AB-4DF7-ADC0-DE325292F77A}"/>
    <cellStyle name="Normal 4 2 2 4 2 6 3" xfId="6378" xr:uid="{00000000-0005-0000-0000-0000B7120000}"/>
    <cellStyle name="Normal 4 2 2 4 2 6 3 2" xfId="14828" xr:uid="{6DA3AA8F-6F5F-492B-A6AC-23A0DCD9E02B}"/>
    <cellStyle name="Normal 4 2 2 4 2 6 4" xfId="10610" xr:uid="{121BD122-4874-42AD-8340-3C65F386EFD1}"/>
    <cellStyle name="Normal 4 2 2 4 2 7" xfId="2508" xr:uid="{00000000-0005-0000-0000-0000B8120000}"/>
    <cellStyle name="Normal 4 2 2 4 2 7 2" xfId="6791" xr:uid="{00000000-0005-0000-0000-0000B9120000}"/>
    <cellStyle name="Normal 4 2 2 4 2 7 2 2" xfId="15241" xr:uid="{7AAC7BEC-DC3C-48E8-BC0F-BFF53DEBAE5C}"/>
    <cellStyle name="Normal 4 2 2 4 2 7 3" xfId="11023" xr:uid="{211E5179-E2D2-4D7D-9A7F-E97F333B0CC6}"/>
    <cellStyle name="Normal 4 2 2 4 2 8" xfId="4726" xr:uid="{00000000-0005-0000-0000-0000BA120000}"/>
    <cellStyle name="Normal 4 2 2 4 2 8 2" xfId="13176" xr:uid="{E7B889DD-2513-436A-BBF9-A163A7797609}"/>
    <cellStyle name="Normal 4 2 2 4 2 9" xfId="8958" xr:uid="{E3A81D0F-9F0B-4D0C-B51E-DFF1FF8D8132}"/>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B9B78C1F-7AD9-41BD-836A-41E233E0D154}"/>
    <cellStyle name="Normal 4 2 2 4 3 2 2 3" xfId="11518" xr:uid="{E5E7542D-BAB3-44AC-AFA4-BA1B669029EE}"/>
    <cellStyle name="Normal 4 2 2 4 3 2 3" xfId="5141" xr:uid="{00000000-0005-0000-0000-0000BF120000}"/>
    <cellStyle name="Normal 4 2 2 4 3 2 3 2" xfId="13591" xr:uid="{B0AC4CBE-21B3-4E87-8F1B-EF6B2E6981EC}"/>
    <cellStyle name="Normal 4 2 2 4 3 2 4" xfId="9373" xr:uid="{09A86CD2-EDAC-49DC-9173-178AE229E87A}"/>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DCFFCF29-FFCF-47E3-A36A-329885C3232F}"/>
    <cellStyle name="Normal 4 2 2 4 3 3 2 3" xfId="11931" xr:uid="{FD78D954-1F0A-412D-9A5C-111DF1136079}"/>
    <cellStyle name="Normal 4 2 2 4 3 3 3" xfId="5554" xr:uid="{00000000-0005-0000-0000-0000C3120000}"/>
    <cellStyle name="Normal 4 2 2 4 3 3 3 2" xfId="14004" xr:uid="{A5A0D7C6-26B7-44D5-8750-6A9316C07CF8}"/>
    <cellStyle name="Normal 4 2 2 4 3 3 4" xfId="9786" xr:uid="{B3725677-AC02-4227-9D61-643E624C2884}"/>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2B2CDD46-928D-46EB-A36C-2CB282435C56}"/>
    <cellStyle name="Normal 4 2 2 4 3 4 2 3" xfId="12344" xr:uid="{280218F8-2118-4E3B-8679-1516390DFBA0}"/>
    <cellStyle name="Normal 4 2 2 4 3 4 3" xfId="5967" xr:uid="{00000000-0005-0000-0000-0000C7120000}"/>
    <cellStyle name="Normal 4 2 2 4 3 4 3 2" xfId="14417" xr:uid="{CAB7B686-B1F1-45F6-9F0B-7F8171DBBF0B}"/>
    <cellStyle name="Normal 4 2 2 4 3 4 4" xfId="10199" xr:uid="{80BAFEA1-E399-406A-9635-4B0602138E11}"/>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D12490A5-1D51-4092-9925-8C495D8A565F}"/>
    <cellStyle name="Normal 4 2 2 4 3 5 2 3" xfId="12757" xr:uid="{F0A05CDE-D179-4BFC-96A6-8FD71DCC160E}"/>
    <cellStyle name="Normal 4 2 2 4 3 5 3" xfId="6380" xr:uid="{00000000-0005-0000-0000-0000CB120000}"/>
    <cellStyle name="Normal 4 2 2 4 3 5 3 2" xfId="14830" xr:uid="{2FDAED0A-901B-47C3-96D8-A706C629599B}"/>
    <cellStyle name="Normal 4 2 2 4 3 5 4" xfId="10612" xr:uid="{C77E09D2-1DD1-4502-9D53-24D34AB34B14}"/>
    <cellStyle name="Normal 4 2 2 4 3 6" xfId="2510" xr:uid="{00000000-0005-0000-0000-0000CC120000}"/>
    <cellStyle name="Normal 4 2 2 4 3 6 2" xfId="6793" xr:uid="{00000000-0005-0000-0000-0000CD120000}"/>
    <cellStyle name="Normal 4 2 2 4 3 6 2 2" xfId="15243" xr:uid="{62A2FA10-2F20-43F7-A3D7-B055F3CED172}"/>
    <cellStyle name="Normal 4 2 2 4 3 6 3" xfId="11025" xr:uid="{9D9F5BAA-F96F-42EA-A500-21507E3AD94C}"/>
    <cellStyle name="Normal 4 2 2 4 3 7" xfId="4728" xr:uid="{00000000-0005-0000-0000-0000CE120000}"/>
    <cellStyle name="Normal 4 2 2 4 3 7 2" xfId="13178" xr:uid="{A4FD2D4C-DC01-460A-85D4-8EFA114CC3C7}"/>
    <cellStyle name="Normal 4 2 2 4 3 8" xfId="8960" xr:uid="{46BFF081-4E4B-4280-8DFE-3DB3AADCA3C0}"/>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3A25CE96-8236-4BC6-9C6C-06544CAFE1C3}"/>
    <cellStyle name="Normal 4 2 2 4 4 2 3" xfId="11515" xr:uid="{9ADA925A-B308-4448-BAB0-C9D427C8E14E}"/>
    <cellStyle name="Normal 4 2 2 4 4 3" xfId="5138" xr:uid="{00000000-0005-0000-0000-0000D2120000}"/>
    <cellStyle name="Normal 4 2 2 4 4 3 2" xfId="13588" xr:uid="{09248FF5-36CA-469D-9FD8-272CBF78A541}"/>
    <cellStyle name="Normal 4 2 2 4 4 4" xfId="9370" xr:uid="{A5835AFF-4815-4EFD-860D-B6D8C00FBE35}"/>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F5795C5D-F7F2-4DC3-86B6-B91E090E9D16}"/>
    <cellStyle name="Normal 4 2 2 4 5 2 3" xfId="11928" xr:uid="{997AF24C-BF82-49D5-9B0B-13C1D55AB9EC}"/>
    <cellStyle name="Normal 4 2 2 4 5 3" xfId="5551" xr:uid="{00000000-0005-0000-0000-0000D6120000}"/>
    <cellStyle name="Normal 4 2 2 4 5 3 2" xfId="14001" xr:uid="{23EE445F-AFCF-4148-9DFD-65D681ED75FB}"/>
    <cellStyle name="Normal 4 2 2 4 5 4" xfId="9783" xr:uid="{EAEBFF1A-D321-4467-8F45-F358BCBFCD30}"/>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9AC83881-2E0B-47EC-8109-4C43A6F4BDAE}"/>
    <cellStyle name="Normal 4 2 2 4 6 2 3" xfId="12341" xr:uid="{30EAF38F-0797-4376-8B19-AD801F2F029B}"/>
    <cellStyle name="Normal 4 2 2 4 6 3" xfId="5964" xr:uid="{00000000-0005-0000-0000-0000DA120000}"/>
    <cellStyle name="Normal 4 2 2 4 6 3 2" xfId="14414" xr:uid="{DE43E3C1-D079-458B-89F9-0A70708380A6}"/>
    <cellStyle name="Normal 4 2 2 4 6 4" xfId="10196" xr:uid="{CC0457A0-80C0-4A1A-B9EB-7A79A478F571}"/>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082FB715-29B3-4C55-B20E-644DDDB224F9}"/>
    <cellStyle name="Normal 4 2 2 4 7 2 3" xfId="12754" xr:uid="{A37173B2-A915-4487-A12C-D6023C727D48}"/>
    <cellStyle name="Normal 4 2 2 4 7 3" xfId="6377" xr:uid="{00000000-0005-0000-0000-0000DE120000}"/>
    <cellStyle name="Normal 4 2 2 4 7 3 2" xfId="14827" xr:uid="{A132D651-3DC6-4EC1-B798-536C4FFE0D77}"/>
    <cellStyle name="Normal 4 2 2 4 7 4" xfId="10609" xr:uid="{1A2F52CE-7980-43F6-91CC-714A58F13897}"/>
    <cellStyle name="Normal 4 2 2 4 8" xfId="2507" xr:uid="{00000000-0005-0000-0000-0000DF120000}"/>
    <cellStyle name="Normal 4 2 2 4 8 2" xfId="6790" xr:uid="{00000000-0005-0000-0000-0000E0120000}"/>
    <cellStyle name="Normal 4 2 2 4 8 2 2" xfId="15240" xr:uid="{78833FE2-811E-4E8F-B8B7-42361615CE6A}"/>
    <cellStyle name="Normal 4 2 2 4 8 3" xfId="11022" xr:uid="{9B92D3FC-0D69-45DD-B427-C93D15274BA7}"/>
    <cellStyle name="Normal 4 2 2 4 9" xfId="4725" xr:uid="{00000000-0005-0000-0000-0000E1120000}"/>
    <cellStyle name="Normal 4 2 2 4 9 2" xfId="13175" xr:uid="{CF4BA901-67FB-4135-8833-B5FEAC5A68EB}"/>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E0F0FB9C-C85D-4887-8425-661F2D88F8B1}"/>
    <cellStyle name="Normal 4 2 2 5 2 2 2 3" xfId="11520" xr:uid="{0F7248E3-FF22-468B-9FA6-53B7E82FD4D4}"/>
    <cellStyle name="Normal 4 2 2 5 2 2 3" xfId="5143" xr:uid="{00000000-0005-0000-0000-0000E7120000}"/>
    <cellStyle name="Normal 4 2 2 5 2 2 3 2" xfId="13593" xr:uid="{89508E49-B4FD-4CFE-93C4-6D4FF8D1ED2C}"/>
    <cellStyle name="Normal 4 2 2 5 2 2 4" xfId="9375" xr:uid="{9017632D-E166-44A2-AB52-550F53218B42}"/>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04E25481-552A-4460-BEA3-C8C4E117D9EF}"/>
    <cellStyle name="Normal 4 2 2 5 2 3 2 3" xfId="11933" xr:uid="{66DECA7B-7FB3-47E0-A237-8E2C3BB7E8CE}"/>
    <cellStyle name="Normal 4 2 2 5 2 3 3" xfId="5556" xr:uid="{00000000-0005-0000-0000-0000EB120000}"/>
    <cellStyle name="Normal 4 2 2 5 2 3 3 2" xfId="14006" xr:uid="{EA4A1CB4-DD6C-4572-ABC5-DB27B0973692}"/>
    <cellStyle name="Normal 4 2 2 5 2 3 4" xfId="9788" xr:uid="{34DDB73A-C761-410A-A11F-0729CAADA44B}"/>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C7816A49-7FB2-4E51-93A8-7CECA6706006}"/>
    <cellStyle name="Normal 4 2 2 5 2 4 2 3" xfId="12346" xr:uid="{836EE854-2CC5-4745-B7E8-CC988B642A21}"/>
    <cellStyle name="Normal 4 2 2 5 2 4 3" xfId="5969" xr:uid="{00000000-0005-0000-0000-0000EF120000}"/>
    <cellStyle name="Normal 4 2 2 5 2 4 3 2" xfId="14419" xr:uid="{9E9B4FC9-C48E-4B95-B772-91151ACFA53E}"/>
    <cellStyle name="Normal 4 2 2 5 2 4 4" xfId="10201" xr:uid="{3A078041-1D8A-461E-AFFE-A9B4BFB24B18}"/>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E855C575-4CC1-45FA-A0F3-5D2D5FE0F685}"/>
    <cellStyle name="Normal 4 2 2 5 2 5 2 3" xfId="12759" xr:uid="{E0643765-AB1A-4915-A85A-8942AC239BA9}"/>
    <cellStyle name="Normal 4 2 2 5 2 5 3" xfId="6382" xr:uid="{00000000-0005-0000-0000-0000F3120000}"/>
    <cellStyle name="Normal 4 2 2 5 2 5 3 2" xfId="14832" xr:uid="{DAE7FE85-F2BC-4FD0-8AA7-F2CDC4E9DBD1}"/>
    <cellStyle name="Normal 4 2 2 5 2 5 4" xfId="10614" xr:uid="{F03C068A-A5E0-4D9F-AA9F-9BE865BD6777}"/>
    <cellStyle name="Normal 4 2 2 5 2 6" xfId="2512" xr:uid="{00000000-0005-0000-0000-0000F4120000}"/>
    <cellStyle name="Normal 4 2 2 5 2 6 2" xfId="6795" xr:uid="{00000000-0005-0000-0000-0000F5120000}"/>
    <cellStyle name="Normal 4 2 2 5 2 6 2 2" xfId="15245" xr:uid="{30A86C16-AE38-4012-8C4D-ECA329982658}"/>
    <cellStyle name="Normal 4 2 2 5 2 6 3" xfId="11027" xr:uid="{0F1FA357-D491-4F75-BA93-9246C519A43B}"/>
    <cellStyle name="Normal 4 2 2 5 2 7" xfId="4730" xr:uid="{00000000-0005-0000-0000-0000F6120000}"/>
    <cellStyle name="Normal 4 2 2 5 2 7 2" xfId="13180" xr:uid="{56796373-0158-4FB0-8F29-FB7BF225703F}"/>
    <cellStyle name="Normal 4 2 2 5 2 8" xfId="8962" xr:uid="{0F54EB04-506C-401A-A6A9-6E759062032A}"/>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BFB9980E-7B35-4D73-A9FD-95821FA60708}"/>
    <cellStyle name="Normal 4 2 2 5 3 2 3" xfId="11519" xr:uid="{DE6DCAC4-A8CB-4B05-9887-08F3434892B8}"/>
    <cellStyle name="Normal 4 2 2 5 3 3" xfId="5142" xr:uid="{00000000-0005-0000-0000-0000FA120000}"/>
    <cellStyle name="Normal 4 2 2 5 3 3 2" xfId="13592" xr:uid="{61A4AA76-DA5F-47E5-89E6-0A3FE7C9A86F}"/>
    <cellStyle name="Normal 4 2 2 5 3 4" xfId="9374" xr:uid="{6008E58F-92DD-4A76-B4C2-3AC5CD79FD81}"/>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EA995CA2-34DC-4F08-9B3B-DD46F2B9C79A}"/>
    <cellStyle name="Normal 4 2 2 5 4 2 3" xfId="11932" xr:uid="{1A8FF0DB-8DB6-42A6-B9E5-4F25B2FB15BF}"/>
    <cellStyle name="Normal 4 2 2 5 4 3" xfId="5555" xr:uid="{00000000-0005-0000-0000-0000FE120000}"/>
    <cellStyle name="Normal 4 2 2 5 4 3 2" xfId="14005" xr:uid="{7CECFB66-068E-4184-8815-863072D2B77C}"/>
    <cellStyle name="Normal 4 2 2 5 4 4" xfId="9787" xr:uid="{B46853B5-90DA-4BEE-BB70-3DDA1D0B42FB}"/>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849D1FB9-97B6-432A-8F2E-7766C32A1BBF}"/>
    <cellStyle name="Normal 4 2 2 5 5 2 3" xfId="12345" xr:uid="{D87306C6-5B9D-4934-9DF2-60688BCB5500}"/>
    <cellStyle name="Normal 4 2 2 5 5 3" xfId="5968" xr:uid="{00000000-0005-0000-0000-000002130000}"/>
    <cellStyle name="Normal 4 2 2 5 5 3 2" xfId="14418" xr:uid="{9F484A80-AF4D-4B63-9A5F-3661F317739E}"/>
    <cellStyle name="Normal 4 2 2 5 5 4" xfId="10200" xr:uid="{4C50EAC2-D859-4134-9793-0D8B3AF681A3}"/>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5D5C386E-2F9B-4722-8D91-EA22D2570EF9}"/>
    <cellStyle name="Normal 4 2 2 5 6 2 3" xfId="12758" xr:uid="{0ACEB5DC-FAD3-48D9-B89C-B7DC173CFDB5}"/>
    <cellStyle name="Normal 4 2 2 5 6 3" xfId="6381" xr:uid="{00000000-0005-0000-0000-000006130000}"/>
    <cellStyle name="Normal 4 2 2 5 6 3 2" xfId="14831" xr:uid="{C093875D-E85C-471D-9272-36C2374810DF}"/>
    <cellStyle name="Normal 4 2 2 5 6 4" xfId="10613" xr:uid="{E62D06D9-8AB1-4300-9582-F5E146742F2C}"/>
    <cellStyle name="Normal 4 2 2 5 7" xfId="2511" xr:uid="{00000000-0005-0000-0000-000007130000}"/>
    <cellStyle name="Normal 4 2 2 5 7 2" xfId="6794" xr:uid="{00000000-0005-0000-0000-000008130000}"/>
    <cellStyle name="Normal 4 2 2 5 7 2 2" xfId="15244" xr:uid="{9B00E5AC-0EEE-4982-AC80-DC2D91B6911B}"/>
    <cellStyle name="Normal 4 2 2 5 7 3" xfId="11026" xr:uid="{8A37E1F1-4AEB-4D2A-82E2-08A6061F52A5}"/>
    <cellStyle name="Normal 4 2 2 5 8" xfId="4729" xr:uid="{00000000-0005-0000-0000-000009130000}"/>
    <cellStyle name="Normal 4 2 2 5 8 2" xfId="13179" xr:uid="{25702F8F-7737-4DCC-AF74-A130B7D72CE7}"/>
    <cellStyle name="Normal 4 2 2 5 9" xfId="8961" xr:uid="{D7902F68-9A2F-497A-B1C5-A777284C64D6}"/>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305D66A9-B5A4-44C9-ADDE-4B27CB4D46E2}"/>
    <cellStyle name="Normal 4 2 2 6 2 2 3" xfId="11521" xr:uid="{FF77A3B3-55D2-4E8F-A49A-5F9A607ADD54}"/>
    <cellStyle name="Normal 4 2 2 6 2 3" xfId="5144" xr:uid="{00000000-0005-0000-0000-00000E130000}"/>
    <cellStyle name="Normal 4 2 2 6 2 3 2" xfId="13594" xr:uid="{156B4A15-0B1E-4F38-9B98-5881ABF427AE}"/>
    <cellStyle name="Normal 4 2 2 6 2 4" xfId="9376" xr:uid="{76FEE893-147A-45DC-B8FD-C280D97107F4}"/>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0FB372B2-5D7E-4DC9-8F8A-3512348B524C}"/>
    <cellStyle name="Normal 4 2 2 6 3 2 3" xfId="11934" xr:uid="{CBA7D8FE-0619-42A5-A54C-8BA235F952E2}"/>
    <cellStyle name="Normal 4 2 2 6 3 3" xfId="5557" xr:uid="{00000000-0005-0000-0000-000012130000}"/>
    <cellStyle name="Normal 4 2 2 6 3 3 2" xfId="14007" xr:uid="{4ECD64CB-13CE-4EB9-9713-80681CA8C325}"/>
    <cellStyle name="Normal 4 2 2 6 3 4" xfId="9789" xr:uid="{1A93B7FF-1553-425B-BD3D-321BB9124634}"/>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4672B778-BBAC-4E94-8D9D-D2DDCDB340E8}"/>
    <cellStyle name="Normal 4 2 2 6 4 2 3" xfId="12347" xr:uid="{FEDFA922-0338-40FA-8DBE-FAB2CE920419}"/>
    <cellStyle name="Normal 4 2 2 6 4 3" xfId="5970" xr:uid="{00000000-0005-0000-0000-000016130000}"/>
    <cellStyle name="Normal 4 2 2 6 4 3 2" xfId="14420" xr:uid="{90AD417F-6D75-465E-8588-66D974A851F6}"/>
    <cellStyle name="Normal 4 2 2 6 4 4" xfId="10202" xr:uid="{18B7BF8A-2C7B-41CF-B4EF-5586AF37BF8F}"/>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48BD0028-57B8-4C92-8F9D-FA653757CDB6}"/>
    <cellStyle name="Normal 4 2 2 6 5 2 3" xfId="12760" xr:uid="{084AD676-C4AD-4C43-8E3D-AA4735F4AB0F}"/>
    <cellStyle name="Normal 4 2 2 6 5 3" xfId="6383" xr:uid="{00000000-0005-0000-0000-00001A130000}"/>
    <cellStyle name="Normal 4 2 2 6 5 3 2" xfId="14833" xr:uid="{0271469B-19CD-45BA-9FFE-CF3D4856A941}"/>
    <cellStyle name="Normal 4 2 2 6 5 4" xfId="10615" xr:uid="{0538F140-9512-402A-800E-03D1A99D634C}"/>
    <cellStyle name="Normal 4 2 2 6 6" xfId="2513" xr:uid="{00000000-0005-0000-0000-00001B130000}"/>
    <cellStyle name="Normal 4 2 2 6 6 2" xfId="6796" xr:uid="{00000000-0005-0000-0000-00001C130000}"/>
    <cellStyle name="Normal 4 2 2 6 6 2 2" xfId="15246" xr:uid="{35479BEF-4682-43DC-A74E-C78C5D6E660C}"/>
    <cellStyle name="Normal 4 2 2 6 6 3" xfId="11028" xr:uid="{9D024FFF-CD05-4C90-A347-199B99AD0EEA}"/>
    <cellStyle name="Normal 4 2 2 6 7" xfId="4731" xr:uid="{00000000-0005-0000-0000-00001D130000}"/>
    <cellStyle name="Normal 4 2 2 6 7 2" xfId="13181" xr:uid="{E2FB6249-8DEA-490B-937A-33C47D7766AD}"/>
    <cellStyle name="Normal 4 2 2 6 8" xfId="8963" xr:uid="{5D259210-F018-45B0-A340-ECA50B6294E3}"/>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24428AB6-5718-4505-8AD0-A1F55FFFB69D}"/>
    <cellStyle name="Normal 4 2 2 7 2 3" xfId="11506" xr:uid="{42C204B0-C7D2-4563-A310-0317C7D7818B}"/>
    <cellStyle name="Normal 4 2 2 7 3" xfId="5129" xr:uid="{00000000-0005-0000-0000-000021130000}"/>
    <cellStyle name="Normal 4 2 2 7 3 2" xfId="13579" xr:uid="{5B71DCC7-D42D-475E-9713-117B40735397}"/>
    <cellStyle name="Normal 4 2 2 7 4" xfId="9361" xr:uid="{23C1DD37-6746-4814-BCC8-27633130723B}"/>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C071E4DC-5D78-4291-B0DB-ABE8ED827E80}"/>
    <cellStyle name="Normal 4 2 2 8 2 3" xfId="11919" xr:uid="{FF7C0A98-902A-4C81-B9B4-6773B09D3D6C}"/>
    <cellStyle name="Normal 4 2 2 8 3" xfId="5542" xr:uid="{00000000-0005-0000-0000-000025130000}"/>
    <cellStyle name="Normal 4 2 2 8 3 2" xfId="13992" xr:uid="{FCDCF13C-A8B5-486F-A62D-70C64BEEB32D}"/>
    <cellStyle name="Normal 4 2 2 8 4" xfId="9774" xr:uid="{95897EE1-EB98-4B6B-AE8F-9F1238B63154}"/>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DA752266-7D98-496B-92A0-BCAEF92E5470}"/>
    <cellStyle name="Normal 4 2 2 9 2 3" xfId="12332" xr:uid="{33FF8327-21BA-4F47-83FC-25914B66E548}"/>
    <cellStyle name="Normal 4 2 2 9 3" xfId="5955" xr:uid="{00000000-0005-0000-0000-000029130000}"/>
    <cellStyle name="Normal 4 2 2 9 3 2" xfId="14405" xr:uid="{2C000C1F-94A2-49A1-957E-A4A3E5D5E9A3}"/>
    <cellStyle name="Normal 4 2 2 9 4" xfId="10187" xr:uid="{C5D138AA-D6F3-41FC-B1DC-051E36F1F532}"/>
    <cellStyle name="Normal 4 2 3" xfId="354" xr:uid="{00000000-0005-0000-0000-00002A130000}"/>
    <cellStyle name="Normal 4 2 4" xfId="355" xr:uid="{00000000-0005-0000-0000-00002B130000}"/>
    <cellStyle name="Normal 4 2 4 10" xfId="4732" xr:uid="{00000000-0005-0000-0000-00002C130000}"/>
    <cellStyle name="Normal 4 2 4 10 2" xfId="13182" xr:uid="{32F4977C-17FC-4032-A0C5-C4410B46A614}"/>
    <cellStyle name="Normal 4 2 4 11" xfId="8964" xr:uid="{D56A2EF1-240C-4EAE-8168-DB7C0CACDCC1}"/>
    <cellStyle name="Normal 4 2 4 2" xfId="356" xr:uid="{00000000-0005-0000-0000-00002D130000}"/>
    <cellStyle name="Normal 4 2 4 2 10" xfId="8965" xr:uid="{9F28B03D-033C-4FF4-9A73-2F36F0FAF20F}"/>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DD385381-ADFD-44EC-8892-B67D5588C51F}"/>
    <cellStyle name="Normal 4 2 4 2 2 2 2 2 3" xfId="11525" xr:uid="{21410748-62B4-4AF6-AAF6-30E2269C7731}"/>
    <cellStyle name="Normal 4 2 4 2 2 2 2 3" xfId="5148" xr:uid="{00000000-0005-0000-0000-000033130000}"/>
    <cellStyle name="Normal 4 2 4 2 2 2 2 3 2" xfId="13598" xr:uid="{076CC234-BD1E-4609-BB77-98917FCB007A}"/>
    <cellStyle name="Normal 4 2 4 2 2 2 2 4" xfId="9380" xr:uid="{62258494-41B5-45DE-A757-3F283AD2F435}"/>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5958AADE-330F-452D-B622-D264449F8559}"/>
    <cellStyle name="Normal 4 2 4 2 2 2 3 2 3" xfId="11938" xr:uid="{4258C14C-FB5B-44B9-A168-38A6274E2C2D}"/>
    <cellStyle name="Normal 4 2 4 2 2 2 3 3" xfId="5561" xr:uid="{00000000-0005-0000-0000-000037130000}"/>
    <cellStyle name="Normal 4 2 4 2 2 2 3 3 2" xfId="14011" xr:uid="{9FBBE630-A09A-411C-85A2-8961CB46B928}"/>
    <cellStyle name="Normal 4 2 4 2 2 2 3 4" xfId="9793" xr:uid="{1AC40B5B-90B7-472F-AF70-AAAF1CA0591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5A218433-F310-4499-9D75-2147457B391C}"/>
    <cellStyle name="Normal 4 2 4 2 2 2 4 2 3" xfId="12351" xr:uid="{7079D759-279E-4F08-9398-B773D8457598}"/>
    <cellStyle name="Normal 4 2 4 2 2 2 4 3" xfId="5974" xr:uid="{00000000-0005-0000-0000-00003B130000}"/>
    <cellStyle name="Normal 4 2 4 2 2 2 4 3 2" xfId="14424" xr:uid="{6141617B-D6BC-4F9E-B1A2-55259E8B5593}"/>
    <cellStyle name="Normal 4 2 4 2 2 2 4 4" xfId="10206" xr:uid="{64B6C329-9475-4E37-9A57-5AD2F5D5ED5D}"/>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6A60746C-DE18-4530-AAAE-FB7251C4CF67}"/>
    <cellStyle name="Normal 4 2 4 2 2 2 5 2 3" xfId="12764" xr:uid="{0EF1E219-597F-4C65-BBDC-5ADF841523BE}"/>
    <cellStyle name="Normal 4 2 4 2 2 2 5 3" xfId="6387" xr:uid="{00000000-0005-0000-0000-00003F130000}"/>
    <cellStyle name="Normal 4 2 4 2 2 2 5 3 2" xfId="14837" xr:uid="{1428DB29-E4CB-4777-BF23-FD9522B9AA63}"/>
    <cellStyle name="Normal 4 2 4 2 2 2 5 4" xfId="10619" xr:uid="{10DF024F-1FFB-40F0-A8DF-E951B240E68D}"/>
    <cellStyle name="Normal 4 2 4 2 2 2 6" xfId="2517" xr:uid="{00000000-0005-0000-0000-000040130000}"/>
    <cellStyle name="Normal 4 2 4 2 2 2 6 2" xfId="6800" xr:uid="{00000000-0005-0000-0000-000041130000}"/>
    <cellStyle name="Normal 4 2 4 2 2 2 6 2 2" xfId="15250" xr:uid="{FF1F8260-9673-414B-BF8B-1ADB7DCE3E1E}"/>
    <cellStyle name="Normal 4 2 4 2 2 2 6 3" xfId="11032" xr:uid="{4983DB3C-2509-4F98-AF8D-5D320496BEBE}"/>
    <cellStyle name="Normal 4 2 4 2 2 2 7" xfId="4735" xr:uid="{00000000-0005-0000-0000-000042130000}"/>
    <cellStyle name="Normal 4 2 4 2 2 2 7 2" xfId="13185" xr:uid="{7C7F3597-6BC5-436A-9C42-EACEE016B80B}"/>
    <cellStyle name="Normal 4 2 4 2 2 2 8" xfId="8967" xr:uid="{1D0F5815-EC18-4B4C-9975-D54C1F00AA28}"/>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F961ED83-8087-4955-B532-844E35BF2296}"/>
    <cellStyle name="Normal 4 2 4 2 2 3 2 3" xfId="11524" xr:uid="{8DEC296F-B565-4A5B-BF67-F223B9C63450}"/>
    <cellStyle name="Normal 4 2 4 2 2 3 3" xfId="5147" xr:uid="{00000000-0005-0000-0000-000046130000}"/>
    <cellStyle name="Normal 4 2 4 2 2 3 3 2" xfId="13597" xr:uid="{D256D6A4-8BA9-4839-8984-997BFB7FA544}"/>
    <cellStyle name="Normal 4 2 4 2 2 3 4" xfId="9379" xr:uid="{24FFC09A-1F4F-4478-9008-1C8A9725AC3E}"/>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377B58FE-817C-4386-852C-8FD7D9F17387}"/>
    <cellStyle name="Normal 4 2 4 2 2 4 2 3" xfId="11937" xr:uid="{84948B0B-DC45-478A-866F-577DC5A4F9AE}"/>
    <cellStyle name="Normal 4 2 4 2 2 4 3" xfId="5560" xr:uid="{00000000-0005-0000-0000-00004A130000}"/>
    <cellStyle name="Normal 4 2 4 2 2 4 3 2" xfId="14010" xr:uid="{057B413D-FB85-474F-8DFD-61DB086C4BBB}"/>
    <cellStyle name="Normal 4 2 4 2 2 4 4" xfId="9792" xr:uid="{7DB72ABB-4701-434C-BA1F-8CD2D26AC5AE}"/>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53DC7804-A5D7-4876-8441-A484FD6C111B}"/>
    <cellStyle name="Normal 4 2 4 2 2 5 2 3" xfId="12350" xr:uid="{E76F5FA8-964E-41A0-BF87-92C9F413F6EF}"/>
    <cellStyle name="Normal 4 2 4 2 2 5 3" xfId="5973" xr:uid="{00000000-0005-0000-0000-00004E130000}"/>
    <cellStyle name="Normal 4 2 4 2 2 5 3 2" xfId="14423" xr:uid="{175DE324-4401-4370-BA0C-19128802E0AE}"/>
    <cellStyle name="Normal 4 2 4 2 2 5 4" xfId="10205" xr:uid="{9AF22719-9FCF-4B02-8A22-ACC21B6372CF}"/>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1568ED9F-93BB-4E5E-9499-E57337B568EE}"/>
    <cellStyle name="Normal 4 2 4 2 2 6 2 3" xfId="12763" xr:uid="{47295438-F3E3-443D-BF25-77BD944D204D}"/>
    <cellStyle name="Normal 4 2 4 2 2 6 3" xfId="6386" xr:uid="{00000000-0005-0000-0000-000052130000}"/>
    <cellStyle name="Normal 4 2 4 2 2 6 3 2" xfId="14836" xr:uid="{636C865C-328E-492F-98A8-D1AB3D6E1CF2}"/>
    <cellStyle name="Normal 4 2 4 2 2 6 4" xfId="10618" xr:uid="{654B1E03-724D-470B-B057-E3455C5938C6}"/>
    <cellStyle name="Normal 4 2 4 2 2 7" xfId="2516" xr:uid="{00000000-0005-0000-0000-000053130000}"/>
    <cellStyle name="Normal 4 2 4 2 2 7 2" xfId="6799" xr:uid="{00000000-0005-0000-0000-000054130000}"/>
    <cellStyle name="Normal 4 2 4 2 2 7 2 2" xfId="15249" xr:uid="{4B7248A3-B619-455A-ADBE-67C419751B6E}"/>
    <cellStyle name="Normal 4 2 4 2 2 7 3" xfId="11031" xr:uid="{95D04B89-F4E8-42BF-B5B6-099F314DCBC2}"/>
    <cellStyle name="Normal 4 2 4 2 2 8" xfId="4734" xr:uid="{00000000-0005-0000-0000-000055130000}"/>
    <cellStyle name="Normal 4 2 4 2 2 8 2" xfId="13184" xr:uid="{50788213-BACE-4A45-A635-16A2D5710202}"/>
    <cellStyle name="Normal 4 2 4 2 2 9" xfId="8966" xr:uid="{7ADC954B-9045-45ED-81BB-8DD10F6D014E}"/>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892B041B-5E55-422B-BCC9-A05EB8864ECA}"/>
    <cellStyle name="Normal 4 2 4 2 3 2 2 3" xfId="11526" xr:uid="{EC5313CE-69C4-4F9C-A390-FEA0E1547400}"/>
    <cellStyle name="Normal 4 2 4 2 3 2 3" xfId="5149" xr:uid="{00000000-0005-0000-0000-00005A130000}"/>
    <cellStyle name="Normal 4 2 4 2 3 2 3 2" xfId="13599" xr:uid="{79F63C61-F5F1-48DC-BC07-0DACB1F5BFA5}"/>
    <cellStyle name="Normal 4 2 4 2 3 2 4" xfId="9381" xr:uid="{691F8631-AE7F-4FBA-924D-A49E9CBD83B5}"/>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86272167-E056-41A3-9444-46B82A5A71C0}"/>
    <cellStyle name="Normal 4 2 4 2 3 3 2 3" xfId="11939" xr:uid="{17CEAF51-18F2-42C2-9A29-BB7F5239594A}"/>
    <cellStyle name="Normal 4 2 4 2 3 3 3" xfId="5562" xr:uid="{00000000-0005-0000-0000-00005E130000}"/>
    <cellStyle name="Normal 4 2 4 2 3 3 3 2" xfId="14012" xr:uid="{2E541E3D-73DE-4C04-BFAE-559ED1DCE171}"/>
    <cellStyle name="Normal 4 2 4 2 3 3 4" xfId="9794" xr:uid="{304A456C-77CF-40B8-AAAF-7998A001C60F}"/>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6EFF641C-45D0-4EB9-BB0E-B5F9E25FE5CF}"/>
    <cellStyle name="Normal 4 2 4 2 3 4 2 3" xfId="12352" xr:uid="{9DE8D48C-523B-45B6-99CB-5F6CC486BF08}"/>
    <cellStyle name="Normal 4 2 4 2 3 4 3" xfId="5975" xr:uid="{00000000-0005-0000-0000-000062130000}"/>
    <cellStyle name="Normal 4 2 4 2 3 4 3 2" xfId="14425" xr:uid="{41982AA9-4EDA-4F6F-AE3F-B770A8BF0DB8}"/>
    <cellStyle name="Normal 4 2 4 2 3 4 4" xfId="10207" xr:uid="{8B51EA72-06A1-40B7-AD44-1C939F28F21A}"/>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6C7F2522-8465-4A01-9084-36DB089BBAF7}"/>
    <cellStyle name="Normal 4 2 4 2 3 5 2 3" xfId="12765" xr:uid="{127EACAE-91EA-42F0-B91D-C3AFA1711101}"/>
    <cellStyle name="Normal 4 2 4 2 3 5 3" xfId="6388" xr:uid="{00000000-0005-0000-0000-000066130000}"/>
    <cellStyle name="Normal 4 2 4 2 3 5 3 2" xfId="14838" xr:uid="{64FD9EE6-D901-4D25-80C4-FB65503B063C}"/>
    <cellStyle name="Normal 4 2 4 2 3 5 4" xfId="10620" xr:uid="{375303CA-B2EC-4A2B-840D-7CDA7D1B1661}"/>
    <cellStyle name="Normal 4 2 4 2 3 6" xfId="2518" xr:uid="{00000000-0005-0000-0000-000067130000}"/>
    <cellStyle name="Normal 4 2 4 2 3 6 2" xfId="6801" xr:uid="{00000000-0005-0000-0000-000068130000}"/>
    <cellStyle name="Normal 4 2 4 2 3 6 2 2" xfId="15251" xr:uid="{85EA207D-504B-4831-96F6-C3F4A2BF967E}"/>
    <cellStyle name="Normal 4 2 4 2 3 6 3" xfId="11033" xr:uid="{35A71548-AF56-4B4A-83FF-384A0D1B2B6C}"/>
    <cellStyle name="Normal 4 2 4 2 3 7" xfId="4736" xr:uid="{00000000-0005-0000-0000-000069130000}"/>
    <cellStyle name="Normal 4 2 4 2 3 7 2" xfId="13186" xr:uid="{92CF790B-4E54-4172-B80F-B19AB9EE5664}"/>
    <cellStyle name="Normal 4 2 4 2 3 8" xfId="8968" xr:uid="{30DCE02A-5F0F-4EE4-8DD9-78756E43D3C7}"/>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12940238-0F4D-44D4-A611-4A97E328B19F}"/>
    <cellStyle name="Normal 4 2 4 2 4 2 3" xfId="11523" xr:uid="{1A166CBC-47C9-4CB2-8FAD-0BFDE00CEE93}"/>
    <cellStyle name="Normal 4 2 4 2 4 3" xfId="5146" xr:uid="{00000000-0005-0000-0000-00006D130000}"/>
    <cellStyle name="Normal 4 2 4 2 4 3 2" xfId="13596" xr:uid="{D81C978B-4E72-42E5-BB46-F0EAF17B8C00}"/>
    <cellStyle name="Normal 4 2 4 2 4 4" xfId="9378" xr:uid="{2195544A-712F-41F5-89A3-97ECF81D15E8}"/>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B1240B10-D735-4F6F-A39A-15361F4A34A7}"/>
    <cellStyle name="Normal 4 2 4 2 5 2 3" xfId="11936" xr:uid="{7AFBE00E-0837-4297-8EA9-0AD41CECF160}"/>
    <cellStyle name="Normal 4 2 4 2 5 3" xfId="5559" xr:uid="{00000000-0005-0000-0000-000071130000}"/>
    <cellStyle name="Normal 4 2 4 2 5 3 2" xfId="14009" xr:uid="{33BF5231-BBB7-445F-BA48-CA1156F22BEB}"/>
    <cellStyle name="Normal 4 2 4 2 5 4" xfId="9791" xr:uid="{B27E9BEA-CFBF-4DEB-8E8F-48DD42AB9E14}"/>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18A5EE99-652B-4B99-9C26-D62865DAF4F9}"/>
    <cellStyle name="Normal 4 2 4 2 6 2 3" xfId="12349" xr:uid="{1F9ECD80-64E1-4BC7-A8A4-E0BF530C325D}"/>
    <cellStyle name="Normal 4 2 4 2 6 3" xfId="5972" xr:uid="{00000000-0005-0000-0000-000075130000}"/>
    <cellStyle name="Normal 4 2 4 2 6 3 2" xfId="14422" xr:uid="{5FD47066-8637-49CE-9435-4B35EC0FCB0B}"/>
    <cellStyle name="Normal 4 2 4 2 6 4" xfId="10204" xr:uid="{52804A22-84B4-4542-9BC6-B4D38D4B3CF7}"/>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EFFCB7B1-B6EA-4B51-B657-D730D1E9B0A9}"/>
    <cellStyle name="Normal 4 2 4 2 7 2 3" xfId="12762" xr:uid="{FF1E8FC3-4E6F-437D-9FB4-6B116B0B7AB1}"/>
    <cellStyle name="Normal 4 2 4 2 7 3" xfId="6385" xr:uid="{00000000-0005-0000-0000-000079130000}"/>
    <cellStyle name="Normal 4 2 4 2 7 3 2" xfId="14835" xr:uid="{62CFF7B6-E0D0-42DE-9B0E-3CD0647E0473}"/>
    <cellStyle name="Normal 4 2 4 2 7 4" xfId="10617" xr:uid="{D26AB2F4-B69D-452E-801A-1F1A70361F78}"/>
    <cellStyle name="Normal 4 2 4 2 8" xfId="2515" xr:uid="{00000000-0005-0000-0000-00007A130000}"/>
    <cellStyle name="Normal 4 2 4 2 8 2" xfId="6798" xr:uid="{00000000-0005-0000-0000-00007B130000}"/>
    <cellStyle name="Normal 4 2 4 2 8 2 2" xfId="15248" xr:uid="{D6785030-23A5-418C-8FBE-DC748C6B3135}"/>
    <cellStyle name="Normal 4 2 4 2 8 3" xfId="11030" xr:uid="{72EE5181-715B-41F0-95F4-E92074841982}"/>
    <cellStyle name="Normal 4 2 4 2 9" xfId="4733" xr:uid="{00000000-0005-0000-0000-00007C130000}"/>
    <cellStyle name="Normal 4 2 4 2 9 2" xfId="13183" xr:uid="{AB4DA14D-5792-4A0B-9AD0-58D7599AC208}"/>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957F1B71-0AB6-41CC-97BE-8119C85DB7A6}"/>
    <cellStyle name="Normal 4 2 4 3 2 2 2 3" xfId="11528" xr:uid="{F5F79C24-B86C-46BB-9122-CCEDAEAB668F}"/>
    <cellStyle name="Normal 4 2 4 3 2 2 3" xfId="5151" xr:uid="{00000000-0005-0000-0000-000082130000}"/>
    <cellStyle name="Normal 4 2 4 3 2 2 3 2" xfId="13601" xr:uid="{36F26F9E-6392-4F07-AAD9-471583FFCC06}"/>
    <cellStyle name="Normal 4 2 4 3 2 2 4" xfId="9383" xr:uid="{A9FA9DB9-542A-4E6B-9718-700A099488A7}"/>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77A76816-56FB-4987-B75C-C32F8CAF8508}"/>
    <cellStyle name="Normal 4 2 4 3 2 3 2 3" xfId="11941" xr:uid="{A376A652-B244-436B-BEEE-8676FB22B917}"/>
    <cellStyle name="Normal 4 2 4 3 2 3 3" xfId="5564" xr:uid="{00000000-0005-0000-0000-000086130000}"/>
    <cellStyle name="Normal 4 2 4 3 2 3 3 2" xfId="14014" xr:uid="{B6C8EBE4-C8F1-49B1-BE4B-ED8ADDA1E938}"/>
    <cellStyle name="Normal 4 2 4 3 2 3 4" xfId="9796" xr:uid="{9A939F60-D46E-439F-9C2D-9460E8D5A419}"/>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73B6A2DB-FE79-404B-A43D-7F381A4DB6BA}"/>
    <cellStyle name="Normal 4 2 4 3 2 4 2 3" xfId="12354" xr:uid="{011047C7-F78A-42B5-8FD9-F818A6AD8642}"/>
    <cellStyle name="Normal 4 2 4 3 2 4 3" xfId="5977" xr:uid="{00000000-0005-0000-0000-00008A130000}"/>
    <cellStyle name="Normal 4 2 4 3 2 4 3 2" xfId="14427" xr:uid="{04154DAA-9005-42B3-8ECF-4489102B12E4}"/>
    <cellStyle name="Normal 4 2 4 3 2 4 4" xfId="10209" xr:uid="{773061E7-8EF9-47ED-AB8A-FAC48E72D114}"/>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E5A3D692-FEBD-4023-B50B-D386E0C9DD33}"/>
    <cellStyle name="Normal 4 2 4 3 2 5 2 3" xfId="12767" xr:uid="{7ED38B14-6184-42F7-8DBE-1D787CF81F9D}"/>
    <cellStyle name="Normal 4 2 4 3 2 5 3" xfId="6390" xr:uid="{00000000-0005-0000-0000-00008E130000}"/>
    <cellStyle name="Normal 4 2 4 3 2 5 3 2" xfId="14840" xr:uid="{4FDB01B8-687B-4A43-90F1-9B28D51E4064}"/>
    <cellStyle name="Normal 4 2 4 3 2 5 4" xfId="10622" xr:uid="{FEBE2E0F-13AD-4F42-9FE0-D1AEB7D914C6}"/>
    <cellStyle name="Normal 4 2 4 3 2 6" xfId="2520" xr:uid="{00000000-0005-0000-0000-00008F130000}"/>
    <cellStyle name="Normal 4 2 4 3 2 6 2" xfId="6803" xr:uid="{00000000-0005-0000-0000-000090130000}"/>
    <cellStyle name="Normal 4 2 4 3 2 6 2 2" xfId="15253" xr:uid="{37B67F5A-116F-4659-9EB0-952962CF8C1C}"/>
    <cellStyle name="Normal 4 2 4 3 2 6 3" xfId="11035" xr:uid="{61871D34-0938-493A-8DE1-BA0FD66FD0B2}"/>
    <cellStyle name="Normal 4 2 4 3 2 7" xfId="4738" xr:uid="{00000000-0005-0000-0000-000091130000}"/>
    <cellStyle name="Normal 4 2 4 3 2 7 2" xfId="13188" xr:uid="{265C93A8-36A7-4C29-82F7-9DD4AECE21E4}"/>
    <cellStyle name="Normal 4 2 4 3 2 8" xfId="8970" xr:uid="{20565CF2-0485-43FE-BB1E-005701F5015F}"/>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2EA1FF14-1343-44F2-B5B0-0F50BDC93DE5}"/>
    <cellStyle name="Normal 4 2 4 3 3 2 3" xfId="11527" xr:uid="{574050FE-B5C8-4293-90F2-688A796795BB}"/>
    <cellStyle name="Normal 4 2 4 3 3 3" xfId="5150" xr:uid="{00000000-0005-0000-0000-000095130000}"/>
    <cellStyle name="Normal 4 2 4 3 3 3 2" xfId="13600" xr:uid="{3B18CE6E-8CE4-4AFE-A370-CF9CF6DFF8F3}"/>
    <cellStyle name="Normal 4 2 4 3 3 4" xfId="9382" xr:uid="{47D5102E-7D6A-4A50-A533-35E3CBED9728}"/>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A8503AAA-1540-480C-A3C1-56A611596DD6}"/>
    <cellStyle name="Normal 4 2 4 3 4 2 3" xfId="11940" xr:uid="{E7B73101-B762-4C5F-979C-A3C370B8630E}"/>
    <cellStyle name="Normal 4 2 4 3 4 3" xfId="5563" xr:uid="{00000000-0005-0000-0000-000099130000}"/>
    <cellStyle name="Normal 4 2 4 3 4 3 2" xfId="14013" xr:uid="{CDC11F14-3F9E-40B0-AB5B-F5289E6A571A}"/>
    <cellStyle name="Normal 4 2 4 3 4 4" xfId="9795" xr:uid="{4D7691E0-54CE-41DC-9D51-9639897509C5}"/>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3B31F9EE-FAE0-47BF-B8D8-3C340FDB1135}"/>
    <cellStyle name="Normal 4 2 4 3 5 2 3" xfId="12353" xr:uid="{24437439-01E3-442D-AD27-B2F03A690066}"/>
    <cellStyle name="Normal 4 2 4 3 5 3" xfId="5976" xr:uid="{00000000-0005-0000-0000-00009D130000}"/>
    <cellStyle name="Normal 4 2 4 3 5 3 2" xfId="14426" xr:uid="{A700884A-293E-45E1-9110-3E626B417CE9}"/>
    <cellStyle name="Normal 4 2 4 3 5 4" xfId="10208" xr:uid="{6EF3C194-174B-410B-8EC9-2F432DACBD59}"/>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B63BD35B-1705-4976-A128-A5D04CB4B878}"/>
    <cellStyle name="Normal 4 2 4 3 6 2 3" xfId="12766" xr:uid="{F2F4B878-6C63-4B2A-9751-B55C13925143}"/>
    <cellStyle name="Normal 4 2 4 3 6 3" xfId="6389" xr:uid="{00000000-0005-0000-0000-0000A1130000}"/>
    <cellStyle name="Normal 4 2 4 3 6 3 2" xfId="14839" xr:uid="{F6FA9206-B5AC-4982-9A48-AC924EB76AD0}"/>
    <cellStyle name="Normal 4 2 4 3 6 4" xfId="10621" xr:uid="{6B56E311-2A0E-4034-87C8-1CDC6463A057}"/>
    <cellStyle name="Normal 4 2 4 3 7" xfId="2519" xr:uid="{00000000-0005-0000-0000-0000A2130000}"/>
    <cellStyle name="Normal 4 2 4 3 7 2" xfId="6802" xr:uid="{00000000-0005-0000-0000-0000A3130000}"/>
    <cellStyle name="Normal 4 2 4 3 7 2 2" xfId="15252" xr:uid="{C2F9CF38-597B-4002-86F8-B538DD1330E9}"/>
    <cellStyle name="Normal 4 2 4 3 7 3" xfId="11034" xr:uid="{A647EE97-E066-42D7-A778-F06F79C749EE}"/>
    <cellStyle name="Normal 4 2 4 3 8" xfId="4737" xr:uid="{00000000-0005-0000-0000-0000A4130000}"/>
    <cellStyle name="Normal 4 2 4 3 8 2" xfId="13187" xr:uid="{855C68EB-CDE9-4A7E-8210-AAA7FACF623E}"/>
    <cellStyle name="Normal 4 2 4 3 9" xfId="8969" xr:uid="{216D76FD-945C-47C7-BA67-B6A24FF1D28C}"/>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04E565E4-647E-475B-9E38-C987FEEF5AF1}"/>
    <cellStyle name="Normal 4 2 4 4 2 2 3" xfId="11529" xr:uid="{A83708CC-505B-4C2E-BC4B-55D760806F7B}"/>
    <cellStyle name="Normal 4 2 4 4 2 3" xfId="5152" xr:uid="{00000000-0005-0000-0000-0000A9130000}"/>
    <cellStyle name="Normal 4 2 4 4 2 3 2" xfId="13602" xr:uid="{FD904976-603C-45A0-B890-7199BCA361F9}"/>
    <cellStyle name="Normal 4 2 4 4 2 4" xfId="9384" xr:uid="{84841BF7-D3BE-483E-8B74-6B08A31B309F}"/>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7A61C2C3-F412-48D9-AE57-4ED321D32139}"/>
    <cellStyle name="Normal 4 2 4 4 3 2 3" xfId="11942" xr:uid="{BDAFCFD0-EB64-452B-9856-277BB4DB36DD}"/>
    <cellStyle name="Normal 4 2 4 4 3 3" xfId="5565" xr:uid="{00000000-0005-0000-0000-0000AD130000}"/>
    <cellStyle name="Normal 4 2 4 4 3 3 2" xfId="14015" xr:uid="{864BBD26-CF64-4363-9CE7-B818033C605D}"/>
    <cellStyle name="Normal 4 2 4 4 3 4" xfId="9797" xr:uid="{B1CDA300-655A-416D-B565-E67C5D952732}"/>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FC556E8B-6296-48C7-B4EB-C95D2912497B}"/>
    <cellStyle name="Normal 4 2 4 4 4 2 3" xfId="12355" xr:uid="{6B032A72-F033-48B3-BACA-3C2637F700EB}"/>
    <cellStyle name="Normal 4 2 4 4 4 3" xfId="5978" xr:uid="{00000000-0005-0000-0000-0000B1130000}"/>
    <cellStyle name="Normal 4 2 4 4 4 3 2" xfId="14428" xr:uid="{5CD5DF81-7A0B-4EF3-91B5-667B4FE0C89D}"/>
    <cellStyle name="Normal 4 2 4 4 4 4" xfId="10210" xr:uid="{62F77D17-809B-4D92-A729-240BA6683146}"/>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F554F7F8-ABF8-4AAB-A1EF-15BA0F072496}"/>
    <cellStyle name="Normal 4 2 4 4 5 2 3" xfId="12768" xr:uid="{33496333-721C-47FA-B548-8A8AA0028886}"/>
    <cellStyle name="Normal 4 2 4 4 5 3" xfId="6391" xr:uid="{00000000-0005-0000-0000-0000B5130000}"/>
    <cellStyle name="Normal 4 2 4 4 5 3 2" xfId="14841" xr:uid="{1B7AA67F-5F8A-4622-830B-66251108767A}"/>
    <cellStyle name="Normal 4 2 4 4 5 4" xfId="10623" xr:uid="{9114E63D-736E-4388-A149-EA9B6B2D2DFD}"/>
    <cellStyle name="Normal 4 2 4 4 6" xfId="2521" xr:uid="{00000000-0005-0000-0000-0000B6130000}"/>
    <cellStyle name="Normal 4 2 4 4 6 2" xfId="6804" xr:uid="{00000000-0005-0000-0000-0000B7130000}"/>
    <cellStyle name="Normal 4 2 4 4 6 2 2" xfId="15254" xr:uid="{A24DD181-DF90-43C8-B939-60838152730B}"/>
    <cellStyle name="Normal 4 2 4 4 6 3" xfId="11036" xr:uid="{AFB1CF2B-693D-4858-84EB-DC3138891E3B}"/>
    <cellStyle name="Normal 4 2 4 4 7" xfId="4739" xr:uid="{00000000-0005-0000-0000-0000B8130000}"/>
    <cellStyle name="Normal 4 2 4 4 7 2" xfId="13189" xr:uid="{879F4A57-BF3E-4FB2-A859-2A81AA7A0212}"/>
    <cellStyle name="Normal 4 2 4 4 8" xfId="8971" xr:uid="{12524417-1966-400D-9908-B15F82FB0235}"/>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8D5AB076-E8C6-4CF9-901C-779047191148}"/>
    <cellStyle name="Normal 4 2 4 5 2 3" xfId="11522" xr:uid="{C2610143-6215-483D-940E-A643AE9AC0F0}"/>
    <cellStyle name="Normal 4 2 4 5 3" xfId="5145" xr:uid="{00000000-0005-0000-0000-0000BC130000}"/>
    <cellStyle name="Normal 4 2 4 5 3 2" xfId="13595" xr:uid="{2F4F7049-9C07-43B9-B6C5-6DDA19CE9F62}"/>
    <cellStyle name="Normal 4 2 4 5 4" xfId="9377" xr:uid="{DAEB767C-FB33-4F72-87DE-C2A27E764F3F}"/>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4B8F5016-C53E-451E-8DE3-3FEFDB9A1333}"/>
    <cellStyle name="Normal 4 2 4 6 2 3" xfId="11935" xr:uid="{F830366D-880F-4A33-825F-7A76969A5EE0}"/>
    <cellStyle name="Normal 4 2 4 6 3" xfId="5558" xr:uid="{00000000-0005-0000-0000-0000C0130000}"/>
    <cellStyle name="Normal 4 2 4 6 3 2" xfId="14008" xr:uid="{221B9FEC-B6A7-455D-8326-8A30D61CA23E}"/>
    <cellStyle name="Normal 4 2 4 6 4" xfId="9790" xr:uid="{E58570FF-9017-4287-A2A9-E6300E4B3212}"/>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8C5245BB-5E07-4DDB-A764-0B107197E5BA}"/>
    <cellStyle name="Normal 4 2 4 7 2 3" xfId="12348" xr:uid="{BA459274-1D3F-4ABE-BF50-821FCFD78236}"/>
    <cellStyle name="Normal 4 2 4 7 3" xfId="5971" xr:uid="{00000000-0005-0000-0000-0000C4130000}"/>
    <cellStyle name="Normal 4 2 4 7 3 2" xfId="14421" xr:uid="{972B21A6-4A43-41FB-A8F7-B0F67497FDA1}"/>
    <cellStyle name="Normal 4 2 4 7 4" xfId="10203" xr:uid="{EE9DE478-616B-4297-9879-9A9CAE4F0731}"/>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C03E3EA0-B188-4D51-9617-EEE05D380416}"/>
    <cellStyle name="Normal 4 2 4 8 2 3" xfId="12761" xr:uid="{008C5EA4-765B-459B-B22C-97E582B74A9A}"/>
    <cellStyle name="Normal 4 2 4 8 3" xfId="6384" xr:uid="{00000000-0005-0000-0000-0000C8130000}"/>
    <cellStyle name="Normal 4 2 4 8 3 2" xfId="14834" xr:uid="{547EE7D4-78A8-47B1-8CFC-7D360CD2D839}"/>
    <cellStyle name="Normal 4 2 4 8 4" xfId="10616" xr:uid="{BC94FC7D-292A-4382-9861-72916060DE40}"/>
    <cellStyle name="Normal 4 2 4 9" xfId="2514" xr:uid="{00000000-0005-0000-0000-0000C9130000}"/>
    <cellStyle name="Normal 4 2 4 9 2" xfId="6797" xr:uid="{00000000-0005-0000-0000-0000CA130000}"/>
    <cellStyle name="Normal 4 2 4 9 2 2" xfId="15247" xr:uid="{8A75950F-FF77-44CF-9EDA-666954D372B3}"/>
    <cellStyle name="Normal 4 2 4 9 3" xfId="11029" xr:uid="{801035AD-EBB5-4F33-8DDD-DFC4CC7567BD}"/>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CB29E829-464A-4378-ADAF-9D7D324CF0E2}"/>
    <cellStyle name="Normal 4 2 5 2 2 2 3" xfId="11531" xr:uid="{596D5A21-54B9-42ED-AFAC-285632E5D126}"/>
    <cellStyle name="Normal 4 2 5 2 2 3" xfId="5154" xr:uid="{00000000-0005-0000-0000-0000D0130000}"/>
    <cellStyle name="Normal 4 2 5 2 2 3 2" xfId="13604" xr:uid="{463601A3-A2D2-4590-B5D4-222C77CA160C}"/>
    <cellStyle name="Normal 4 2 5 2 2 4" xfId="9386" xr:uid="{AAB94D1B-8597-4AE9-9C8F-2A7F345EB5F0}"/>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ECCA1EBF-5305-4576-9757-D9183E765DA2}"/>
    <cellStyle name="Normal 4 2 5 2 3 2 3" xfId="11944" xr:uid="{67B4BAE9-21BD-4C17-B6A6-509043E82227}"/>
    <cellStyle name="Normal 4 2 5 2 3 3" xfId="5567" xr:uid="{00000000-0005-0000-0000-0000D4130000}"/>
    <cellStyle name="Normal 4 2 5 2 3 3 2" xfId="14017" xr:uid="{BD6BDB8B-AD3B-475A-83F9-BAAEDBCB48CA}"/>
    <cellStyle name="Normal 4 2 5 2 3 4" xfId="9799" xr:uid="{DD353112-A77C-403B-9C7C-1EA1D962E3CA}"/>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4ED4D2EF-FC33-4584-929D-42BEADE2B772}"/>
    <cellStyle name="Normal 4 2 5 2 4 2 3" xfId="12357" xr:uid="{B2E0E5E8-6BBF-486C-9B2E-ED414036B219}"/>
    <cellStyle name="Normal 4 2 5 2 4 3" xfId="5980" xr:uid="{00000000-0005-0000-0000-0000D8130000}"/>
    <cellStyle name="Normal 4 2 5 2 4 3 2" xfId="14430" xr:uid="{6824439A-D027-40FC-AB8A-143CEAAF046A}"/>
    <cellStyle name="Normal 4 2 5 2 4 4" xfId="10212" xr:uid="{872263A9-D5A4-48A0-BC43-886DD9F91ED6}"/>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A1CB3249-51A2-4FF0-8FAA-5D6FD1DA7CF7}"/>
    <cellStyle name="Normal 4 2 5 2 5 2 3" xfId="12770" xr:uid="{B7A891D5-7D3D-4CA3-80FE-1E46290DE454}"/>
    <cellStyle name="Normal 4 2 5 2 5 3" xfId="6393" xr:uid="{00000000-0005-0000-0000-0000DC130000}"/>
    <cellStyle name="Normal 4 2 5 2 5 3 2" xfId="14843" xr:uid="{ED62C129-BA3E-4003-B00A-202F24D9D0B6}"/>
    <cellStyle name="Normal 4 2 5 2 5 4" xfId="10625" xr:uid="{CD259C92-1106-4370-8E9F-72FBE31CAC60}"/>
    <cellStyle name="Normal 4 2 5 2 6" xfId="2523" xr:uid="{00000000-0005-0000-0000-0000DD130000}"/>
    <cellStyle name="Normal 4 2 5 2 6 2" xfId="6806" xr:uid="{00000000-0005-0000-0000-0000DE130000}"/>
    <cellStyle name="Normal 4 2 5 2 6 2 2" xfId="15256" xr:uid="{EB84BDF1-0364-4D06-8C2A-81D8113EE2AC}"/>
    <cellStyle name="Normal 4 2 5 2 6 3" xfId="11038" xr:uid="{5D069ED8-9A5F-4130-B11F-86C4D831B38F}"/>
    <cellStyle name="Normal 4 2 5 2 7" xfId="4741" xr:uid="{00000000-0005-0000-0000-0000DF130000}"/>
    <cellStyle name="Normal 4 2 5 2 7 2" xfId="13191" xr:uid="{7CBF80B6-496E-4468-8E64-D8F252644004}"/>
    <cellStyle name="Normal 4 2 5 2 8" xfId="8973" xr:uid="{2BECA053-D284-4092-A630-94D822D9698B}"/>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E0D06FAD-4FA3-4D5D-BDC7-FFA16EDA3062}"/>
    <cellStyle name="Normal 4 2 5 3 2 3" xfId="11530" xr:uid="{AC62D8AE-D555-44EC-B8E9-32934796F8E7}"/>
    <cellStyle name="Normal 4 2 5 3 3" xfId="5153" xr:uid="{00000000-0005-0000-0000-0000E3130000}"/>
    <cellStyle name="Normal 4 2 5 3 3 2" xfId="13603" xr:uid="{B8287FD6-8FC4-4FA7-855D-26988AB982BA}"/>
    <cellStyle name="Normal 4 2 5 3 4" xfId="9385" xr:uid="{2F757AD6-21B7-4908-BFE8-B8AF9584B272}"/>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EADF9CE6-E97D-4D0F-91DF-8F5FFB70345F}"/>
    <cellStyle name="Normal 4 2 5 4 2 3" xfId="11943" xr:uid="{5A634B47-7ED1-4564-B6CB-3C8E0103FC65}"/>
    <cellStyle name="Normal 4 2 5 4 3" xfId="5566" xr:uid="{00000000-0005-0000-0000-0000E7130000}"/>
    <cellStyle name="Normal 4 2 5 4 3 2" xfId="14016" xr:uid="{2CD4985F-67BE-468E-B7F5-8A213AEF343A}"/>
    <cellStyle name="Normal 4 2 5 4 4" xfId="9798" xr:uid="{228A8F51-95DB-4725-B195-17D2AAEAE946}"/>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04B7962A-3195-4596-A609-1CDF0619F229}"/>
    <cellStyle name="Normal 4 2 5 5 2 3" xfId="12356" xr:uid="{9F37C7C2-4829-4AB8-AA0E-7E8CDD71D41F}"/>
    <cellStyle name="Normal 4 2 5 5 3" xfId="5979" xr:uid="{00000000-0005-0000-0000-0000EB130000}"/>
    <cellStyle name="Normal 4 2 5 5 3 2" xfId="14429" xr:uid="{2E1CB664-7FF1-4476-84C6-8E557C2BCDF0}"/>
    <cellStyle name="Normal 4 2 5 5 4" xfId="10211" xr:uid="{2FE0629C-3D9F-4733-9E70-DC8411C70735}"/>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FB4AFC26-5184-4157-B7BD-1869E65B7D05}"/>
    <cellStyle name="Normal 4 2 5 6 2 3" xfId="12769" xr:uid="{1A55D4C2-333F-40A8-BCC4-8462EC209549}"/>
    <cellStyle name="Normal 4 2 5 6 3" xfId="6392" xr:uid="{00000000-0005-0000-0000-0000EF130000}"/>
    <cellStyle name="Normal 4 2 5 6 3 2" xfId="14842" xr:uid="{0D155241-F91A-4F04-8E11-50C859AFF7CA}"/>
    <cellStyle name="Normal 4 2 5 6 4" xfId="10624" xr:uid="{F0880CE5-E058-4791-9188-7AA36499D3B4}"/>
    <cellStyle name="Normal 4 2 5 7" xfId="2522" xr:uid="{00000000-0005-0000-0000-0000F0130000}"/>
    <cellStyle name="Normal 4 2 5 7 2" xfId="6805" xr:uid="{00000000-0005-0000-0000-0000F1130000}"/>
    <cellStyle name="Normal 4 2 5 7 2 2" xfId="15255" xr:uid="{4EEFE33C-1F82-4488-9DA5-8187B252FD57}"/>
    <cellStyle name="Normal 4 2 5 7 3" xfId="11037" xr:uid="{8138AC10-9955-492C-9EA3-959C9B7E451D}"/>
    <cellStyle name="Normal 4 2 5 8" xfId="4740" xr:uid="{00000000-0005-0000-0000-0000F2130000}"/>
    <cellStyle name="Normal 4 2 5 8 2" xfId="13190" xr:uid="{08BFB22E-2ED6-41F3-8A1B-16FE980A45F7}"/>
    <cellStyle name="Normal 4 2 5 9" xfId="8972" xr:uid="{FDFB9544-AAB7-4C99-B308-B17D34CD1CA6}"/>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53E9E11B-37D2-4066-9F71-4539AD91F647}"/>
    <cellStyle name="Normal 4 2 6 2 2 3" xfId="11532" xr:uid="{E7FD3B6E-8384-40B5-9797-1CA134DE2215}"/>
    <cellStyle name="Normal 4 2 6 2 3" xfId="5155" xr:uid="{00000000-0005-0000-0000-0000F7130000}"/>
    <cellStyle name="Normal 4 2 6 2 3 2" xfId="13605" xr:uid="{E214BEF0-15B7-46D5-95B7-82DFA89F2945}"/>
    <cellStyle name="Normal 4 2 6 2 4" xfId="9387" xr:uid="{42ECFC10-4AD0-42C4-995C-92EFB309BE99}"/>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F7BFD04F-A8F4-4282-8F41-C2209FE7A362}"/>
    <cellStyle name="Normal 4 2 6 3 2 3" xfId="11945" xr:uid="{C1489CB6-A2A3-4CA8-957F-C00E913DB73F}"/>
    <cellStyle name="Normal 4 2 6 3 3" xfId="5568" xr:uid="{00000000-0005-0000-0000-0000FB130000}"/>
    <cellStyle name="Normal 4 2 6 3 3 2" xfId="14018" xr:uid="{A6552F11-3776-469F-9288-EE4D94560551}"/>
    <cellStyle name="Normal 4 2 6 3 4" xfId="9800" xr:uid="{BB51637F-2621-4CA4-A9A7-E591F8D1262D}"/>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3A9BBD6F-6273-4890-9D89-800930F55DFA}"/>
    <cellStyle name="Normal 4 2 6 4 2 3" xfId="12358" xr:uid="{819DC4BD-E19D-4D8C-AF25-D12A2B9D3817}"/>
    <cellStyle name="Normal 4 2 6 4 3" xfId="5981" xr:uid="{00000000-0005-0000-0000-0000FF130000}"/>
    <cellStyle name="Normal 4 2 6 4 3 2" xfId="14431" xr:uid="{EA565F32-BE71-479B-8A62-DE00D59E15C0}"/>
    <cellStyle name="Normal 4 2 6 4 4" xfId="10213" xr:uid="{3AC3E008-1D78-44E4-BAAB-3E40FCCCA2A1}"/>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E4DC8160-4D2B-49D6-BB66-71D3D2CB25A8}"/>
    <cellStyle name="Normal 4 2 6 5 2 3" xfId="12771" xr:uid="{D787E5DB-7397-4512-9587-AF048FB80919}"/>
    <cellStyle name="Normal 4 2 6 5 3" xfId="6394" xr:uid="{00000000-0005-0000-0000-000003140000}"/>
    <cellStyle name="Normal 4 2 6 5 3 2" xfId="14844" xr:uid="{4BE742AB-D5A1-420F-8953-EF76CB07390A}"/>
    <cellStyle name="Normal 4 2 6 5 4" xfId="10626" xr:uid="{49B192DE-EE70-4F81-A05C-BF7AFA4D41E1}"/>
    <cellStyle name="Normal 4 2 6 6" xfId="2524" xr:uid="{00000000-0005-0000-0000-000004140000}"/>
    <cellStyle name="Normal 4 2 6 6 2" xfId="6807" xr:uid="{00000000-0005-0000-0000-000005140000}"/>
    <cellStyle name="Normal 4 2 6 6 2 2" xfId="15257" xr:uid="{9B6B931B-D460-4412-9BE2-85D48DCE45A5}"/>
    <cellStyle name="Normal 4 2 6 6 3" xfId="11039" xr:uid="{52B216DC-C9E5-4B09-ABD5-001F192567A9}"/>
    <cellStyle name="Normal 4 2 6 7" xfId="4742" xr:uid="{00000000-0005-0000-0000-000006140000}"/>
    <cellStyle name="Normal 4 2 6 7 2" xfId="13192" xr:uid="{92754B1C-510B-49E1-A108-60D82BCE5E9F}"/>
    <cellStyle name="Normal 4 2 6 8" xfId="8974" xr:uid="{455F8A5C-8E0E-4BBA-846F-0BC73FBC0429}"/>
    <cellStyle name="Normal 4 3" xfId="366" xr:uid="{00000000-0005-0000-0000-000007140000}"/>
    <cellStyle name="Normal 4 3 10" xfId="8975" xr:uid="{DA7A956B-D0B5-4EBC-BECF-67F92A2784A5}"/>
    <cellStyle name="Normal 4 3 2" xfId="367" xr:uid="{00000000-0005-0000-0000-000008140000}"/>
    <cellStyle name="Normal 4 3 2 2" xfId="368" xr:uid="{00000000-0005-0000-0000-000009140000}"/>
    <cellStyle name="Normal 4 3 2 2 2" xfId="369" xr:uid="{00000000-0005-0000-0000-00000A140000}"/>
    <cellStyle name="Normal 4 3 2 2 2 10" xfId="8976" xr:uid="{9BD32A18-5D8D-490C-93A9-C1FED7EE6966}"/>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FED17B15-C45A-4573-9D04-45E30167D8DB}"/>
    <cellStyle name="Normal 4 3 2 2 2 2 2 2 2 3" xfId="11536" xr:uid="{0C902F82-168F-4261-BB97-D2593D8A97EC}"/>
    <cellStyle name="Normal 4 3 2 2 2 2 2 2 3" xfId="5159" xr:uid="{00000000-0005-0000-0000-000010140000}"/>
    <cellStyle name="Normal 4 3 2 2 2 2 2 2 3 2" xfId="13609" xr:uid="{CAB6E1EF-D24B-4281-A757-193BD721F308}"/>
    <cellStyle name="Normal 4 3 2 2 2 2 2 2 4" xfId="9391" xr:uid="{E97AFAD8-62C2-4FAD-8F08-13360D8AF67B}"/>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4046360A-2EC3-4E73-A264-38886D8E3CE1}"/>
    <cellStyle name="Normal 4 3 2 2 2 2 2 3 2 3" xfId="11949" xr:uid="{65BA043E-6465-4137-862F-318B5B159F10}"/>
    <cellStyle name="Normal 4 3 2 2 2 2 2 3 3" xfId="5572" xr:uid="{00000000-0005-0000-0000-000014140000}"/>
    <cellStyle name="Normal 4 3 2 2 2 2 2 3 3 2" xfId="14022" xr:uid="{7D81B33D-B9AB-49C8-9184-5D2F4D883D94}"/>
    <cellStyle name="Normal 4 3 2 2 2 2 2 3 4" xfId="9804" xr:uid="{298DB984-ED7C-4A5A-ACEB-0570BB82BFDE}"/>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3F678940-1A32-4B63-A163-9FC551BA0D9E}"/>
    <cellStyle name="Normal 4 3 2 2 2 2 2 4 2 3" xfId="12362" xr:uid="{F12EA4D4-0138-40DB-BC29-BBAC96C91BF2}"/>
    <cellStyle name="Normal 4 3 2 2 2 2 2 4 3" xfId="5985" xr:uid="{00000000-0005-0000-0000-000018140000}"/>
    <cellStyle name="Normal 4 3 2 2 2 2 2 4 3 2" xfId="14435" xr:uid="{C14B7DA0-6228-4930-AC0F-69EF8C405220}"/>
    <cellStyle name="Normal 4 3 2 2 2 2 2 4 4" xfId="10217" xr:uid="{FE319D1B-C5E3-44FE-A202-9218EF82F665}"/>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28F179A9-FCBB-4664-B04C-B245624F6693}"/>
    <cellStyle name="Normal 4 3 2 2 2 2 2 5 2 3" xfId="12775" xr:uid="{A0E8C45D-C4A8-42EC-BE35-8C384679BC71}"/>
    <cellStyle name="Normal 4 3 2 2 2 2 2 5 3" xfId="6398" xr:uid="{00000000-0005-0000-0000-00001C140000}"/>
    <cellStyle name="Normal 4 3 2 2 2 2 2 5 3 2" xfId="14848" xr:uid="{776E0543-CEE1-49B3-B3E3-93255E54CACE}"/>
    <cellStyle name="Normal 4 3 2 2 2 2 2 5 4" xfId="10630" xr:uid="{5A57E586-0304-4A9C-9AF1-8424CF179C5A}"/>
    <cellStyle name="Normal 4 3 2 2 2 2 2 6" xfId="2528" xr:uid="{00000000-0005-0000-0000-00001D140000}"/>
    <cellStyle name="Normal 4 3 2 2 2 2 2 6 2" xfId="6811" xr:uid="{00000000-0005-0000-0000-00001E140000}"/>
    <cellStyle name="Normal 4 3 2 2 2 2 2 6 2 2" xfId="15261" xr:uid="{54CA0F1E-466F-40B9-8D1B-01F2807839A1}"/>
    <cellStyle name="Normal 4 3 2 2 2 2 2 6 3" xfId="11043" xr:uid="{82097442-D658-48B7-9EAC-105034B945E0}"/>
    <cellStyle name="Normal 4 3 2 2 2 2 2 7" xfId="4746" xr:uid="{00000000-0005-0000-0000-00001F140000}"/>
    <cellStyle name="Normal 4 3 2 2 2 2 2 7 2" xfId="13196" xr:uid="{0418F247-8BD1-4016-892E-C63CBFEC470D}"/>
    <cellStyle name="Normal 4 3 2 2 2 2 2 8" xfId="8978" xr:uid="{76B5B53A-9E9F-4696-B80B-25B9C8FB57ED}"/>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1AD33140-6FD3-4904-ADD1-F531993B0379}"/>
    <cellStyle name="Normal 4 3 2 2 2 2 3 2 3" xfId="11535" xr:uid="{3977490C-4BBF-482F-8F6D-E782347F6691}"/>
    <cellStyle name="Normal 4 3 2 2 2 2 3 3" xfId="5158" xr:uid="{00000000-0005-0000-0000-000023140000}"/>
    <cellStyle name="Normal 4 3 2 2 2 2 3 3 2" xfId="13608" xr:uid="{384AB67F-7F4C-49BC-AC8A-433EF848EFD4}"/>
    <cellStyle name="Normal 4 3 2 2 2 2 3 4" xfId="9390" xr:uid="{B43E5C94-F525-44BC-A479-D05803E8128B}"/>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36EA1101-2C4D-43FB-BE56-4B10968EA725}"/>
    <cellStyle name="Normal 4 3 2 2 2 2 4 2 3" xfId="11948" xr:uid="{2EE3A365-153E-4C46-8DB2-FE8F4155F78F}"/>
    <cellStyle name="Normal 4 3 2 2 2 2 4 3" xfId="5571" xr:uid="{00000000-0005-0000-0000-000027140000}"/>
    <cellStyle name="Normal 4 3 2 2 2 2 4 3 2" xfId="14021" xr:uid="{738E8DB5-8958-478C-9FA2-342727E20EDA}"/>
    <cellStyle name="Normal 4 3 2 2 2 2 4 4" xfId="9803" xr:uid="{03ED2764-E6C4-46B8-AEF7-E809167DEB21}"/>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B4E8BE3C-2E31-47E4-BFBB-F43A1AB9FADD}"/>
    <cellStyle name="Normal 4 3 2 2 2 2 5 2 3" xfId="12361" xr:uid="{897D3F22-E419-4538-AD2A-6E3EFBFC2AD1}"/>
    <cellStyle name="Normal 4 3 2 2 2 2 5 3" xfId="5984" xr:uid="{00000000-0005-0000-0000-00002B140000}"/>
    <cellStyle name="Normal 4 3 2 2 2 2 5 3 2" xfId="14434" xr:uid="{48C66843-13D1-415C-B538-234BDFFD7A0B}"/>
    <cellStyle name="Normal 4 3 2 2 2 2 5 4" xfId="10216" xr:uid="{2201CD5E-6CAD-4F8C-A4A1-02DE6F15BECE}"/>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AA13D9F3-271D-4972-983B-D03239364248}"/>
    <cellStyle name="Normal 4 3 2 2 2 2 6 2 3" xfId="12774" xr:uid="{539CF74B-2DF6-4226-A37E-A23E1D22A8CB}"/>
    <cellStyle name="Normal 4 3 2 2 2 2 6 3" xfId="6397" xr:uid="{00000000-0005-0000-0000-00002F140000}"/>
    <cellStyle name="Normal 4 3 2 2 2 2 6 3 2" xfId="14847" xr:uid="{323B0537-CD51-4BB4-BA40-51FA8C9DFAB7}"/>
    <cellStyle name="Normal 4 3 2 2 2 2 6 4" xfId="10629" xr:uid="{A136D5E9-DC21-4493-8D88-28C6F96FA305}"/>
    <cellStyle name="Normal 4 3 2 2 2 2 7" xfId="2527" xr:uid="{00000000-0005-0000-0000-000030140000}"/>
    <cellStyle name="Normal 4 3 2 2 2 2 7 2" xfId="6810" xr:uid="{00000000-0005-0000-0000-000031140000}"/>
    <cellStyle name="Normal 4 3 2 2 2 2 7 2 2" xfId="15260" xr:uid="{3D45895F-814A-4D3C-BB65-9ADC405931C8}"/>
    <cellStyle name="Normal 4 3 2 2 2 2 7 3" xfId="11042" xr:uid="{FC945BDA-10E0-4E3D-A46D-F32778E19E65}"/>
    <cellStyle name="Normal 4 3 2 2 2 2 8" xfId="4745" xr:uid="{00000000-0005-0000-0000-000032140000}"/>
    <cellStyle name="Normal 4 3 2 2 2 2 8 2" xfId="13195" xr:uid="{54069420-6D5E-4CC7-A5EA-B2F1309145EA}"/>
    <cellStyle name="Normal 4 3 2 2 2 2 9" xfId="8977" xr:uid="{A040A1C3-5E13-42BD-B5B7-3A4F4D10595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66C8E52A-1C3F-4385-990A-6757CBD700A7}"/>
    <cellStyle name="Normal 4 3 2 2 2 3 2 2 3" xfId="11537" xr:uid="{4DE730AF-D934-4370-82FD-4182450A8CC3}"/>
    <cellStyle name="Normal 4 3 2 2 2 3 2 3" xfId="5160" xr:uid="{00000000-0005-0000-0000-000037140000}"/>
    <cellStyle name="Normal 4 3 2 2 2 3 2 3 2" xfId="13610" xr:uid="{CF4C04F1-CC4B-42B4-B103-8E4BD00FDB02}"/>
    <cellStyle name="Normal 4 3 2 2 2 3 2 4" xfId="9392" xr:uid="{D56CB406-3373-4BBD-BE5D-AD82F52E866A}"/>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A6541D8B-84F6-4B97-9F47-FF3E8A312111}"/>
    <cellStyle name="Normal 4 3 2 2 2 3 3 2 3" xfId="11950" xr:uid="{DCE10D9B-9C8C-42DC-846F-B280DE96C54E}"/>
    <cellStyle name="Normal 4 3 2 2 2 3 3 3" xfId="5573" xr:uid="{00000000-0005-0000-0000-00003B140000}"/>
    <cellStyle name="Normal 4 3 2 2 2 3 3 3 2" xfId="14023" xr:uid="{A8151528-B44B-426A-8361-F30946C2B54D}"/>
    <cellStyle name="Normal 4 3 2 2 2 3 3 4" xfId="9805" xr:uid="{38CCC352-4D61-4589-A1CF-A8174374322A}"/>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8991B9FA-2206-49A0-A2A9-8383E17D6E51}"/>
    <cellStyle name="Normal 4 3 2 2 2 3 4 2 3" xfId="12363" xr:uid="{0B8A887C-94E0-4739-AF3D-75B03601C412}"/>
    <cellStyle name="Normal 4 3 2 2 2 3 4 3" xfId="5986" xr:uid="{00000000-0005-0000-0000-00003F140000}"/>
    <cellStyle name="Normal 4 3 2 2 2 3 4 3 2" xfId="14436" xr:uid="{A50A31C7-0F2C-4E91-8C9F-DB8505709141}"/>
    <cellStyle name="Normal 4 3 2 2 2 3 4 4" xfId="10218" xr:uid="{A77CB41A-6066-4AAD-9FE8-1826535FCA5C}"/>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609A07D5-6894-403C-A3F6-DA2956617DC8}"/>
    <cellStyle name="Normal 4 3 2 2 2 3 5 2 3" xfId="12776" xr:uid="{1D9A2724-2B4F-4A09-BFD3-88D17E521A67}"/>
    <cellStyle name="Normal 4 3 2 2 2 3 5 3" xfId="6399" xr:uid="{00000000-0005-0000-0000-000043140000}"/>
    <cellStyle name="Normal 4 3 2 2 2 3 5 3 2" xfId="14849" xr:uid="{6EB408AA-CCB1-43B5-92B0-6A69FACF21BD}"/>
    <cellStyle name="Normal 4 3 2 2 2 3 5 4" xfId="10631" xr:uid="{835167BB-1695-4F49-AE64-B4F8E4E76257}"/>
    <cellStyle name="Normal 4 3 2 2 2 3 6" xfId="2529" xr:uid="{00000000-0005-0000-0000-000044140000}"/>
    <cellStyle name="Normal 4 3 2 2 2 3 6 2" xfId="6812" xr:uid="{00000000-0005-0000-0000-000045140000}"/>
    <cellStyle name="Normal 4 3 2 2 2 3 6 2 2" xfId="15262" xr:uid="{30F4EABB-1785-41F1-B549-CAF016456388}"/>
    <cellStyle name="Normal 4 3 2 2 2 3 6 3" xfId="11044" xr:uid="{84F019B0-1421-40E4-9738-8267C1E00E31}"/>
    <cellStyle name="Normal 4 3 2 2 2 3 7" xfId="4747" xr:uid="{00000000-0005-0000-0000-000046140000}"/>
    <cellStyle name="Normal 4 3 2 2 2 3 7 2" xfId="13197" xr:uid="{1F64A721-3777-444E-AC0D-6FEA4FBB7946}"/>
    <cellStyle name="Normal 4 3 2 2 2 3 8" xfId="8979" xr:uid="{B481CEFC-3101-47B2-98E6-B4FDD330F132}"/>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8B5BD971-10E2-419D-8B79-7D6B25B5F1B7}"/>
    <cellStyle name="Normal 4 3 2 2 2 4 2 3" xfId="11534" xr:uid="{1E7F3F79-A125-4803-AB00-A994351CA2C9}"/>
    <cellStyle name="Normal 4 3 2 2 2 4 3" xfId="5157" xr:uid="{00000000-0005-0000-0000-00004A140000}"/>
    <cellStyle name="Normal 4 3 2 2 2 4 3 2" xfId="13607" xr:uid="{4EC75E5A-3C07-462E-9E85-AA474BEE2648}"/>
    <cellStyle name="Normal 4 3 2 2 2 4 4" xfId="9389" xr:uid="{C884C01D-2499-49FB-8E23-9A4D5AD72A4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415611CD-2E3E-4112-8FFA-BC32EB996D0B}"/>
    <cellStyle name="Normal 4 3 2 2 2 5 2 3" xfId="11947" xr:uid="{48F06BBE-A75D-449F-B3CF-CE0EC515FA61}"/>
    <cellStyle name="Normal 4 3 2 2 2 5 3" xfId="5570" xr:uid="{00000000-0005-0000-0000-00004E140000}"/>
    <cellStyle name="Normal 4 3 2 2 2 5 3 2" xfId="14020" xr:uid="{16327209-EDCA-4B4D-90F2-E12A5E6C5FB3}"/>
    <cellStyle name="Normal 4 3 2 2 2 5 4" xfId="9802" xr:uid="{9578E330-1E94-4966-88AB-42704C679C93}"/>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D2F3B4CA-A688-4E16-83CE-BE8088298D99}"/>
    <cellStyle name="Normal 4 3 2 2 2 6 2 3" xfId="12360" xr:uid="{3D08599F-8DC4-498F-A1DC-1395A4EB7D0D}"/>
    <cellStyle name="Normal 4 3 2 2 2 6 3" xfId="5983" xr:uid="{00000000-0005-0000-0000-000052140000}"/>
    <cellStyle name="Normal 4 3 2 2 2 6 3 2" xfId="14433" xr:uid="{40C6D112-706C-4AD1-B0ED-871651E0DFF9}"/>
    <cellStyle name="Normal 4 3 2 2 2 6 4" xfId="10215" xr:uid="{DAB28813-D703-4686-9BAB-EC70ABC926FB}"/>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1ADBEE4D-8ED5-49EA-8B92-D3677DF3FADD}"/>
    <cellStyle name="Normal 4 3 2 2 2 7 2 3" xfId="12773" xr:uid="{65E61797-0806-4810-AAD3-788141A24011}"/>
    <cellStyle name="Normal 4 3 2 2 2 7 3" xfId="6396" xr:uid="{00000000-0005-0000-0000-000056140000}"/>
    <cellStyle name="Normal 4 3 2 2 2 7 3 2" xfId="14846" xr:uid="{AC742BF4-E09C-49B5-BB20-F32778446640}"/>
    <cellStyle name="Normal 4 3 2 2 2 7 4" xfId="10628" xr:uid="{E8101B13-D9D0-4FD8-B31B-B59FBEC79258}"/>
    <cellStyle name="Normal 4 3 2 2 2 8" xfId="2526" xr:uid="{00000000-0005-0000-0000-000057140000}"/>
    <cellStyle name="Normal 4 3 2 2 2 8 2" xfId="6809" xr:uid="{00000000-0005-0000-0000-000058140000}"/>
    <cellStyle name="Normal 4 3 2 2 2 8 2 2" xfId="15259" xr:uid="{2ECE3982-95BB-44A4-9281-260388B70F55}"/>
    <cellStyle name="Normal 4 3 2 2 2 8 3" xfId="11041" xr:uid="{6720DBAE-808F-4DCC-900B-185B1F359541}"/>
    <cellStyle name="Normal 4 3 2 2 2 9" xfId="4744" xr:uid="{00000000-0005-0000-0000-000059140000}"/>
    <cellStyle name="Normal 4 3 2 2 2 9 2" xfId="13194" xr:uid="{9608BE5A-B45A-4EEF-BC9C-022BE96E3EE3}"/>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DD26FE58-25CA-4190-9140-5412ADBA325A}"/>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8894C7B3-596B-468E-99FC-F118DEA54BDB}"/>
    <cellStyle name="Normal 4 3 3 2 2 2 2 3" xfId="11540" xr:uid="{92C2A7FD-679B-481F-94FC-C53DF40E6F14}"/>
    <cellStyle name="Normal 4 3 3 2 2 2 3" xfId="5163" xr:uid="{00000000-0005-0000-0000-000063140000}"/>
    <cellStyle name="Normal 4 3 3 2 2 2 3 2" xfId="13613" xr:uid="{55140DBE-3BF3-4CF2-87D0-1CEDAC955879}"/>
    <cellStyle name="Normal 4 3 3 2 2 2 4" xfId="9395" xr:uid="{979498CB-1499-4B8F-9890-95D33425161B}"/>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1F0E2C0B-0247-4D1D-AB08-460CEAB21242}"/>
    <cellStyle name="Normal 4 3 3 2 2 3 2 3" xfId="11953" xr:uid="{A7C0ABE8-CA6C-40DF-98E3-C22D47976090}"/>
    <cellStyle name="Normal 4 3 3 2 2 3 3" xfId="5576" xr:uid="{00000000-0005-0000-0000-000067140000}"/>
    <cellStyle name="Normal 4 3 3 2 2 3 3 2" xfId="14026" xr:uid="{04497742-4543-425B-8335-CB5B64A6ECCB}"/>
    <cellStyle name="Normal 4 3 3 2 2 3 4" xfId="9808" xr:uid="{E251541C-14FF-4BC6-AED8-DB30DA0BF1BB}"/>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F866103E-30F4-4FA9-B5C1-678B39147E1E}"/>
    <cellStyle name="Normal 4 3 3 2 2 4 2 3" xfId="12366" xr:uid="{AE7AE2E7-0AE9-40A4-BCC4-55DF0577592E}"/>
    <cellStyle name="Normal 4 3 3 2 2 4 3" xfId="5989" xr:uid="{00000000-0005-0000-0000-00006B140000}"/>
    <cellStyle name="Normal 4 3 3 2 2 4 3 2" xfId="14439" xr:uid="{966E2F42-DA2C-4AE1-97CF-7AAF2DD79E75}"/>
    <cellStyle name="Normal 4 3 3 2 2 4 4" xfId="10221" xr:uid="{F7ED919D-2BC4-4B76-99CA-A17E644588D4}"/>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CF95E559-885C-4B72-AFBF-A7B321955C21}"/>
    <cellStyle name="Normal 4 3 3 2 2 5 2 3" xfId="12779" xr:uid="{4312B099-AE55-495F-9248-3C29A81B3861}"/>
    <cellStyle name="Normal 4 3 3 2 2 5 3" xfId="6402" xr:uid="{00000000-0005-0000-0000-00006F140000}"/>
    <cellStyle name="Normal 4 3 3 2 2 5 3 2" xfId="14852" xr:uid="{E01F58C2-F0A3-46D8-AD2E-DF360D9857D6}"/>
    <cellStyle name="Normal 4 3 3 2 2 5 4" xfId="10634" xr:uid="{40D2056A-FB19-4A49-8702-508F2F557761}"/>
    <cellStyle name="Normal 4 3 3 2 2 6" xfId="2532" xr:uid="{00000000-0005-0000-0000-000070140000}"/>
    <cellStyle name="Normal 4 3 3 2 2 6 2" xfId="6815" xr:uid="{00000000-0005-0000-0000-000071140000}"/>
    <cellStyle name="Normal 4 3 3 2 2 6 2 2" xfId="15265" xr:uid="{48CE31A8-FD8E-4B2B-9E93-C6CC5B35AA30}"/>
    <cellStyle name="Normal 4 3 3 2 2 6 3" xfId="11047" xr:uid="{A281D91A-02E2-403F-8BDE-65ABB607B753}"/>
    <cellStyle name="Normal 4 3 3 2 2 7" xfId="4750" xr:uid="{00000000-0005-0000-0000-000072140000}"/>
    <cellStyle name="Normal 4 3 3 2 2 7 2" xfId="13200" xr:uid="{42DE98CD-1A72-41E5-96AA-F1C1FE9BE206}"/>
    <cellStyle name="Normal 4 3 3 2 2 8" xfId="8982" xr:uid="{93C7B989-44FE-4FE7-89AC-D94F2FE29D39}"/>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F7CC9126-6586-478D-8A08-679805B6D864}"/>
    <cellStyle name="Normal 4 3 3 2 3 2 3" xfId="11539" xr:uid="{EC6F3732-0E0E-46BA-9FF9-CD480ECC8867}"/>
    <cellStyle name="Normal 4 3 3 2 3 3" xfId="5162" xr:uid="{00000000-0005-0000-0000-000076140000}"/>
    <cellStyle name="Normal 4 3 3 2 3 3 2" xfId="13612" xr:uid="{7B70B535-01E8-4D68-9CEB-C013D9A669AD}"/>
    <cellStyle name="Normal 4 3 3 2 3 4" xfId="9394" xr:uid="{F85DA408-224D-48D6-9F89-A87DB235F0F6}"/>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3B080AA6-E5CE-437C-950D-2564EE546CB5}"/>
    <cellStyle name="Normal 4 3 3 2 4 2 3" xfId="11952" xr:uid="{BC0AADCB-050B-4FD2-86DC-20571E2228F8}"/>
    <cellStyle name="Normal 4 3 3 2 4 3" xfId="5575" xr:uid="{00000000-0005-0000-0000-00007A140000}"/>
    <cellStyle name="Normal 4 3 3 2 4 3 2" xfId="14025" xr:uid="{2EDF2F43-E14A-4491-A665-02A05A44E916}"/>
    <cellStyle name="Normal 4 3 3 2 4 4" xfId="9807" xr:uid="{F89DEB3C-8E7F-48EE-B7FF-AAE147EF46AE}"/>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6C95F6BD-502B-43A2-947C-D3BD6D400E9F}"/>
    <cellStyle name="Normal 4 3 3 2 5 2 3" xfId="12365" xr:uid="{1077ADC6-353B-4F6C-94B8-C353D34E0B4B}"/>
    <cellStyle name="Normal 4 3 3 2 5 3" xfId="5988" xr:uid="{00000000-0005-0000-0000-00007E140000}"/>
    <cellStyle name="Normal 4 3 3 2 5 3 2" xfId="14438" xr:uid="{4D351799-6525-4ABC-922C-7EAF1DBE7F19}"/>
    <cellStyle name="Normal 4 3 3 2 5 4" xfId="10220" xr:uid="{F455FB2F-8E6A-40A5-AB43-3AF0DDA5A452}"/>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A81B5616-6324-45BA-8B87-32E402A8A792}"/>
    <cellStyle name="Normal 4 3 3 2 6 2 3" xfId="12778" xr:uid="{99FF6A5B-AEEC-4D56-A48F-ABA758E03FC9}"/>
    <cellStyle name="Normal 4 3 3 2 6 3" xfId="6401" xr:uid="{00000000-0005-0000-0000-000082140000}"/>
    <cellStyle name="Normal 4 3 3 2 6 3 2" xfId="14851" xr:uid="{102CFDFA-4A1C-472A-9C06-8AF5627270B3}"/>
    <cellStyle name="Normal 4 3 3 2 6 4" xfId="10633" xr:uid="{ADCC43BF-2148-486A-A76F-C225058DBE21}"/>
    <cellStyle name="Normal 4 3 3 2 7" xfId="2531" xr:uid="{00000000-0005-0000-0000-000083140000}"/>
    <cellStyle name="Normal 4 3 3 2 7 2" xfId="6814" xr:uid="{00000000-0005-0000-0000-000084140000}"/>
    <cellStyle name="Normal 4 3 3 2 7 2 2" xfId="15264" xr:uid="{4380C3AB-C032-40D6-90A4-DE82D79B67F7}"/>
    <cellStyle name="Normal 4 3 3 2 7 3" xfId="11046" xr:uid="{E8F933D3-E187-4900-870C-A26E41D0878B}"/>
    <cellStyle name="Normal 4 3 3 2 8" xfId="4749" xr:uid="{00000000-0005-0000-0000-000085140000}"/>
    <cellStyle name="Normal 4 3 3 2 8 2" xfId="13199" xr:uid="{165769BC-53CD-4D56-9EC9-238C05333009}"/>
    <cellStyle name="Normal 4 3 3 2 9" xfId="8981" xr:uid="{5C0683E7-EC2D-49D0-932F-CAF4ADF519B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1D4C1388-13EC-4AB5-90CD-B133F3EB2DEA}"/>
    <cellStyle name="Normal 4 3 3 3 2 2 3" xfId="11541" xr:uid="{E32FD168-C42B-4CAD-A369-20787FC12895}"/>
    <cellStyle name="Normal 4 3 3 3 2 3" xfId="5164" xr:uid="{00000000-0005-0000-0000-00008A140000}"/>
    <cellStyle name="Normal 4 3 3 3 2 3 2" xfId="13614" xr:uid="{D8AA98FF-A624-49C4-AD85-38BDA1B3AEBC}"/>
    <cellStyle name="Normal 4 3 3 3 2 4" xfId="9396" xr:uid="{48F79EB6-CBA6-4BEC-A35A-BDDBFD240931}"/>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347F4DC0-AC62-4645-8801-A5A32DB179C9}"/>
    <cellStyle name="Normal 4 3 3 3 3 2 3" xfId="11954" xr:uid="{DC3A6135-0CF6-4AB8-AA9B-348210021B6F}"/>
    <cellStyle name="Normal 4 3 3 3 3 3" xfId="5577" xr:uid="{00000000-0005-0000-0000-00008E140000}"/>
    <cellStyle name="Normal 4 3 3 3 3 3 2" xfId="14027" xr:uid="{2C9058B2-5BFD-43E0-BA3F-7E5F031D5948}"/>
    <cellStyle name="Normal 4 3 3 3 3 4" xfId="9809" xr:uid="{92F2C414-BE5F-476F-B067-0D6749F63E5B}"/>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4A5E7D03-00DC-4E7F-ABAE-3C361A9B611C}"/>
    <cellStyle name="Normal 4 3 3 3 4 2 3" xfId="12367" xr:uid="{5D4C95EF-9DF2-428B-B18F-042A27A5301D}"/>
    <cellStyle name="Normal 4 3 3 3 4 3" xfId="5990" xr:uid="{00000000-0005-0000-0000-000092140000}"/>
    <cellStyle name="Normal 4 3 3 3 4 3 2" xfId="14440" xr:uid="{6AAE8DCB-C4E3-42B5-AF88-E91FB3CC6C9A}"/>
    <cellStyle name="Normal 4 3 3 3 4 4" xfId="10222" xr:uid="{3B2AF71D-AF3E-44E6-BDD6-0ABF2634FBDE}"/>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1F070632-7870-40FF-AF82-E9715DC0E16C}"/>
    <cellStyle name="Normal 4 3 3 3 5 2 3" xfId="12780" xr:uid="{78E7D428-10FF-4FFB-94CC-FF18C4371F6A}"/>
    <cellStyle name="Normal 4 3 3 3 5 3" xfId="6403" xr:uid="{00000000-0005-0000-0000-000096140000}"/>
    <cellStyle name="Normal 4 3 3 3 5 3 2" xfId="14853" xr:uid="{BAC208C0-4AC7-4C5B-9BE5-DF6B8A8FFC07}"/>
    <cellStyle name="Normal 4 3 3 3 5 4" xfId="10635" xr:uid="{10D6F41D-179C-4059-BE75-5C171ED7531D}"/>
    <cellStyle name="Normal 4 3 3 3 6" xfId="2533" xr:uid="{00000000-0005-0000-0000-000097140000}"/>
    <cellStyle name="Normal 4 3 3 3 6 2" xfId="6816" xr:uid="{00000000-0005-0000-0000-000098140000}"/>
    <cellStyle name="Normal 4 3 3 3 6 2 2" xfId="15266" xr:uid="{0D74FB39-86B8-41D4-8CA8-FCE3843BB382}"/>
    <cellStyle name="Normal 4 3 3 3 6 3" xfId="11048" xr:uid="{C154D292-2207-4CA2-9973-BA58C4FBC1C9}"/>
    <cellStyle name="Normal 4 3 3 3 7" xfId="4751" xr:uid="{00000000-0005-0000-0000-000099140000}"/>
    <cellStyle name="Normal 4 3 3 3 7 2" xfId="13201" xr:uid="{832CDEC1-3212-4AEF-BBB1-7A0A6EFDAA17}"/>
    <cellStyle name="Normal 4 3 3 3 8" xfId="8983" xr:uid="{9339903E-1FAA-4742-AC4D-B51DAE2DDCE9}"/>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758A9212-B34E-4DED-8755-49BF9FFEB3ED}"/>
    <cellStyle name="Normal 4 3 3 4 2 3" xfId="11538" xr:uid="{17986890-2661-4CCA-B5AF-96A85CA6F347}"/>
    <cellStyle name="Normal 4 3 3 4 3" xfId="5161" xr:uid="{00000000-0005-0000-0000-00009D140000}"/>
    <cellStyle name="Normal 4 3 3 4 3 2" xfId="13611" xr:uid="{483091F8-3F2D-4817-87AF-75A12B90D023}"/>
    <cellStyle name="Normal 4 3 3 4 4" xfId="9393" xr:uid="{9BDA5F8B-F8FD-4A45-9823-2B9F57AF4FFD}"/>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790A4E23-3B22-4581-BCE7-6C4057D3DB1E}"/>
    <cellStyle name="Normal 4 3 3 5 2 3" xfId="11951" xr:uid="{D483C039-2684-4B0F-8A69-7C41E4D76776}"/>
    <cellStyle name="Normal 4 3 3 5 3" xfId="5574" xr:uid="{00000000-0005-0000-0000-0000A1140000}"/>
    <cellStyle name="Normal 4 3 3 5 3 2" xfId="14024" xr:uid="{4D00C0A7-571C-4287-96A6-27E17BBE4F6F}"/>
    <cellStyle name="Normal 4 3 3 5 4" xfId="9806" xr:uid="{8CA94FA4-59A6-47FB-B078-89F5AFF78201}"/>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44B96CB1-E65F-46A1-A231-30E20C50E1EF}"/>
    <cellStyle name="Normal 4 3 3 6 2 3" xfId="12364" xr:uid="{D667FEEB-0209-47A1-B7EC-383A62052514}"/>
    <cellStyle name="Normal 4 3 3 6 3" xfId="5987" xr:uid="{00000000-0005-0000-0000-0000A5140000}"/>
    <cellStyle name="Normal 4 3 3 6 3 2" xfId="14437" xr:uid="{5AC23BA1-C267-4997-9C23-1AFD587200E2}"/>
    <cellStyle name="Normal 4 3 3 6 4" xfId="10219" xr:uid="{C09AD635-0015-4988-ABA9-32877AAAE87C}"/>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89DA1C25-D34C-4512-87BF-438FFC4BBDEC}"/>
    <cellStyle name="Normal 4 3 3 7 2 3" xfId="12777" xr:uid="{F60D5934-DF37-45F7-8D2A-C0B725715BE3}"/>
    <cellStyle name="Normal 4 3 3 7 3" xfId="6400" xr:uid="{00000000-0005-0000-0000-0000A9140000}"/>
    <cellStyle name="Normal 4 3 3 7 3 2" xfId="14850" xr:uid="{8B9BD34F-5E90-48E6-9B7E-13528242BF42}"/>
    <cellStyle name="Normal 4 3 3 7 4" xfId="10632" xr:uid="{A84031DC-4411-4973-AC5C-845691147867}"/>
    <cellStyle name="Normal 4 3 3 8" xfId="2530" xr:uid="{00000000-0005-0000-0000-0000AA140000}"/>
    <cellStyle name="Normal 4 3 3 8 2" xfId="6813" xr:uid="{00000000-0005-0000-0000-0000AB140000}"/>
    <cellStyle name="Normal 4 3 3 8 2 2" xfId="15263" xr:uid="{B0471B08-3DF0-45A3-9703-D2DA69FCB464}"/>
    <cellStyle name="Normal 4 3 3 8 3" xfId="11045" xr:uid="{3B01AEE2-8B91-48B5-B5F9-E876BCF840F6}"/>
    <cellStyle name="Normal 4 3 3 9" xfId="4748" xr:uid="{00000000-0005-0000-0000-0000AC140000}"/>
    <cellStyle name="Normal 4 3 3 9 2" xfId="13198" xr:uid="{258A266A-69F1-4CCF-9464-10EC357219C5}"/>
    <cellStyle name="Normal 4 3 4" xfId="842" xr:uid="{00000000-0005-0000-0000-0000AD140000}"/>
    <cellStyle name="Normal 4 3 4 2" xfId="3079" xr:uid="{00000000-0005-0000-0000-0000AE140000}"/>
    <cellStyle name="Normal 4 3 4 2 2" xfId="7301" xr:uid="{00000000-0005-0000-0000-0000AF140000}"/>
    <cellStyle name="Normal 4 3 4 2 2 2" xfId="15751" xr:uid="{CABF2A39-9CCA-4B9B-B6BF-2048043FFCDF}"/>
    <cellStyle name="Normal 4 3 4 2 3" xfId="11533" xr:uid="{E1B4CCE9-DB0E-4C30-98FB-14EF7FB25413}"/>
    <cellStyle name="Normal 4 3 4 3" xfId="5156" xr:uid="{00000000-0005-0000-0000-0000B0140000}"/>
    <cellStyle name="Normal 4 3 4 3 2" xfId="13606" xr:uid="{CD683D49-294F-4460-BE9F-D3E0731AE070}"/>
    <cellStyle name="Normal 4 3 4 4" xfId="9388" xr:uid="{D7C20738-928D-429F-82CB-F230C18BC4D6}"/>
    <cellStyle name="Normal 4 3 5" xfId="1262" xr:uid="{00000000-0005-0000-0000-0000B1140000}"/>
    <cellStyle name="Normal 4 3 5 2" xfId="3492" xr:uid="{00000000-0005-0000-0000-0000B2140000}"/>
    <cellStyle name="Normal 4 3 5 2 2" xfId="7714" xr:uid="{00000000-0005-0000-0000-0000B3140000}"/>
    <cellStyle name="Normal 4 3 5 2 2 2" xfId="16164" xr:uid="{609E244A-BD0F-44BB-8998-DD5A43B7BD59}"/>
    <cellStyle name="Normal 4 3 5 2 3" xfId="11946" xr:uid="{16270FFF-B7A0-46F1-9173-649B1E1E46B3}"/>
    <cellStyle name="Normal 4 3 5 3" xfId="5569" xr:uid="{00000000-0005-0000-0000-0000B4140000}"/>
    <cellStyle name="Normal 4 3 5 3 2" xfId="14019" xr:uid="{1D3E4B6E-EDE6-4217-AEA1-58ED291AAA98}"/>
    <cellStyle name="Normal 4 3 5 4" xfId="9801" xr:uid="{413CA56B-0E5B-473F-BE0E-7EB1C9EC035D}"/>
    <cellStyle name="Normal 4 3 6" xfId="1675" xr:uid="{00000000-0005-0000-0000-0000B5140000}"/>
    <cellStyle name="Normal 4 3 6 2" xfId="3905" xr:uid="{00000000-0005-0000-0000-0000B6140000}"/>
    <cellStyle name="Normal 4 3 6 2 2" xfId="8127" xr:uid="{00000000-0005-0000-0000-0000B7140000}"/>
    <cellStyle name="Normal 4 3 6 2 2 2" xfId="16577" xr:uid="{0B1BC4F4-D51E-4B7A-9C06-8093CBCBAA2D}"/>
    <cellStyle name="Normal 4 3 6 2 3" xfId="12359" xr:uid="{078B263C-AE96-47D0-84FE-2A1DA4AB5E59}"/>
    <cellStyle name="Normal 4 3 6 3" xfId="5982" xr:uid="{00000000-0005-0000-0000-0000B8140000}"/>
    <cellStyle name="Normal 4 3 6 3 2" xfId="14432" xr:uid="{92043CE1-8AAC-4E6C-9B6D-FA8A15B4BADA}"/>
    <cellStyle name="Normal 4 3 6 4" xfId="10214" xr:uid="{0550E4B1-F828-47E9-8E0E-D8BE30BD709B}"/>
    <cellStyle name="Normal 4 3 7" xfId="2089" xr:uid="{00000000-0005-0000-0000-0000B9140000}"/>
    <cellStyle name="Normal 4 3 7 2" xfId="4318" xr:uid="{00000000-0005-0000-0000-0000BA140000}"/>
    <cellStyle name="Normal 4 3 7 2 2" xfId="8540" xr:uid="{00000000-0005-0000-0000-0000BB140000}"/>
    <cellStyle name="Normal 4 3 7 2 2 2" xfId="16990" xr:uid="{66513C5C-32A7-4890-B5DC-93D366AB8E0D}"/>
    <cellStyle name="Normal 4 3 7 2 3" xfId="12772" xr:uid="{57A570E7-C9C5-4130-A12E-90C84EF4DDCA}"/>
    <cellStyle name="Normal 4 3 7 3" xfId="6395" xr:uid="{00000000-0005-0000-0000-0000BC140000}"/>
    <cellStyle name="Normal 4 3 7 3 2" xfId="14845" xr:uid="{C8A8DF6F-7F38-4565-B122-A2ADC9018E88}"/>
    <cellStyle name="Normal 4 3 7 4" xfId="10627" xr:uid="{B470EFD5-C519-40B8-AA1A-74AE0B479927}"/>
    <cellStyle name="Normal 4 3 8" xfId="2525" xr:uid="{00000000-0005-0000-0000-0000BD140000}"/>
    <cellStyle name="Normal 4 3 8 2" xfId="6808" xr:uid="{00000000-0005-0000-0000-0000BE140000}"/>
    <cellStyle name="Normal 4 3 8 2 2" xfId="15258" xr:uid="{E4A7A6C8-4740-47BF-B503-38CAEAF6DA87}"/>
    <cellStyle name="Normal 4 3 8 3" xfId="11040" xr:uid="{59A09084-AF72-449E-BF5B-9F5423457B18}"/>
    <cellStyle name="Normal 4 3 9" xfId="4743" xr:uid="{00000000-0005-0000-0000-0000BF140000}"/>
    <cellStyle name="Normal 4 3 9 2" xfId="13193" xr:uid="{A6CAC82A-C350-490C-B955-C1EA78930D47}"/>
    <cellStyle name="Normal 4 4" xfId="378" xr:uid="{00000000-0005-0000-0000-0000C0140000}"/>
    <cellStyle name="Normal 4 4 10" xfId="2534" xr:uid="{00000000-0005-0000-0000-0000C1140000}"/>
    <cellStyle name="Normal 4 4 10 2" xfId="6817" xr:uid="{00000000-0005-0000-0000-0000C2140000}"/>
    <cellStyle name="Normal 4 4 10 2 2" xfId="15267" xr:uid="{D3865D17-3C60-45CD-90F2-193523BCA7FB}"/>
    <cellStyle name="Normal 4 4 10 3" xfId="11049" xr:uid="{8AACEAFA-C8E7-4E8C-8C85-FCCF7ECD3F37}"/>
    <cellStyle name="Normal 4 4 11" xfId="4752" xr:uid="{00000000-0005-0000-0000-0000C3140000}"/>
    <cellStyle name="Normal 4 4 11 2" xfId="13202" xr:uid="{9C040923-D389-4EBB-B270-47D1801EC7EE}"/>
    <cellStyle name="Normal 4 4 12" xfId="8984" xr:uid="{AA69A468-B395-4760-8A63-CD43408FF268}"/>
    <cellStyle name="Normal 4 4 2" xfId="379" xr:uid="{00000000-0005-0000-0000-0000C4140000}"/>
    <cellStyle name="Normal 4 4 2 10" xfId="4753" xr:uid="{00000000-0005-0000-0000-0000C5140000}"/>
    <cellStyle name="Normal 4 4 2 10 2" xfId="13203" xr:uid="{83D9DA98-324E-4E13-B374-C1AB0A8AD713}"/>
    <cellStyle name="Normal 4 4 2 11" xfId="8985" xr:uid="{5A250DFF-3F8C-4AC8-8DE6-C13A04F68EDE}"/>
    <cellStyle name="Normal 4 4 2 2" xfId="380" xr:uid="{00000000-0005-0000-0000-0000C6140000}"/>
    <cellStyle name="Normal 4 4 2 2 10" xfId="8986" xr:uid="{770014AE-BCC4-40B6-B907-631A8343DABE}"/>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FEDB133F-3CEE-4AC3-AC8F-8EAD60C52F4E}"/>
    <cellStyle name="Normal 4 4 2 2 2 2 2 2 3" xfId="11546" xr:uid="{12F8F4C1-E125-41D7-8A01-2448561DEF96}"/>
    <cellStyle name="Normal 4 4 2 2 2 2 2 3" xfId="5169" xr:uid="{00000000-0005-0000-0000-0000CC140000}"/>
    <cellStyle name="Normal 4 4 2 2 2 2 2 3 2" xfId="13619" xr:uid="{83945E64-D8C2-4C9B-B7B1-EE129EDE70B8}"/>
    <cellStyle name="Normal 4 4 2 2 2 2 2 4" xfId="9401" xr:uid="{D22B5C03-53B8-41CD-BE57-AA24C53C4494}"/>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67B50F08-BD10-47C2-BEA4-38560CA6EED7}"/>
    <cellStyle name="Normal 4 4 2 2 2 2 3 2 3" xfId="11959" xr:uid="{95C2FEB1-7899-49B6-9DA8-BBB395362F52}"/>
    <cellStyle name="Normal 4 4 2 2 2 2 3 3" xfId="5582" xr:uid="{00000000-0005-0000-0000-0000D0140000}"/>
    <cellStyle name="Normal 4 4 2 2 2 2 3 3 2" xfId="14032" xr:uid="{CC8D6514-C948-4DFD-A2C7-EAEFCAE571D4}"/>
    <cellStyle name="Normal 4 4 2 2 2 2 3 4" xfId="9814" xr:uid="{656ADFDC-399C-4783-A77C-7C50DE6281A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CE524038-05F7-4710-9DF3-B249CF7FF975}"/>
    <cellStyle name="Normal 4 4 2 2 2 2 4 2 3" xfId="12372" xr:uid="{23961B74-4A19-4987-B9D8-DE92B2716126}"/>
    <cellStyle name="Normal 4 4 2 2 2 2 4 3" xfId="5995" xr:uid="{00000000-0005-0000-0000-0000D4140000}"/>
    <cellStyle name="Normal 4 4 2 2 2 2 4 3 2" xfId="14445" xr:uid="{9916209E-1672-4BDC-9D78-E0F35CEDFC2B}"/>
    <cellStyle name="Normal 4 4 2 2 2 2 4 4" xfId="10227" xr:uid="{A51C26AE-1FFB-4BEE-BD10-7E0CADE232E8}"/>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7ED54F9E-C155-4A1D-916E-B4D29C069AA2}"/>
    <cellStyle name="Normal 4 4 2 2 2 2 5 2 3" xfId="12785" xr:uid="{B51B9B4E-4DF2-4E6E-B322-EA72C99BA2E0}"/>
    <cellStyle name="Normal 4 4 2 2 2 2 5 3" xfId="6408" xr:uid="{00000000-0005-0000-0000-0000D8140000}"/>
    <cellStyle name="Normal 4 4 2 2 2 2 5 3 2" xfId="14858" xr:uid="{BF1F81CE-F4A2-4238-B7C6-10884512260A}"/>
    <cellStyle name="Normal 4 4 2 2 2 2 5 4" xfId="10640" xr:uid="{A241DD04-3E24-4454-B208-9723F4214A13}"/>
    <cellStyle name="Normal 4 4 2 2 2 2 6" xfId="2538" xr:uid="{00000000-0005-0000-0000-0000D9140000}"/>
    <cellStyle name="Normal 4 4 2 2 2 2 6 2" xfId="6821" xr:uid="{00000000-0005-0000-0000-0000DA140000}"/>
    <cellStyle name="Normal 4 4 2 2 2 2 6 2 2" xfId="15271" xr:uid="{32F48F9E-E3CF-477C-B995-BC8E2D3B493B}"/>
    <cellStyle name="Normal 4 4 2 2 2 2 6 3" xfId="11053" xr:uid="{7969B424-8707-4B9C-B59D-3B7DD677C35B}"/>
    <cellStyle name="Normal 4 4 2 2 2 2 7" xfId="4756" xr:uid="{00000000-0005-0000-0000-0000DB140000}"/>
    <cellStyle name="Normal 4 4 2 2 2 2 7 2" xfId="13206" xr:uid="{95FA22CB-44B9-47BA-8D78-2D8F042B3CF0}"/>
    <cellStyle name="Normal 4 4 2 2 2 2 8" xfId="8988" xr:uid="{8031017F-20F2-4497-9EA8-2592955443C6}"/>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635042E4-E526-4EBD-9A68-5217DF06751F}"/>
    <cellStyle name="Normal 4 4 2 2 2 3 2 3" xfId="11545" xr:uid="{0999F05C-4ACE-4033-A7DE-B1AD772F56DB}"/>
    <cellStyle name="Normal 4 4 2 2 2 3 3" xfId="5168" xr:uid="{00000000-0005-0000-0000-0000DF140000}"/>
    <cellStyle name="Normal 4 4 2 2 2 3 3 2" xfId="13618" xr:uid="{0F4C9AA4-9764-4C8F-90EE-0693C6E2B6B1}"/>
    <cellStyle name="Normal 4 4 2 2 2 3 4" xfId="9400" xr:uid="{C429475D-C215-4587-BFF5-09430F0ECD59}"/>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FAA8DDEC-AB7F-4A04-9D23-59E32A1C7D0C}"/>
    <cellStyle name="Normal 4 4 2 2 2 4 2 3" xfId="11958" xr:uid="{0588C56D-F894-43AC-8FE5-786EDD208087}"/>
    <cellStyle name="Normal 4 4 2 2 2 4 3" xfId="5581" xr:uid="{00000000-0005-0000-0000-0000E3140000}"/>
    <cellStyle name="Normal 4 4 2 2 2 4 3 2" xfId="14031" xr:uid="{DECBB93B-A6D5-4B7A-AD92-5B67155D9819}"/>
    <cellStyle name="Normal 4 4 2 2 2 4 4" xfId="9813" xr:uid="{BE1BB5C5-7EFD-4728-914B-5C107B224E39}"/>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BEEC84A9-94C6-4361-9A9A-5F241CA9C745}"/>
    <cellStyle name="Normal 4 4 2 2 2 5 2 3" xfId="12371" xr:uid="{1772EC18-7ABE-45A8-A071-05CFBC12E66D}"/>
    <cellStyle name="Normal 4 4 2 2 2 5 3" xfId="5994" xr:uid="{00000000-0005-0000-0000-0000E7140000}"/>
    <cellStyle name="Normal 4 4 2 2 2 5 3 2" xfId="14444" xr:uid="{A0149AF4-3C0A-4603-8C6D-F9159E2FDB97}"/>
    <cellStyle name="Normal 4 4 2 2 2 5 4" xfId="10226" xr:uid="{4FDC531E-A327-49EA-A6DB-1A04C23037A2}"/>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BFF821F4-134D-4C32-849E-609BCE0A6539}"/>
    <cellStyle name="Normal 4 4 2 2 2 6 2 3" xfId="12784" xr:uid="{C5158F61-7B29-40AF-9418-C7B84DE7D25A}"/>
    <cellStyle name="Normal 4 4 2 2 2 6 3" xfId="6407" xr:uid="{00000000-0005-0000-0000-0000EB140000}"/>
    <cellStyle name="Normal 4 4 2 2 2 6 3 2" xfId="14857" xr:uid="{D54F291A-55BA-42F0-85C4-499D77E4F4D3}"/>
    <cellStyle name="Normal 4 4 2 2 2 6 4" xfId="10639" xr:uid="{B49CFC53-1548-4D45-A438-93118EA05808}"/>
    <cellStyle name="Normal 4 4 2 2 2 7" xfId="2537" xr:uid="{00000000-0005-0000-0000-0000EC140000}"/>
    <cellStyle name="Normal 4 4 2 2 2 7 2" xfId="6820" xr:uid="{00000000-0005-0000-0000-0000ED140000}"/>
    <cellStyle name="Normal 4 4 2 2 2 7 2 2" xfId="15270" xr:uid="{BFE1EC8F-1DE5-4F29-811E-4BEDFB52615A}"/>
    <cellStyle name="Normal 4 4 2 2 2 7 3" xfId="11052" xr:uid="{E7DC3515-3C3A-4A0B-9DF6-22A6DFD46408}"/>
    <cellStyle name="Normal 4 4 2 2 2 8" xfId="4755" xr:uid="{00000000-0005-0000-0000-0000EE140000}"/>
    <cellStyle name="Normal 4 4 2 2 2 8 2" xfId="13205" xr:uid="{2F3270C2-EE71-49BA-8C9E-3C683A54B388}"/>
    <cellStyle name="Normal 4 4 2 2 2 9" xfId="8987" xr:uid="{DA7A7209-2228-401D-B85E-141A5E827FDB}"/>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2C9ED4B3-502B-4F40-A82E-EBC29813A25D}"/>
    <cellStyle name="Normal 4 4 2 2 3 2 2 3" xfId="11547" xr:uid="{8CA49E12-DC65-4EA1-B40F-ED1AA01C0923}"/>
    <cellStyle name="Normal 4 4 2 2 3 2 3" xfId="5170" xr:uid="{00000000-0005-0000-0000-0000F3140000}"/>
    <cellStyle name="Normal 4 4 2 2 3 2 3 2" xfId="13620" xr:uid="{4E698AE7-37A0-43B1-BE9E-2B36AD857395}"/>
    <cellStyle name="Normal 4 4 2 2 3 2 4" xfId="9402" xr:uid="{13C8E458-8B8F-4A88-9B35-E53F6FFE3529}"/>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B74C2B86-5565-43F8-8FF0-4AD86D52BF0A}"/>
    <cellStyle name="Normal 4 4 2 2 3 3 2 3" xfId="11960" xr:uid="{43895E04-A594-4AE5-9F74-9D1BFB3EF60E}"/>
    <cellStyle name="Normal 4 4 2 2 3 3 3" xfId="5583" xr:uid="{00000000-0005-0000-0000-0000F7140000}"/>
    <cellStyle name="Normal 4 4 2 2 3 3 3 2" xfId="14033" xr:uid="{C23FF418-9706-4C1F-B501-6630767AD957}"/>
    <cellStyle name="Normal 4 4 2 2 3 3 4" xfId="9815" xr:uid="{BBD75B6A-4C58-44E9-A0BC-9380B1CC40B9}"/>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26E88E9E-978D-49DC-BBFC-EE9B9BA16FEC}"/>
    <cellStyle name="Normal 4 4 2 2 3 4 2 3" xfId="12373" xr:uid="{09808573-74DE-4110-8156-5B908D68020D}"/>
    <cellStyle name="Normal 4 4 2 2 3 4 3" xfId="5996" xr:uid="{00000000-0005-0000-0000-0000FB140000}"/>
    <cellStyle name="Normal 4 4 2 2 3 4 3 2" xfId="14446" xr:uid="{D95A0D9B-1B31-42ED-BB33-EA4CC06D12C0}"/>
    <cellStyle name="Normal 4 4 2 2 3 4 4" xfId="10228" xr:uid="{65E3FB50-2806-4E1E-A6BE-D8BDF7262721}"/>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A88C9AC2-F559-4921-8751-3D32D7C5BDA6}"/>
    <cellStyle name="Normal 4 4 2 2 3 5 2 3" xfId="12786" xr:uid="{8D207CBB-60EC-4AA3-B52F-BA909EBA64B1}"/>
    <cellStyle name="Normal 4 4 2 2 3 5 3" xfId="6409" xr:uid="{00000000-0005-0000-0000-0000FF140000}"/>
    <cellStyle name="Normal 4 4 2 2 3 5 3 2" xfId="14859" xr:uid="{4670E755-FD51-4E8C-A5A1-DCB66DAE3953}"/>
    <cellStyle name="Normal 4 4 2 2 3 5 4" xfId="10641" xr:uid="{1002277B-4E1A-4A8E-AF61-3C5C2CBB4E7F}"/>
    <cellStyle name="Normal 4 4 2 2 3 6" xfId="2539" xr:uid="{00000000-0005-0000-0000-000000150000}"/>
    <cellStyle name="Normal 4 4 2 2 3 6 2" xfId="6822" xr:uid="{00000000-0005-0000-0000-000001150000}"/>
    <cellStyle name="Normal 4 4 2 2 3 6 2 2" xfId="15272" xr:uid="{7954654C-1290-469E-8992-0AA82C91D54F}"/>
    <cellStyle name="Normal 4 4 2 2 3 6 3" xfId="11054" xr:uid="{B5ADFB7D-10F8-4290-9703-E9E9E9E62B33}"/>
    <cellStyle name="Normal 4 4 2 2 3 7" xfId="4757" xr:uid="{00000000-0005-0000-0000-000002150000}"/>
    <cellStyle name="Normal 4 4 2 2 3 7 2" xfId="13207" xr:uid="{66ED0AF0-F5A8-498F-82CD-487F4F03DB8B}"/>
    <cellStyle name="Normal 4 4 2 2 3 8" xfId="8989" xr:uid="{93DB5E73-E3FC-4B9C-85F3-7C2B0EE294E2}"/>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7817BB16-015F-4101-B774-77F4102A38D8}"/>
    <cellStyle name="Normal 4 4 2 2 4 2 3" xfId="11544" xr:uid="{0EFE6B90-6D8D-485A-8242-C1C12DB2A352}"/>
    <cellStyle name="Normal 4 4 2 2 4 3" xfId="5167" xr:uid="{00000000-0005-0000-0000-000006150000}"/>
    <cellStyle name="Normal 4 4 2 2 4 3 2" xfId="13617" xr:uid="{A4F17A62-0FD6-4E25-AAEB-C6F7FC14E7CE}"/>
    <cellStyle name="Normal 4 4 2 2 4 4" xfId="9399" xr:uid="{5FF8B85A-6301-4EB1-9B5A-C6FCD3CC4BCE}"/>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E6BBBEC8-6825-4367-A662-E8B9EEB8473C}"/>
    <cellStyle name="Normal 4 4 2 2 5 2 3" xfId="11957" xr:uid="{BD9DEC73-77D2-44AC-8DD5-EDDE8053DE05}"/>
    <cellStyle name="Normal 4 4 2 2 5 3" xfId="5580" xr:uid="{00000000-0005-0000-0000-00000A150000}"/>
    <cellStyle name="Normal 4 4 2 2 5 3 2" xfId="14030" xr:uid="{E9278B7D-0643-4814-8DF2-3955DDA059C6}"/>
    <cellStyle name="Normal 4 4 2 2 5 4" xfId="9812" xr:uid="{1DB24E14-05E2-435A-9603-7F2D349048E9}"/>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1A89ABD8-1128-471B-B7AD-52DF9BDE27DE}"/>
    <cellStyle name="Normal 4 4 2 2 6 2 3" xfId="12370" xr:uid="{310F2417-A2B9-42D4-BD72-920D629EE743}"/>
    <cellStyle name="Normal 4 4 2 2 6 3" xfId="5993" xr:uid="{00000000-0005-0000-0000-00000E150000}"/>
    <cellStyle name="Normal 4 4 2 2 6 3 2" xfId="14443" xr:uid="{E8E3A6CE-67BF-4067-A3EC-4E3436C9DDEA}"/>
    <cellStyle name="Normal 4 4 2 2 6 4" xfId="10225" xr:uid="{E494F5BB-B29F-4F03-8B31-F906A017CDA6}"/>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DBB7712C-ED49-4491-8CD3-67E89998E8DE}"/>
    <cellStyle name="Normal 4 4 2 2 7 2 3" xfId="12783" xr:uid="{360007B0-93AA-4B87-B60B-1D913621B002}"/>
    <cellStyle name="Normal 4 4 2 2 7 3" xfId="6406" xr:uid="{00000000-0005-0000-0000-000012150000}"/>
    <cellStyle name="Normal 4 4 2 2 7 3 2" xfId="14856" xr:uid="{203628BE-3F0E-4C82-91FF-02DA15D9CFD8}"/>
    <cellStyle name="Normal 4 4 2 2 7 4" xfId="10638" xr:uid="{B79C23BA-85F7-4227-8E46-19EAABD813EC}"/>
    <cellStyle name="Normal 4 4 2 2 8" xfId="2536" xr:uid="{00000000-0005-0000-0000-000013150000}"/>
    <cellStyle name="Normal 4 4 2 2 8 2" xfId="6819" xr:uid="{00000000-0005-0000-0000-000014150000}"/>
    <cellStyle name="Normal 4 4 2 2 8 2 2" xfId="15269" xr:uid="{2BE53F36-EEF8-4602-A312-A220039B88A5}"/>
    <cellStyle name="Normal 4 4 2 2 8 3" xfId="11051" xr:uid="{7BC1C636-12D6-4B44-AB5E-085F30AB51EA}"/>
    <cellStyle name="Normal 4 4 2 2 9" xfId="4754" xr:uid="{00000000-0005-0000-0000-000015150000}"/>
    <cellStyle name="Normal 4 4 2 2 9 2" xfId="13204" xr:uid="{47224D86-F5BE-4D00-B0F5-96903809DD45}"/>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95B1D7CB-E950-41D7-96F1-3F5E8E9B7C04}"/>
    <cellStyle name="Normal 4 4 2 3 2 2 2 3" xfId="11549" xr:uid="{DA6CE916-592A-4430-AFAA-F0714DDCCC76}"/>
    <cellStyle name="Normal 4 4 2 3 2 2 3" xfId="5172" xr:uid="{00000000-0005-0000-0000-00001B150000}"/>
    <cellStyle name="Normal 4 4 2 3 2 2 3 2" xfId="13622" xr:uid="{117D1F87-9ED7-401B-8F97-63BC8A4150EE}"/>
    <cellStyle name="Normal 4 4 2 3 2 2 4" xfId="9404" xr:uid="{7785D834-45CF-4E0B-A8B2-B73C054EBE92}"/>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40C618E7-5321-44C9-8068-D720E29662DF}"/>
    <cellStyle name="Normal 4 4 2 3 2 3 2 3" xfId="11962" xr:uid="{954B0C10-10BF-41C4-BD9E-F540099559E2}"/>
    <cellStyle name="Normal 4 4 2 3 2 3 3" xfId="5585" xr:uid="{00000000-0005-0000-0000-00001F150000}"/>
    <cellStyle name="Normal 4 4 2 3 2 3 3 2" xfId="14035" xr:uid="{723A48A2-ABCC-473A-A8B1-26A1EF79667C}"/>
    <cellStyle name="Normal 4 4 2 3 2 3 4" xfId="9817" xr:uid="{467F1B78-EE01-4110-AC9B-044D995E04D4}"/>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C9893A98-2FEF-44FE-86CE-17AC6CE06298}"/>
    <cellStyle name="Normal 4 4 2 3 2 4 2 3" xfId="12375" xr:uid="{2A5C025F-5801-450D-A30A-2C8DADF49013}"/>
    <cellStyle name="Normal 4 4 2 3 2 4 3" xfId="5998" xr:uid="{00000000-0005-0000-0000-000023150000}"/>
    <cellStyle name="Normal 4 4 2 3 2 4 3 2" xfId="14448" xr:uid="{3473E7C0-1938-4489-AB79-E32A787AADE8}"/>
    <cellStyle name="Normal 4 4 2 3 2 4 4" xfId="10230" xr:uid="{651B15F7-189E-4887-945C-3FAB007D6CF9}"/>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E75F9A68-3E6B-40C6-B1F6-F180C0429833}"/>
    <cellStyle name="Normal 4 4 2 3 2 5 2 3" xfId="12788" xr:uid="{891FBAF0-B8F3-48C6-B7AA-C8AB2715CA0B}"/>
    <cellStyle name="Normal 4 4 2 3 2 5 3" xfId="6411" xr:uid="{00000000-0005-0000-0000-000027150000}"/>
    <cellStyle name="Normal 4 4 2 3 2 5 3 2" xfId="14861" xr:uid="{F049404D-7C27-49B1-AE93-C3DCB42F1AC0}"/>
    <cellStyle name="Normal 4 4 2 3 2 5 4" xfId="10643" xr:uid="{5F288E35-D92A-48CD-993B-0F2084224424}"/>
    <cellStyle name="Normal 4 4 2 3 2 6" xfId="2541" xr:uid="{00000000-0005-0000-0000-000028150000}"/>
    <cellStyle name="Normal 4 4 2 3 2 6 2" xfId="6824" xr:uid="{00000000-0005-0000-0000-000029150000}"/>
    <cellStyle name="Normal 4 4 2 3 2 6 2 2" xfId="15274" xr:uid="{1C8422EA-737A-4938-8571-583982219C0B}"/>
    <cellStyle name="Normal 4 4 2 3 2 6 3" xfId="11056" xr:uid="{D8EEB94D-D21B-4EBB-827B-9D028885AC25}"/>
    <cellStyle name="Normal 4 4 2 3 2 7" xfId="4759" xr:uid="{00000000-0005-0000-0000-00002A150000}"/>
    <cellStyle name="Normal 4 4 2 3 2 7 2" xfId="13209" xr:uid="{CBA295B1-9B80-440A-9500-9F675C68753E}"/>
    <cellStyle name="Normal 4 4 2 3 2 8" xfId="8991" xr:uid="{5D338085-A9E5-4199-B2E6-511C8846AA64}"/>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28E09FFB-CB99-4331-802F-4A70E0418381}"/>
    <cellStyle name="Normal 4 4 2 3 3 2 3" xfId="11548" xr:uid="{38A0A50B-B1E9-45CB-BBD7-94A534B5129B}"/>
    <cellStyle name="Normal 4 4 2 3 3 3" xfId="5171" xr:uid="{00000000-0005-0000-0000-00002E150000}"/>
    <cellStyle name="Normal 4 4 2 3 3 3 2" xfId="13621" xr:uid="{86280278-DCEC-467E-B282-C38547AB765B}"/>
    <cellStyle name="Normal 4 4 2 3 3 4" xfId="9403" xr:uid="{5930164A-C6C9-4374-84C0-D038A591A1BA}"/>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E31FA930-A8F6-4696-8720-9BA2D8857454}"/>
    <cellStyle name="Normal 4 4 2 3 4 2 3" xfId="11961" xr:uid="{9D78FF6C-0A1F-4971-9E54-B6AE078B582B}"/>
    <cellStyle name="Normal 4 4 2 3 4 3" xfId="5584" xr:uid="{00000000-0005-0000-0000-000032150000}"/>
    <cellStyle name="Normal 4 4 2 3 4 3 2" xfId="14034" xr:uid="{C7E430F8-0B57-4C08-97B9-C320EDBB342A}"/>
    <cellStyle name="Normal 4 4 2 3 4 4" xfId="9816" xr:uid="{A02CC955-E167-41F2-A8D2-AB931A524ABA}"/>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0F28E775-A480-463F-AC07-851252AD26CA}"/>
    <cellStyle name="Normal 4 4 2 3 5 2 3" xfId="12374" xr:uid="{EC89DCB6-4559-49C9-9162-87D19EAE79E5}"/>
    <cellStyle name="Normal 4 4 2 3 5 3" xfId="5997" xr:uid="{00000000-0005-0000-0000-000036150000}"/>
    <cellStyle name="Normal 4 4 2 3 5 3 2" xfId="14447" xr:uid="{8D6ADA9B-E91A-4BA4-821E-0A031152EC85}"/>
    <cellStyle name="Normal 4 4 2 3 5 4" xfId="10229" xr:uid="{1EAF1A7F-CE8B-47A1-A948-6B069DCA1C62}"/>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49A7DCF0-459A-44A0-A026-9C749E0D36B6}"/>
    <cellStyle name="Normal 4 4 2 3 6 2 3" xfId="12787" xr:uid="{49B383AC-E8CE-44E9-85B1-4F56CFE7704A}"/>
    <cellStyle name="Normal 4 4 2 3 6 3" xfId="6410" xr:uid="{00000000-0005-0000-0000-00003A150000}"/>
    <cellStyle name="Normal 4 4 2 3 6 3 2" xfId="14860" xr:uid="{7D9A5618-F4BA-4900-9226-59B0E53A91F0}"/>
    <cellStyle name="Normal 4 4 2 3 6 4" xfId="10642" xr:uid="{616A1DC9-773A-4013-BA8D-CC517752DDA3}"/>
    <cellStyle name="Normal 4 4 2 3 7" xfId="2540" xr:uid="{00000000-0005-0000-0000-00003B150000}"/>
    <cellStyle name="Normal 4 4 2 3 7 2" xfId="6823" xr:uid="{00000000-0005-0000-0000-00003C150000}"/>
    <cellStyle name="Normal 4 4 2 3 7 2 2" xfId="15273" xr:uid="{E996C7C8-BA5F-45C4-A064-4A61BCECB37E}"/>
    <cellStyle name="Normal 4 4 2 3 7 3" xfId="11055" xr:uid="{9B114A9F-D934-4801-B454-8E75BB45C9FF}"/>
    <cellStyle name="Normal 4 4 2 3 8" xfId="4758" xr:uid="{00000000-0005-0000-0000-00003D150000}"/>
    <cellStyle name="Normal 4 4 2 3 8 2" xfId="13208" xr:uid="{9A9612E3-6F81-4690-ABD3-2B66FF37E06B}"/>
    <cellStyle name="Normal 4 4 2 3 9" xfId="8990" xr:uid="{9E01A7A0-CB71-4A5E-AD0E-8EEC3E7627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9BD45646-9B85-4F43-893C-9BBF09595D01}"/>
    <cellStyle name="Normal 4 4 2 4 2 2 3" xfId="11550" xr:uid="{D4A3FBA9-1477-4357-9E8A-23541246B08A}"/>
    <cellStyle name="Normal 4 4 2 4 2 3" xfId="5173" xr:uid="{00000000-0005-0000-0000-000042150000}"/>
    <cellStyle name="Normal 4 4 2 4 2 3 2" xfId="13623" xr:uid="{45214D8F-62B1-4E3D-9CD5-E5F6A4B38C59}"/>
    <cellStyle name="Normal 4 4 2 4 2 4" xfId="9405" xr:uid="{4E8AF8C3-7E58-4848-BF0C-CD0C21470461}"/>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CE96D67D-0FEA-4EBC-972F-8148F48FDB7A}"/>
    <cellStyle name="Normal 4 4 2 4 3 2 3" xfId="11963" xr:uid="{B2A6796D-3460-44BC-A79E-6409CF6F3732}"/>
    <cellStyle name="Normal 4 4 2 4 3 3" xfId="5586" xr:uid="{00000000-0005-0000-0000-000046150000}"/>
    <cellStyle name="Normal 4 4 2 4 3 3 2" xfId="14036" xr:uid="{C67002EE-C105-44DB-AFDC-FB73784EB3AA}"/>
    <cellStyle name="Normal 4 4 2 4 3 4" xfId="9818" xr:uid="{AEACE838-8583-4E3E-904C-D42A330CE2AB}"/>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539C082C-F222-4B59-AAD1-6E49EC110C88}"/>
    <cellStyle name="Normal 4 4 2 4 4 2 3" xfId="12376" xr:uid="{538CE0B2-7454-4169-A0B3-670A6E694366}"/>
    <cellStyle name="Normal 4 4 2 4 4 3" xfId="5999" xr:uid="{00000000-0005-0000-0000-00004A150000}"/>
    <cellStyle name="Normal 4 4 2 4 4 3 2" xfId="14449" xr:uid="{1A15D7F8-1563-43E2-8771-D8E8E2112740}"/>
    <cellStyle name="Normal 4 4 2 4 4 4" xfId="10231" xr:uid="{8C261115-9F93-4953-BC24-31F49A305088}"/>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09737D5C-5C27-4893-9EEA-3E130361552E}"/>
    <cellStyle name="Normal 4 4 2 4 5 2 3" xfId="12789" xr:uid="{F65374CF-16CD-47A0-AD04-67E0E799923E}"/>
    <cellStyle name="Normal 4 4 2 4 5 3" xfId="6412" xr:uid="{00000000-0005-0000-0000-00004E150000}"/>
    <cellStyle name="Normal 4 4 2 4 5 3 2" xfId="14862" xr:uid="{70921896-7727-4A0A-8153-63E3F19B3263}"/>
    <cellStyle name="Normal 4 4 2 4 5 4" xfId="10644" xr:uid="{2FB4B9C7-415D-4BFC-887A-50C286D79087}"/>
    <cellStyle name="Normal 4 4 2 4 6" xfId="2542" xr:uid="{00000000-0005-0000-0000-00004F150000}"/>
    <cellStyle name="Normal 4 4 2 4 6 2" xfId="6825" xr:uid="{00000000-0005-0000-0000-000050150000}"/>
    <cellStyle name="Normal 4 4 2 4 6 2 2" xfId="15275" xr:uid="{7BBF184A-1E73-40ED-847E-C45DF5EA17EE}"/>
    <cellStyle name="Normal 4 4 2 4 6 3" xfId="11057" xr:uid="{42098E96-FE30-4B83-A6CF-DE1645AD4921}"/>
    <cellStyle name="Normal 4 4 2 4 7" xfId="4760" xr:uid="{00000000-0005-0000-0000-000051150000}"/>
    <cellStyle name="Normal 4 4 2 4 7 2" xfId="13210" xr:uid="{B64A25EE-6998-4693-961B-432103BD57DD}"/>
    <cellStyle name="Normal 4 4 2 4 8" xfId="8992" xr:uid="{C77AA367-D253-4698-A15F-4D237AFF05BA}"/>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32D86A1E-7DD5-44F6-9BB4-AD8B8235D7B0}"/>
    <cellStyle name="Normal 4 4 2 5 2 3" xfId="11543" xr:uid="{314A6917-271C-49B4-844A-3B3BAD39CC26}"/>
    <cellStyle name="Normal 4 4 2 5 3" xfId="5166" xr:uid="{00000000-0005-0000-0000-000055150000}"/>
    <cellStyle name="Normal 4 4 2 5 3 2" xfId="13616" xr:uid="{9E6575DC-C3F2-4D4B-A299-F91F6734B8A6}"/>
    <cellStyle name="Normal 4 4 2 5 4" xfId="9398" xr:uid="{AD7B68C3-446C-4C17-8877-A47FCA177703}"/>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66E5533A-3F0E-4915-A6D6-D3B62CE518F9}"/>
    <cellStyle name="Normal 4 4 2 6 2 3" xfId="11956" xr:uid="{9AEF789E-FDD0-4E15-9B81-3E1886A053BD}"/>
    <cellStyle name="Normal 4 4 2 6 3" xfId="5579" xr:uid="{00000000-0005-0000-0000-000059150000}"/>
    <cellStyle name="Normal 4 4 2 6 3 2" xfId="14029" xr:uid="{FD5D796A-667B-48BC-A38F-C7A651BF6BCE}"/>
    <cellStyle name="Normal 4 4 2 6 4" xfId="9811" xr:uid="{F0EC071E-072A-4BD3-8271-2BD9F4BF7FA6}"/>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24131129-CEE6-4224-A94A-FDB1766CFD4A}"/>
    <cellStyle name="Normal 4 4 2 7 2 3" xfId="12369" xr:uid="{DA5DCA0E-FCED-4F93-AE4A-D690A0B8396A}"/>
    <cellStyle name="Normal 4 4 2 7 3" xfId="5992" xr:uid="{00000000-0005-0000-0000-00005D150000}"/>
    <cellStyle name="Normal 4 4 2 7 3 2" xfId="14442" xr:uid="{CDEBCF37-0A39-4873-8D87-38FECD2DA7A0}"/>
    <cellStyle name="Normal 4 4 2 7 4" xfId="10224" xr:uid="{1699CDAD-671E-483C-9CCE-477969888D64}"/>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E61069F9-3DC4-4ECB-963F-3A37505954FF}"/>
    <cellStyle name="Normal 4 4 2 8 2 3" xfId="12782" xr:uid="{5647917C-E9A3-4B3B-8E3F-45B0D58E3E9A}"/>
    <cellStyle name="Normal 4 4 2 8 3" xfId="6405" xr:uid="{00000000-0005-0000-0000-000061150000}"/>
    <cellStyle name="Normal 4 4 2 8 3 2" xfId="14855" xr:uid="{0CF75BED-E027-49B9-B2D6-BF275692388B}"/>
    <cellStyle name="Normal 4 4 2 8 4" xfId="10637" xr:uid="{A9AA59D3-639C-452C-99AF-7FA3E73B9155}"/>
    <cellStyle name="Normal 4 4 2 9" xfId="2535" xr:uid="{00000000-0005-0000-0000-000062150000}"/>
    <cellStyle name="Normal 4 4 2 9 2" xfId="6818" xr:uid="{00000000-0005-0000-0000-000063150000}"/>
    <cellStyle name="Normal 4 4 2 9 2 2" xfId="15268" xr:uid="{EA9F58CA-E3E4-4561-98C3-AD3D1F543A2E}"/>
    <cellStyle name="Normal 4 4 2 9 3" xfId="11050" xr:uid="{3C9DF5D1-3AA5-4781-B801-B4E8AC43947F}"/>
    <cellStyle name="Normal 4 4 3" xfId="387" xr:uid="{00000000-0005-0000-0000-000064150000}"/>
    <cellStyle name="Normal 4 4 3 10" xfId="8993" xr:uid="{393A7E93-AD0B-4147-8905-FB6B98E97AF7}"/>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D77EC75D-CEDE-4427-8232-03888B851591}"/>
    <cellStyle name="Normal 4 4 3 2 2 2 2 3" xfId="11553" xr:uid="{03FA93A9-DD1B-419F-9B0A-9C5CC92F8A18}"/>
    <cellStyle name="Normal 4 4 3 2 2 2 3" xfId="5176" xr:uid="{00000000-0005-0000-0000-00006A150000}"/>
    <cellStyle name="Normal 4 4 3 2 2 2 3 2" xfId="13626" xr:uid="{DE04523D-A90F-44DE-AE13-296AA039C490}"/>
    <cellStyle name="Normal 4 4 3 2 2 2 4" xfId="9408" xr:uid="{25A21953-A3CB-41CE-8F6A-87C0CD69E0F8}"/>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3954E4F6-A0B8-4F92-8D5D-0B55FCE16F56}"/>
    <cellStyle name="Normal 4 4 3 2 2 3 2 3" xfId="11966" xr:uid="{FEAEE44D-CAC2-469B-A071-F51A3E29CDF6}"/>
    <cellStyle name="Normal 4 4 3 2 2 3 3" xfId="5589" xr:uid="{00000000-0005-0000-0000-00006E150000}"/>
    <cellStyle name="Normal 4 4 3 2 2 3 3 2" xfId="14039" xr:uid="{CC58ED1F-1F6D-4C01-99AB-CA18E901A9E3}"/>
    <cellStyle name="Normal 4 4 3 2 2 3 4" xfId="9821" xr:uid="{BE275BA1-DE53-47F1-A224-EE2513040D7B}"/>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93FC8DC1-4B0E-4372-883F-C72AFB83F0F1}"/>
    <cellStyle name="Normal 4 4 3 2 2 4 2 3" xfId="12379" xr:uid="{399D2482-1C1C-4988-971C-F8AFD6633494}"/>
    <cellStyle name="Normal 4 4 3 2 2 4 3" xfId="6002" xr:uid="{00000000-0005-0000-0000-000072150000}"/>
    <cellStyle name="Normal 4 4 3 2 2 4 3 2" xfId="14452" xr:uid="{D0ECC108-5CA5-4757-BD5D-E98D9C992766}"/>
    <cellStyle name="Normal 4 4 3 2 2 4 4" xfId="10234" xr:uid="{F4EA49E1-EB3A-4F1F-87D8-7A852B2CAC41}"/>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B759749A-1330-42C0-96A1-3C84F2C4FACA}"/>
    <cellStyle name="Normal 4 4 3 2 2 5 2 3" xfId="12792" xr:uid="{48843291-925D-4C40-AF04-B6A4E0B305ED}"/>
    <cellStyle name="Normal 4 4 3 2 2 5 3" xfId="6415" xr:uid="{00000000-0005-0000-0000-000076150000}"/>
    <cellStyle name="Normal 4 4 3 2 2 5 3 2" xfId="14865" xr:uid="{4FE467CB-834E-41AF-8016-85951AFDD1CF}"/>
    <cellStyle name="Normal 4 4 3 2 2 5 4" xfId="10647" xr:uid="{E7B9D428-A01F-4E1F-AC4C-52A541173734}"/>
    <cellStyle name="Normal 4 4 3 2 2 6" xfId="2545" xr:uid="{00000000-0005-0000-0000-000077150000}"/>
    <cellStyle name="Normal 4 4 3 2 2 6 2" xfId="6828" xr:uid="{00000000-0005-0000-0000-000078150000}"/>
    <cellStyle name="Normal 4 4 3 2 2 6 2 2" xfId="15278" xr:uid="{EFC77E2E-B9F6-4C71-BB53-730C0245FDD0}"/>
    <cellStyle name="Normal 4 4 3 2 2 6 3" xfId="11060" xr:uid="{4E7AB4BF-2FDB-4992-AA46-989F47F76C02}"/>
    <cellStyle name="Normal 4 4 3 2 2 7" xfId="4763" xr:uid="{00000000-0005-0000-0000-000079150000}"/>
    <cellStyle name="Normal 4 4 3 2 2 7 2" xfId="13213" xr:uid="{A0C26584-28F1-41EE-B187-9E363B238A8E}"/>
    <cellStyle name="Normal 4 4 3 2 2 8" xfId="8995" xr:uid="{C9DBFCA8-537D-4E02-8CFA-0611514E4B63}"/>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092AB207-0F39-4E23-AA0E-187F0F1ED510}"/>
    <cellStyle name="Normal 4 4 3 2 3 2 3" xfId="11552" xr:uid="{B6ADC36D-AA65-4F07-BE77-8F1794AEBB72}"/>
    <cellStyle name="Normal 4 4 3 2 3 3" xfId="5175" xr:uid="{00000000-0005-0000-0000-00007D150000}"/>
    <cellStyle name="Normal 4 4 3 2 3 3 2" xfId="13625" xr:uid="{DC1CEC4A-AF26-4CF1-B14A-3854126DB22F}"/>
    <cellStyle name="Normal 4 4 3 2 3 4" xfId="9407" xr:uid="{843AAE25-E0A1-454E-930B-7420D3DB32B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FFECBA5A-93AB-4CA4-9DF7-A0F2C1B08830}"/>
    <cellStyle name="Normal 4 4 3 2 4 2 3" xfId="11965" xr:uid="{2EEB57F9-EA92-4D4E-9DD0-AFF141932A90}"/>
    <cellStyle name="Normal 4 4 3 2 4 3" xfId="5588" xr:uid="{00000000-0005-0000-0000-000081150000}"/>
    <cellStyle name="Normal 4 4 3 2 4 3 2" xfId="14038" xr:uid="{158C1D3F-1F03-4598-885F-0FC0029E015B}"/>
    <cellStyle name="Normal 4 4 3 2 4 4" xfId="9820" xr:uid="{CDDDF805-298F-4847-BAC6-0A39E7405505}"/>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B50EB151-83B3-4EEC-B7AA-594838EA2FB5}"/>
    <cellStyle name="Normal 4 4 3 2 5 2 3" xfId="12378" xr:uid="{12D64F24-2CD4-4199-AEA9-225178883B56}"/>
    <cellStyle name="Normal 4 4 3 2 5 3" xfId="6001" xr:uid="{00000000-0005-0000-0000-000085150000}"/>
    <cellStyle name="Normal 4 4 3 2 5 3 2" xfId="14451" xr:uid="{C79241E2-D019-4D92-88A0-486A032FF620}"/>
    <cellStyle name="Normal 4 4 3 2 5 4" xfId="10233" xr:uid="{85A0C9E2-DF6D-4096-A7BE-98BB968A3272}"/>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C642C790-381C-4286-8C64-A764528B0C1F}"/>
    <cellStyle name="Normal 4 4 3 2 6 2 3" xfId="12791" xr:uid="{F0525C49-1448-41A3-BDE9-E76859623F48}"/>
    <cellStyle name="Normal 4 4 3 2 6 3" xfId="6414" xr:uid="{00000000-0005-0000-0000-000089150000}"/>
    <cellStyle name="Normal 4 4 3 2 6 3 2" xfId="14864" xr:uid="{3B5801AC-AABD-4862-9EA3-C09253CADF22}"/>
    <cellStyle name="Normal 4 4 3 2 6 4" xfId="10646" xr:uid="{490BEF85-0494-4F21-A1B3-BF239209326A}"/>
    <cellStyle name="Normal 4 4 3 2 7" xfId="2544" xr:uid="{00000000-0005-0000-0000-00008A150000}"/>
    <cellStyle name="Normal 4 4 3 2 7 2" xfId="6827" xr:uid="{00000000-0005-0000-0000-00008B150000}"/>
    <cellStyle name="Normal 4 4 3 2 7 2 2" xfId="15277" xr:uid="{1E34C225-02A5-4C18-865C-5D1927671840}"/>
    <cellStyle name="Normal 4 4 3 2 7 3" xfId="11059" xr:uid="{E96E2D67-9995-476A-AC17-6758C63EBB2C}"/>
    <cellStyle name="Normal 4 4 3 2 8" xfId="4762" xr:uid="{00000000-0005-0000-0000-00008C150000}"/>
    <cellStyle name="Normal 4 4 3 2 8 2" xfId="13212" xr:uid="{C1490F64-0765-497F-96D0-FE3907D34F84}"/>
    <cellStyle name="Normal 4 4 3 2 9" xfId="8994" xr:uid="{1CC4C258-8890-44AB-94EE-A76A2B227998}"/>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1A6992DB-46C9-4EAE-8845-F122F1B1C033}"/>
    <cellStyle name="Normal 4 4 3 3 2 2 3" xfId="11554" xr:uid="{DD6D0274-26C0-4DB7-A405-FBE56830DAF6}"/>
    <cellStyle name="Normal 4 4 3 3 2 3" xfId="5177" xr:uid="{00000000-0005-0000-0000-000091150000}"/>
    <cellStyle name="Normal 4 4 3 3 2 3 2" xfId="13627" xr:uid="{6704359F-3E53-4C06-A8C6-AF0378E6FD99}"/>
    <cellStyle name="Normal 4 4 3 3 2 4" xfId="9409" xr:uid="{25C7A3AA-D55F-48D1-BBFE-5517CBAAA1E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BEE90B53-4554-4830-B194-CAEDEFB979DA}"/>
    <cellStyle name="Normal 4 4 3 3 3 2 3" xfId="11967" xr:uid="{18564932-7669-4AB6-B994-6DCA301A5AF5}"/>
    <cellStyle name="Normal 4 4 3 3 3 3" xfId="5590" xr:uid="{00000000-0005-0000-0000-000095150000}"/>
    <cellStyle name="Normal 4 4 3 3 3 3 2" xfId="14040" xr:uid="{1C0F7EFD-2C9C-4111-9720-60A6F9021615}"/>
    <cellStyle name="Normal 4 4 3 3 3 4" xfId="9822" xr:uid="{24D8626A-81B7-4EDC-A292-CD5E780BF83D}"/>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3EBADBD2-06F8-4AFB-8A84-4815978EE163}"/>
    <cellStyle name="Normal 4 4 3 3 4 2 3" xfId="12380" xr:uid="{FA7ABE83-D2CE-4D11-9B1B-B8FEF5A50485}"/>
    <cellStyle name="Normal 4 4 3 3 4 3" xfId="6003" xr:uid="{00000000-0005-0000-0000-000099150000}"/>
    <cellStyle name="Normal 4 4 3 3 4 3 2" xfId="14453" xr:uid="{C57936A1-62B6-4A8F-9986-9F8769270BBE}"/>
    <cellStyle name="Normal 4 4 3 3 4 4" xfId="10235" xr:uid="{8ADE2030-3E05-4A61-868C-5E952166157E}"/>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FFEEC514-2A4C-4CC4-8C2B-5BFD76925C81}"/>
    <cellStyle name="Normal 4 4 3 3 5 2 3" xfId="12793" xr:uid="{69DA72B9-1585-4475-B517-83E784E55D15}"/>
    <cellStyle name="Normal 4 4 3 3 5 3" xfId="6416" xr:uid="{00000000-0005-0000-0000-00009D150000}"/>
    <cellStyle name="Normal 4 4 3 3 5 3 2" xfId="14866" xr:uid="{4AC8F896-BC01-4428-8A24-B7698B355C27}"/>
    <cellStyle name="Normal 4 4 3 3 5 4" xfId="10648" xr:uid="{F5CF6E3F-CA46-49C3-A8A4-B517CD934D18}"/>
    <cellStyle name="Normal 4 4 3 3 6" xfId="2546" xr:uid="{00000000-0005-0000-0000-00009E150000}"/>
    <cellStyle name="Normal 4 4 3 3 6 2" xfId="6829" xr:uid="{00000000-0005-0000-0000-00009F150000}"/>
    <cellStyle name="Normal 4 4 3 3 6 2 2" xfId="15279" xr:uid="{3DD5D013-0C2C-4467-AFB2-332FEEFF673F}"/>
    <cellStyle name="Normal 4 4 3 3 6 3" xfId="11061" xr:uid="{C445BAED-C03B-48F4-8F5C-1608BA58C1D9}"/>
    <cellStyle name="Normal 4 4 3 3 7" xfId="4764" xr:uid="{00000000-0005-0000-0000-0000A0150000}"/>
    <cellStyle name="Normal 4 4 3 3 7 2" xfId="13214" xr:uid="{F4BBEE40-D460-4814-99ED-8DFD7E1CD3BC}"/>
    <cellStyle name="Normal 4 4 3 3 8" xfId="8996" xr:uid="{B1BEF41F-6673-4499-BD9D-59027AD8F08A}"/>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706CDB82-3301-4E72-8995-C1D05802D8BD}"/>
    <cellStyle name="Normal 4 4 3 4 2 3" xfId="11551" xr:uid="{0E039A3D-2157-46D6-91A3-AB8A179ADA7C}"/>
    <cellStyle name="Normal 4 4 3 4 3" xfId="5174" xr:uid="{00000000-0005-0000-0000-0000A4150000}"/>
    <cellStyle name="Normal 4 4 3 4 3 2" xfId="13624" xr:uid="{04B10FE4-5B8E-405B-BCBD-185AF774A602}"/>
    <cellStyle name="Normal 4 4 3 4 4" xfId="9406" xr:uid="{7E66DE5B-9D63-4462-BFD9-7A3BFA3C100E}"/>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7F2ADA3C-1EBC-4182-A720-EF0F95CF4512}"/>
    <cellStyle name="Normal 4 4 3 5 2 3" xfId="11964" xr:uid="{09DACD72-8DA3-4440-8B8F-B62AAEBB7EB2}"/>
    <cellStyle name="Normal 4 4 3 5 3" xfId="5587" xr:uid="{00000000-0005-0000-0000-0000A8150000}"/>
    <cellStyle name="Normal 4 4 3 5 3 2" xfId="14037" xr:uid="{36FAB5AE-FE7F-4922-9D1C-3904FFF250B2}"/>
    <cellStyle name="Normal 4 4 3 5 4" xfId="9819" xr:uid="{1A014B1D-A6B6-4563-ABDD-45A358959C6A}"/>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C8989FDA-DB19-4BFE-93BA-ACC9246BC49F}"/>
    <cellStyle name="Normal 4 4 3 6 2 3" xfId="12377" xr:uid="{286A2031-AB2B-46A5-8884-BEBF963879FA}"/>
    <cellStyle name="Normal 4 4 3 6 3" xfId="6000" xr:uid="{00000000-0005-0000-0000-0000AC150000}"/>
    <cellStyle name="Normal 4 4 3 6 3 2" xfId="14450" xr:uid="{BA4948DF-5D59-463C-8A09-38433451F49C}"/>
    <cellStyle name="Normal 4 4 3 6 4" xfId="10232" xr:uid="{EFC46001-2300-4271-A3A0-0640D92D7028}"/>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7B0D7774-AE95-4A60-BA43-BC0197A61BDD}"/>
    <cellStyle name="Normal 4 4 3 7 2 3" xfId="12790" xr:uid="{C3B15339-0F78-4C1A-B6FC-2DE8FC8E6EC8}"/>
    <cellStyle name="Normal 4 4 3 7 3" xfId="6413" xr:uid="{00000000-0005-0000-0000-0000B0150000}"/>
    <cellStyle name="Normal 4 4 3 7 3 2" xfId="14863" xr:uid="{43484427-1C33-4F34-80E6-5F7FB7A2CA08}"/>
    <cellStyle name="Normal 4 4 3 7 4" xfId="10645" xr:uid="{295A3E75-E9D5-44F1-A84C-5E7055331151}"/>
    <cellStyle name="Normal 4 4 3 8" xfId="2543" xr:uid="{00000000-0005-0000-0000-0000B1150000}"/>
    <cellStyle name="Normal 4 4 3 8 2" xfId="6826" xr:uid="{00000000-0005-0000-0000-0000B2150000}"/>
    <cellStyle name="Normal 4 4 3 8 2 2" xfId="15276" xr:uid="{5842C7CF-5E07-4FC4-AEB8-77586B0C7A87}"/>
    <cellStyle name="Normal 4 4 3 8 3" xfId="11058" xr:uid="{C1015512-2CEC-4C7E-92CE-3BFB6446C579}"/>
    <cellStyle name="Normal 4 4 3 9" xfId="4761" xr:uid="{00000000-0005-0000-0000-0000B3150000}"/>
    <cellStyle name="Normal 4 4 3 9 2" xfId="13211" xr:uid="{84A279DC-D7D0-4F7D-9542-FB1854CD38D8}"/>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C4B71FBF-0D1D-4F50-A0C0-19A6F5B3C819}"/>
    <cellStyle name="Normal 4 4 4 2 2 2 3" xfId="11556" xr:uid="{16E66FAF-A984-4A4A-A3FE-747FAE94FAC4}"/>
    <cellStyle name="Normal 4 4 4 2 2 3" xfId="5179" xr:uid="{00000000-0005-0000-0000-0000B9150000}"/>
    <cellStyle name="Normal 4 4 4 2 2 3 2" xfId="13629" xr:uid="{B09E0800-819B-4ECE-ADD1-8CBEBECFA09D}"/>
    <cellStyle name="Normal 4 4 4 2 2 4" xfId="9411" xr:uid="{1ACBCACF-0116-49AC-925E-9715A5EAE61F}"/>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C255091D-BF70-47C4-9751-076F1C18492B}"/>
    <cellStyle name="Normal 4 4 4 2 3 2 3" xfId="11969" xr:uid="{EB0635F1-05C6-4F0B-8320-6BAAAB4B317C}"/>
    <cellStyle name="Normal 4 4 4 2 3 3" xfId="5592" xr:uid="{00000000-0005-0000-0000-0000BD150000}"/>
    <cellStyle name="Normal 4 4 4 2 3 3 2" xfId="14042" xr:uid="{C07082B6-AEBC-4E48-8493-7376FAD5CB96}"/>
    <cellStyle name="Normal 4 4 4 2 3 4" xfId="9824" xr:uid="{B8EBC0D3-843E-460E-A65C-E10D789B84DC}"/>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B2E614C7-61A7-41B7-BC1A-26CB39165230}"/>
    <cellStyle name="Normal 4 4 4 2 4 2 3" xfId="12382" xr:uid="{63F0DE50-4648-4CCE-A4DF-378B32EC9EE7}"/>
    <cellStyle name="Normal 4 4 4 2 4 3" xfId="6005" xr:uid="{00000000-0005-0000-0000-0000C1150000}"/>
    <cellStyle name="Normal 4 4 4 2 4 3 2" xfId="14455" xr:uid="{C9E9D8A1-D02E-4C90-B056-E52C9962C147}"/>
    <cellStyle name="Normal 4 4 4 2 4 4" xfId="10237" xr:uid="{18113023-A232-4732-8BB2-3C24D74AD9F4}"/>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3465AAEA-9DFE-463D-B31D-BFAE9660FB81}"/>
    <cellStyle name="Normal 4 4 4 2 5 2 3" xfId="12795" xr:uid="{5E68E868-E24B-4600-A713-FA768A28EFD7}"/>
    <cellStyle name="Normal 4 4 4 2 5 3" xfId="6418" xr:uid="{00000000-0005-0000-0000-0000C5150000}"/>
    <cellStyle name="Normal 4 4 4 2 5 3 2" xfId="14868" xr:uid="{9E7C4743-C286-4134-8582-3A8F01BE774A}"/>
    <cellStyle name="Normal 4 4 4 2 5 4" xfId="10650" xr:uid="{4956BE05-4EE8-4863-B234-6D63D3687252}"/>
    <cellStyle name="Normal 4 4 4 2 6" xfId="2548" xr:uid="{00000000-0005-0000-0000-0000C6150000}"/>
    <cellStyle name="Normal 4 4 4 2 6 2" xfId="6831" xr:uid="{00000000-0005-0000-0000-0000C7150000}"/>
    <cellStyle name="Normal 4 4 4 2 6 2 2" xfId="15281" xr:uid="{A33B289E-6A2B-48D1-B6C6-FF024576122A}"/>
    <cellStyle name="Normal 4 4 4 2 6 3" xfId="11063" xr:uid="{96DD127E-8D8B-464A-8B36-FB5A72B642F5}"/>
    <cellStyle name="Normal 4 4 4 2 7" xfId="4766" xr:uid="{00000000-0005-0000-0000-0000C8150000}"/>
    <cellStyle name="Normal 4 4 4 2 7 2" xfId="13216" xr:uid="{E7FBC095-6C7F-4094-8081-FD10ED1C86EC}"/>
    <cellStyle name="Normal 4 4 4 2 8" xfId="8998" xr:uid="{4F811352-C4DB-4852-9F38-32450F14FE78}"/>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8C121F15-B680-46E6-B1DC-69FE3C593240}"/>
    <cellStyle name="Normal 4 4 4 3 2 3" xfId="11555" xr:uid="{69C12C8B-DFDD-4076-B41F-9D4E3AFDAEA8}"/>
    <cellStyle name="Normal 4 4 4 3 3" xfId="5178" xr:uid="{00000000-0005-0000-0000-0000CC150000}"/>
    <cellStyle name="Normal 4 4 4 3 3 2" xfId="13628" xr:uid="{C4485F48-6B10-47C1-A4B4-EEA8C84060F9}"/>
    <cellStyle name="Normal 4 4 4 3 4" xfId="9410" xr:uid="{0DB8341F-AF0B-4108-ADBB-E738D7C109F3}"/>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2D3929D3-646E-46EE-95C3-A39C54F53C6F}"/>
    <cellStyle name="Normal 4 4 4 4 2 3" xfId="11968" xr:uid="{27BF152D-A873-45BC-B261-CF03CB27D58C}"/>
    <cellStyle name="Normal 4 4 4 4 3" xfId="5591" xr:uid="{00000000-0005-0000-0000-0000D0150000}"/>
    <cellStyle name="Normal 4 4 4 4 3 2" xfId="14041" xr:uid="{4CEBED77-5435-4559-BC00-7D1EF666FA9F}"/>
    <cellStyle name="Normal 4 4 4 4 4" xfId="9823" xr:uid="{F1B6903E-D31A-4444-9517-B66D2B45B5D4}"/>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689182AA-5BBF-4DA1-B810-818DA165791E}"/>
    <cellStyle name="Normal 4 4 4 5 2 3" xfId="12381" xr:uid="{F18B18BB-E6A7-4DD1-84D0-20C4CC3F5513}"/>
    <cellStyle name="Normal 4 4 4 5 3" xfId="6004" xr:uid="{00000000-0005-0000-0000-0000D4150000}"/>
    <cellStyle name="Normal 4 4 4 5 3 2" xfId="14454" xr:uid="{BFAB5F34-21B4-4079-95E1-8591E241ED71}"/>
    <cellStyle name="Normal 4 4 4 5 4" xfId="10236" xr:uid="{97F209E5-7717-484E-93DD-2CA438B0DE0A}"/>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83A65547-B546-4AF7-9EDD-E2826DF4839D}"/>
    <cellStyle name="Normal 4 4 4 6 2 3" xfId="12794" xr:uid="{3F94E6B2-7FA9-4B48-8453-BBAEAC6A9773}"/>
    <cellStyle name="Normal 4 4 4 6 3" xfId="6417" xr:uid="{00000000-0005-0000-0000-0000D8150000}"/>
    <cellStyle name="Normal 4 4 4 6 3 2" xfId="14867" xr:uid="{3BF0D8B7-AF2B-493F-9368-B179CA99FAB2}"/>
    <cellStyle name="Normal 4 4 4 6 4" xfId="10649" xr:uid="{2DA6A7B3-8C5B-45B3-836C-EF32FF5BA614}"/>
    <cellStyle name="Normal 4 4 4 7" xfId="2547" xr:uid="{00000000-0005-0000-0000-0000D9150000}"/>
    <cellStyle name="Normal 4 4 4 7 2" xfId="6830" xr:uid="{00000000-0005-0000-0000-0000DA150000}"/>
    <cellStyle name="Normal 4 4 4 7 2 2" xfId="15280" xr:uid="{1DCF1826-8A3A-4C87-B4DE-12B96C340694}"/>
    <cellStyle name="Normal 4 4 4 7 3" xfId="11062" xr:uid="{1CA52A4C-83B4-4E9C-B866-3398298A43B6}"/>
    <cellStyle name="Normal 4 4 4 8" xfId="4765" xr:uid="{00000000-0005-0000-0000-0000DB150000}"/>
    <cellStyle name="Normal 4 4 4 8 2" xfId="13215" xr:uid="{5D381B4E-ACC5-4E71-8890-25EFD1F3C681}"/>
    <cellStyle name="Normal 4 4 4 9" xfId="8997" xr:uid="{13E0066E-9DC3-464D-93A7-3FDCE6CAF9D4}"/>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32891F15-D9A8-442E-BB8F-7C2D20F20254}"/>
    <cellStyle name="Normal 4 4 5 2 2 3" xfId="11557" xr:uid="{E83D4F93-8172-4C3E-9E55-AA6A9480E4DF}"/>
    <cellStyle name="Normal 4 4 5 2 3" xfId="5180" xr:uid="{00000000-0005-0000-0000-0000E0150000}"/>
    <cellStyle name="Normal 4 4 5 2 3 2" xfId="13630" xr:uid="{406212C6-D65D-4F40-BC6B-A3CD983E78C4}"/>
    <cellStyle name="Normal 4 4 5 2 4" xfId="9412" xr:uid="{BCBD7A32-2100-481F-B957-636F178B2DCC}"/>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094902E6-3333-4D33-952B-D3D08444BD02}"/>
    <cellStyle name="Normal 4 4 5 3 2 3" xfId="11970" xr:uid="{51CEC129-D274-4C5B-BBA2-735B1E47C8D2}"/>
    <cellStyle name="Normal 4 4 5 3 3" xfId="5593" xr:uid="{00000000-0005-0000-0000-0000E4150000}"/>
    <cellStyle name="Normal 4 4 5 3 3 2" xfId="14043" xr:uid="{593664C9-F0B4-4AD0-AF17-A2931D7EE8B8}"/>
    <cellStyle name="Normal 4 4 5 3 4" xfId="9825" xr:uid="{A4616FD5-AE6A-4C38-9677-B4C9DEB9953C}"/>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1E443AB3-DBAF-4B76-A256-C7339D9CC03B}"/>
    <cellStyle name="Normal 4 4 5 4 2 3" xfId="12383" xr:uid="{9E158D08-97F7-4D2E-BD0E-AD736058CE3B}"/>
    <cellStyle name="Normal 4 4 5 4 3" xfId="6006" xr:uid="{00000000-0005-0000-0000-0000E8150000}"/>
    <cellStyle name="Normal 4 4 5 4 3 2" xfId="14456" xr:uid="{55CA4404-9752-4217-B79E-374D938B4968}"/>
    <cellStyle name="Normal 4 4 5 4 4" xfId="10238" xr:uid="{DA97E20F-9E8E-4BC7-B7B2-FDEC3550FCA2}"/>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9B81C69F-FCCA-4984-B805-BA880E159C38}"/>
    <cellStyle name="Normal 4 4 5 5 2 3" xfId="12796" xr:uid="{9F3C9278-A730-4064-9073-50F623AB3892}"/>
    <cellStyle name="Normal 4 4 5 5 3" xfId="6419" xr:uid="{00000000-0005-0000-0000-0000EC150000}"/>
    <cellStyle name="Normal 4 4 5 5 3 2" xfId="14869" xr:uid="{E6199CEF-D2EC-401F-99B1-9C991B21B575}"/>
    <cellStyle name="Normal 4 4 5 5 4" xfId="10651" xr:uid="{DC80BD13-E921-4378-989F-1672D22B9BFD}"/>
    <cellStyle name="Normal 4 4 5 6" xfId="2549" xr:uid="{00000000-0005-0000-0000-0000ED150000}"/>
    <cellStyle name="Normal 4 4 5 6 2" xfId="6832" xr:uid="{00000000-0005-0000-0000-0000EE150000}"/>
    <cellStyle name="Normal 4 4 5 6 2 2" xfId="15282" xr:uid="{0CB90AC1-57E5-4D27-9FD4-4875AC2DA720}"/>
    <cellStyle name="Normal 4 4 5 6 3" xfId="11064" xr:uid="{839CE36D-55BD-4718-AE37-618E77ADDCE4}"/>
    <cellStyle name="Normal 4 4 5 7" xfId="4767" xr:uid="{00000000-0005-0000-0000-0000EF150000}"/>
    <cellStyle name="Normal 4 4 5 7 2" xfId="13217" xr:uid="{AFCD5E31-A091-4E5B-AC20-B3301C05DB74}"/>
    <cellStyle name="Normal 4 4 5 8" xfId="8999" xr:uid="{A444E593-1FED-4D7C-B94C-4C54A3073E96}"/>
    <cellStyle name="Normal 4 4 6" xfId="853" xr:uid="{00000000-0005-0000-0000-0000F0150000}"/>
    <cellStyle name="Normal 4 4 6 2" xfId="3088" xr:uid="{00000000-0005-0000-0000-0000F1150000}"/>
    <cellStyle name="Normal 4 4 6 2 2" xfId="7310" xr:uid="{00000000-0005-0000-0000-0000F2150000}"/>
    <cellStyle name="Normal 4 4 6 2 2 2" xfId="15760" xr:uid="{B53EB3E4-21DF-4B04-BFB7-F0E296A2A830}"/>
    <cellStyle name="Normal 4 4 6 2 3" xfId="11542" xr:uid="{B06CE5F1-19AE-455A-B89C-0C4BDF496A3A}"/>
    <cellStyle name="Normal 4 4 6 3" xfId="5165" xr:uid="{00000000-0005-0000-0000-0000F3150000}"/>
    <cellStyle name="Normal 4 4 6 3 2" xfId="13615" xr:uid="{A8B18AF1-2AE3-484D-9D87-3FFF5FA5EFDE}"/>
    <cellStyle name="Normal 4 4 6 4" xfId="9397" xr:uid="{F73790A5-7EC3-45B0-BE5C-923D864E5A2F}"/>
    <cellStyle name="Normal 4 4 7" xfId="1271" xr:uid="{00000000-0005-0000-0000-0000F4150000}"/>
    <cellStyle name="Normal 4 4 7 2" xfId="3501" xr:uid="{00000000-0005-0000-0000-0000F5150000}"/>
    <cellStyle name="Normal 4 4 7 2 2" xfId="7723" xr:uid="{00000000-0005-0000-0000-0000F6150000}"/>
    <cellStyle name="Normal 4 4 7 2 2 2" xfId="16173" xr:uid="{E948D52B-1C36-4AC2-8392-60526D485A99}"/>
    <cellStyle name="Normal 4 4 7 2 3" xfId="11955" xr:uid="{166CD140-F300-44BD-A0B9-DFFC02449CB5}"/>
    <cellStyle name="Normal 4 4 7 3" xfId="5578" xr:uid="{00000000-0005-0000-0000-0000F7150000}"/>
    <cellStyle name="Normal 4 4 7 3 2" xfId="14028" xr:uid="{57ECACDA-31BE-4EAC-8B1E-9FA38D35B233}"/>
    <cellStyle name="Normal 4 4 7 4" xfId="9810" xr:uid="{3942E485-7916-4BE0-90E1-D4F5B13CB6A5}"/>
    <cellStyle name="Normal 4 4 8" xfId="1684" xr:uid="{00000000-0005-0000-0000-0000F8150000}"/>
    <cellStyle name="Normal 4 4 8 2" xfId="3914" xr:uid="{00000000-0005-0000-0000-0000F9150000}"/>
    <cellStyle name="Normal 4 4 8 2 2" xfId="8136" xr:uid="{00000000-0005-0000-0000-0000FA150000}"/>
    <cellStyle name="Normal 4 4 8 2 2 2" xfId="16586" xr:uid="{71EA3602-D9A5-4AF4-B4E4-98BAE25899DC}"/>
    <cellStyle name="Normal 4 4 8 2 3" xfId="12368" xr:uid="{1A46B5EB-E5F7-4126-9208-3411765B07F0}"/>
    <cellStyle name="Normal 4 4 8 3" xfId="5991" xr:uid="{00000000-0005-0000-0000-0000FB150000}"/>
    <cellStyle name="Normal 4 4 8 3 2" xfId="14441" xr:uid="{27B34F38-8195-43FF-9B7C-6A30A9A195B3}"/>
    <cellStyle name="Normal 4 4 8 4" xfId="10223" xr:uid="{587A991E-43D4-4656-8813-DA647167C88B}"/>
    <cellStyle name="Normal 4 4 9" xfId="2098" xr:uid="{00000000-0005-0000-0000-0000FC150000}"/>
    <cellStyle name="Normal 4 4 9 2" xfId="4327" xr:uid="{00000000-0005-0000-0000-0000FD150000}"/>
    <cellStyle name="Normal 4 4 9 2 2" xfId="8549" xr:uid="{00000000-0005-0000-0000-0000FE150000}"/>
    <cellStyle name="Normal 4 4 9 2 2 2" xfId="16999" xr:uid="{2EC4E76D-F8CB-4C36-B75A-9A1A29A932DD}"/>
    <cellStyle name="Normal 4 4 9 2 3" xfId="12781" xr:uid="{060EA517-3DED-4737-B04F-E65597473B56}"/>
    <cellStyle name="Normal 4 4 9 3" xfId="6404" xr:uid="{00000000-0005-0000-0000-0000FF150000}"/>
    <cellStyle name="Normal 4 4 9 3 2" xfId="14854" xr:uid="{163249DE-4FD8-435E-97B1-AEF928FC991D}"/>
    <cellStyle name="Normal 4 4 9 4" xfId="10636" xr:uid="{780B35E5-8D81-4F7B-820D-6F14EC11271D}"/>
    <cellStyle name="Normal 4 5" xfId="394" xr:uid="{00000000-0005-0000-0000-000000160000}"/>
    <cellStyle name="Normal 4 6" xfId="395" xr:uid="{00000000-0005-0000-0000-000001160000}"/>
    <cellStyle name="Normal 4 6 10" xfId="4768" xr:uid="{00000000-0005-0000-0000-000002160000}"/>
    <cellStyle name="Normal 4 6 10 2" xfId="13218" xr:uid="{F5907DB7-B1B6-4FC7-8316-327A821437FE}"/>
    <cellStyle name="Normal 4 6 11" xfId="9000" xr:uid="{A0FEBEE8-17D9-446B-B3F5-68D45A63D723}"/>
    <cellStyle name="Normal 4 6 2" xfId="396" xr:uid="{00000000-0005-0000-0000-000003160000}"/>
    <cellStyle name="Normal 4 6 2 10" xfId="9001" xr:uid="{D997F8C7-CACA-44B2-977D-1BB71CDD93E4}"/>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3C98EAED-8EDE-41DF-A405-56A4A737399A}"/>
    <cellStyle name="Normal 4 6 2 2 2 2 2 3" xfId="11561" xr:uid="{7D936488-635E-451B-818B-2B1E77722188}"/>
    <cellStyle name="Normal 4 6 2 2 2 2 3" xfId="5184" xr:uid="{00000000-0005-0000-0000-000009160000}"/>
    <cellStyle name="Normal 4 6 2 2 2 2 3 2" xfId="13634" xr:uid="{90D84688-7DE2-4E1B-AFC1-809ADD2BC1F2}"/>
    <cellStyle name="Normal 4 6 2 2 2 2 4" xfId="9416" xr:uid="{311F0763-6AD5-46A8-87D5-4233FE190548}"/>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C8BEF59D-47E0-444B-ACDD-16B782EB913E}"/>
    <cellStyle name="Normal 4 6 2 2 2 3 2 3" xfId="11974" xr:uid="{D4F89CDB-E012-4CF5-91D7-BA216C2A48C5}"/>
    <cellStyle name="Normal 4 6 2 2 2 3 3" xfId="5597" xr:uid="{00000000-0005-0000-0000-00000D160000}"/>
    <cellStyle name="Normal 4 6 2 2 2 3 3 2" xfId="14047" xr:uid="{2536F4F0-9A0C-45BA-A0E1-9C29FFCF452F}"/>
    <cellStyle name="Normal 4 6 2 2 2 3 4" xfId="9829" xr:uid="{B406EAD7-082E-47D8-8CE8-A1B56B06C031}"/>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D3A94D77-64AE-4AB9-A0B6-7F11F153E49D}"/>
    <cellStyle name="Normal 4 6 2 2 2 4 2 3" xfId="12387" xr:uid="{2BE0D258-18D1-4C2F-BD2B-41A46A95D7CB}"/>
    <cellStyle name="Normal 4 6 2 2 2 4 3" xfId="6010" xr:uid="{00000000-0005-0000-0000-000011160000}"/>
    <cellStyle name="Normal 4 6 2 2 2 4 3 2" xfId="14460" xr:uid="{2059BA27-E284-4329-947D-5643C3DC06CF}"/>
    <cellStyle name="Normal 4 6 2 2 2 4 4" xfId="10242" xr:uid="{6498F6FF-7BDA-41F5-BF8F-344626B1400C}"/>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5B8A7E74-A1C9-4E08-A97A-4ACDA3076484}"/>
    <cellStyle name="Normal 4 6 2 2 2 5 2 3" xfId="12800" xr:uid="{3CC2213D-B84E-4EF6-9B11-1E0DDAD89456}"/>
    <cellStyle name="Normal 4 6 2 2 2 5 3" xfId="6423" xr:uid="{00000000-0005-0000-0000-000015160000}"/>
    <cellStyle name="Normal 4 6 2 2 2 5 3 2" xfId="14873" xr:uid="{16CA7879-78CB-4E12-8219-84686DE40C23}"/>
    <cellStyle name="Normal 4 6 2 2 2 5 4" xfId="10655" xr:uid="{3B00E295-2CC8-46BC-B2C6-E7B8B599EE3B}"/>
    <cellStyle name="Normal 4 6 2 2 2 6" xfId="2553" xr:uid="{00000000-0005-0000-0000-000016160000}"/>
    <cellStyle name="Normal 4 6 2 2 2 6 2" xfId="6836" xr:uid="{00000000-0005-0000-0000-000017160000}"/>
    <cellStyle name="Normal 4 6 2 2 2 6 2 2" xfId="15286" xr:uid="{56A452F7-0FC9-492A-B9DF-59980F24BB56}"/>
    <cellStyle name="Normal 4 6 2 2 2 6 3" xfId="11068" xr:uid="{B596AF91-6CF1-4E46-9136-E3072A981B92}"/>
    <cellStyle name="Normal 4 6 2 2 2 7" xfId="4771" xr:uid="{00000000-0005-0000-0000-000018160000}"/>
    <cellStyle name="Normal 4 6 2 2 2 7 2" xfId="13221" xr:uid="{3FA1A287-45C5-4CFC-9D1E-774847A5C38B}"/>
    <cellStyle name="Normal 4 6 2 2 2 8" xfId="9003" xr:uid="{CBF72EFD-9B51-47BA-99FB-94B2380F92FE}"/>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7641DF91-E4DF-407D-A67D-507A2931784E}"/>
    <cellStyle name="Normal 4 6 2 2 3 2 3" xfId="11560" xr:uid="{A58E7088-3E16-4AAE-8201-23983532FB02}"/>
    <cellStyle name="Normal 4 6 2 2 3 3" xfId="5183" xr:uid="{00000000-0005-0000-0000-00001C160000}"/>
    <cellStyle name="Normal 4 6 2 2 3 3 2" xfId="13633" xr:uid="{690093A8-C4BF-43E0-8A67-C3FB9DA77975}"/>
    <cellStyle name="Normal 4 6 2 2 3 4" xfId="9415" xr:uid="{27C732C0-A1F2-49DB-887F-2A22A305737D}"/>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EE4B8B3A-B226-4EFA-A339-2AC943DDB938}"/>
    <cellStyle name="Normal 4 6 2 2 4 2 3" xfId="11973" xr:uid="{A884E8D3-8454-4043-BB35-99EE2F2A636B}"/>
    <cellStyle name="Normal 4 6 2 2 4 3" xfId="5596" xr:uid="{00000000-0005-0000-0000-000020160000}"/>
    <cellStyle name="Normal 4 6 2 2 4 3 2" xfId="14046" xr:uid="{52BC3012-FD96-4490-9C48-03650D1EEBE6}"/>
    <cellStyle name="Normal 4 6 2 2 4 4" xfId="9828" xr:uid="{08D941C8-EBB9-429E-8BBE-8404AA5EE424}"/>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B6603713-136A-4768-AFF4-FB286F2A1016}"/>
    <cellStyle name="Normal 4 6 2 2 5 2 3" xfId="12386" xr:uid="{52E084DA-EB6A-4AC3-A9CC-9E46075153C4}"/>
    <cellStyle name="Normal 4 6 2 2 5 3" xfId="6009" xr:uid="{00000000-0005-0000-0000-000024160000}"/>
    <cellStyle name="Normal 4 6 2 2 5 3 2" xfId="14459" xr:uid="{15445407-1778-4BF4-88B7-ED65928884A7}"/>
    <cellStyle name="Normal 4 6 2 2 5 4" xfId="10241" xr:uid="{955B0BBB-496B-41C1-BCDB-FC5E0B153ED3}"/>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25E1984C-F03A-4E67-9030-6D970BC930A6}"/>
    <cellStyle name="Normal 4 6 2 2 6 2 3" xfId="12799" xr:uid="{A0EB7382-653C-4187-9509-A5A6FF883FFB}"/>
    <cellStyle name="Normal 4 6 2 2 6 3" xfId="6422" xr:uid="{00000000-0005-0000-0000-000028160000}"/>
    <cellStyle name="Normal 4 6 2 2 6 3 2" xfId="14872" xr:uid="{D225DBA5-9BFA-43F2-9A9D-F42A0002E6C6}"/>
    <cellStyle name="Normal 4 6 2 2 6 4" xfId="10654" xr:uid="{13415262-0E5E-45B1-BCA8-519A302819AA}"/>
    <cellStyle name="Normal 4 6 2 2 7" xfId="2552" xr:uid="{00000000-0005-0000-0000-000029160000}"/>
    <cellStyle name="Normal 4 6 2 2 7 2" xfId="6835" xr:uid="{00000000-0005-0000-0000-00002A160000}"/>
    <cellStyle name="Normal 4 6 2 2 7 2 2" xfId="15285" xr:uid="{7EC9639A-A24D-4CCD-843A-9E602AAFF6E1}"/>
    <cellStyle name="Normal 4 6 2 2 7 3" xfId="11067" xr:uid="{0CA9A922-8151-4964-B909-8FD938DAD6B2}"/>
    <cellStyle name="Normal 4 6 2 2 8" xfId="4770" xr:uid="{00000000-0005-0000-0000-00002B160000}"/>
    <cellStyle name="Normal 4 6 2 2 8 2" xfId="13220" xr:uid="{56519242-ED53-4DD5-81AD-63797A99370E}"/>
    <cellStyle name="Normal 4 6 2 2 9" xfId="9002" xr:uid="{E3EEEE6E-5688-4F6D-88BA-F6889A2771C2}"/>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7926F70C-0D93-41F4-99B4-B0976BE6AB48}"/>
    <cellStyle name="Normal 4 6 2 3 2 2 3" xfId="11562" xr:uid="{CBBF0447-ADC9-4621-9551-6EB80D87B314}"/>
    <cellStyle name="Normal 4 6 2 3 2 3" xfId="5185" xr:uid="{00000000-0005-0000-0000-000030160000}"/>
    <cellStyle name="Normal 4 6 2 3 2 3 2" xfId="13635" xr:uid="{A10C050C-F9B4-42F1-9F63-E525890339FD}"/>
    <cellStyle name="Normal 4 6 2 3 2 4" xfId="9417" xr:uid="{29B1BC50-63F5-425D-A780-7EB547D06D77}"/>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08A13951-0958-4C79-9300-DE01C83F9C1A}"/>
    <cellStyle name="Normal 4 6 2 3 3 2 3" xfId="11975" xr:uid="{376572C4-D8DD-4EC9-8CA7-94789EB8BC1B}"/>
    <cellStyle name="Normal 4 6 2 3 3 3" xfId="5598" xr:uid="{00000000-0005-0000-0000-000034160000}"/>
    <cellStyle name="Normal 4 6 2 3 3 3 2" xfId="14048" xr:uid="{A66DBAE6-B77F-44E6-AA9D-B856CE00AC2D}"/>
    <cellStyle name="Normal 4 6 2 3 3 4" xfId="9830" xr:uid="{F2289E8B-3A28-48C5-B484-543934B8C4C1}"/>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CDB459A6-0216-4AD9-A531-980C2F7FB341}"/>
    <cellStyle name="Normal 4 6 2 3 4 2 3" xfId="12388" xr:uid="{281CDD1B-0E4C-4D37-9B91-CD70A7C3173A}"/>
    <cellStyle name="Normal 4 6 2 3 4 3" xfId="6011" xr:uid="{00000000-0005-0000-0000-000038160000}"/>
    <cellStyle name="Normal 4 6 2 3 4 3 2" xfId="14461" xr:uid="{69AE7AEB-2FA9-4D51-B77D-5CF38F4909B4}"/>
    <cellStyle name="Normal 4 6 2 3 4 4" xfId="10243" xr:uid="{41AB9A7B-345D-4583-B79E-D97F74865EF1}"/>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BB2AF80E-E05D-449D-AD6F-553782AB62CF}"/>
    <cellStyle name="Normal 4 6 2 3 5 2 3" xfId="12801" xr:uid="{5D648462-F2A7-4C97-BE1C-AEA1A2141545}"/>
    <cellStyle name="Normal 4 6 2 3 5 3" xfId="6424" xr:uid="{00000000-0005-0000-0000-00003C160000}"/>
    <cellStyle name="Normal 4 6 2 3 5 3 2" xfId="14874" xr:uid="{911272E8-7D54-4691-ABAA-C0BC52DE6F52}"/>
    <cellStyle name="Normal 4 6 2 3 5 4" xfId="10656" xr:uid="{20E27E24-BA55-4D06-A2B9-0F62DC179FB6}"/>
    <cellStyle name="Normal 4 6 2 3 6" xfId="2554" xr:uid="{00000000-0005-0000-0000-00003D160000}"/>
    <cellStyle name="Normal 4 6 2 3 6 2" xfId="6837" xr:uid="{00000000-0005-0000-0000-00003E160000}"/>
    <cellStyle name="Normal 4 6 2 3 6 2 2" xfId="15287" xr:uid="{F74A91C6-C3B1-4608-A4A2-CE830F152688}"/>
    <cellStyle name="Normal 4 6 2 3 6 3" xfId="11069" xr:uid="{5182BBD2-5BFF-4643-BA51-9724CA71BE5A}"/>
    <cellStyle name="Normal 4 6 2 3 7" xfId="4772" xr:uid="{00000000-0005-0000-0000-00003F160000}"/>
    <cellStyle name="Normal 4 6 2 3 7 2" xfId="13222" xr:uid="{27F2B0F3-ACC1-499E-B883-4A65C4393359}"/>
    <cellStyle name="Normal 4 6 2 3 8" xfId="9004" xr:uid="{44117714-DD3C-458B-B604-694FAFEDC3A1}"/>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1B8372A7-A549-42FE-8EA9-C2998A837830}"/>
    <cellStyle name="Normal 4 6 2 4 2 3" xfId="11559" xr:uid="{4A66EEFF-1AC3-42CF-8848-D5509F733ED9}"/>
    <cellStyle name="Normal 4 6 2 4 3" xfId="5182" xr:uid="{00000000-0005-0000-0000-000043160000}"/>
    <cellStyle name="Normal 4 6 2 4 3 2" xfId="13632" xr:uid="{A73090F1-054A-43DB-A504-B5021799933C}"/>
    <cellStyle name="Normal 4 6 2 4 4" xfId="9414" xr:uid="{2AFB8B44-DC34-4762-9DEE-FDF0138E55E2}"/>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B443BC57-F006-4488-B8C0-FD0C8937BDAC}"/>
    <cellStyle name="Normal 4 6 2 5 2 3" xfId="11972" xr:uid="{9C41F37E-29EE-4AD2-B817-CB8FA4B0021F}"/>
    <cellStyle name="Normal 4 6 2 5 3" xfId="5595" xr:uid="{00000000-0005-0000-0000-000047160000}"/>
    <cellStyle name="Normal 4 6 2 5 3 2" xfId="14045" xr:uid="{39014B5C-0F1C-43ED-A42D-22293E99208C}"/>
    <cellStyle name="Normal 4 6 2 5 4" xfId="9827" xr:uid="{B4A1CAAC-0339-4C22-B9E6-FBE4F085E173}"/>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3CE35242-B738-4BA0-9514-A938554E47DB}"/>
    <cellStyle name="Normal 4 6 2 6 2 3" xfId="12385" xr:uid="{046F43F8-5E9B-43BF-95E7-170EC80A9983}"/>
    <cellStyle name="Normal 4 6 2 6 3" xfId="6008" xr:uid="{00000000-0005-0000-0000-00004B160000}"/>
    <cellStyle name="Normal 4 6 2 6 3 2" xfId="14458" xr:uid="{7FADC89A-F549-4929-8379-10CF466F7E17}"/>
    <cellStyle name="Normal 4 6 2 6 4" xfId="10240" xr:uid="{BDE23ED7-276F-4BAB-8555-35C8AFB140D6}"/>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1447FA14-3D03-4F1A-B65B-87EEF309D8DB}"/>
    <cellStyle name="Normal 4 6 2 7 2 3" xfId="12798" xr:uid="{7CC4D062-B46C-43B3-9707-45CA9A49B2BE}"/>
    <cellStyle name="Normal 4 6 2 7 3" xfId="6421" xr:uid="{00000000-0005-0000-0000-00004F160000}"/>
    <cellStyle name="Normal 4 6 2 7 3 2" xfId="14871" xr:uid="{FAE6EF27-7433-4A17-BCA3-EB43DC121F5E}"/>
    <cellStyle name="Normal 4 6 2 7 4" xfId="10653" xr:uid="{92D8C3B5-D48A-4A7B-B6FF-E3257E20BF03}"/>
    <cellStyle name="Normal 4 6 2 8" xfId="2551" xr:uid="{00000000-0005-0000-0000-000050160000}"/>
    <cellStyle name="Normal 4 6 2 8 2" xfId="6834" xr:uid="{00000000-0005-0000-0000-000051160000}"/>
    <cellStyle name="Normal 4 6 2 8 2 2" xfId="15284" xr:uid="{0C522953-B006-4742-B97E-8D96BF13E102}"/>
    <cellStyle name="Normal 4 6 2 8 3" xfId="11066" xr:uid="{9ADE501D-6FA2-4C66-8630-AF3022788C91}"/>
    <cellStyle name="Normal 4 6 2 9" xfId="4769" xr:uid="{00000000-0005-0000-0000-000052160000}"/>
    <cellStyle name="Normal 4 6 2 9 2" xfId="13219" xr:uid="{3675BE5D-A314-420C-AAF3-5523C5F36ED3}"/>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551D3D04-1FC7-47CC-A501-F9439E251348}"/>
    <cellStyle name="Normal 4 6 3 2 2 2 3" xfId="11564" xr:uid="{49E8B29A-FE3A-45AD-BA1C-1CCA05EE2652}"/>
    <cellStyle name="Normal 4 6 3 2 2 3" xfId="5187" xr:uid="{00000000-0005-0000-0000-000058160000}"/>
    <cellStyle name="Normal 4 6 3 2 2 3 2" xfId="13637" xr:uid="{5169037D-C571-489D-A607-DC13A974C5E4}"/>
    <cellStyle name="Normal 4 6 3 2 2 4" xfId="9419" xr:uid="{C97BC510-2556-4811-AC15-88E285BCEB30}"/>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C16730DC-8BBB-4223-8E95-9507273D6CE7}"/>
    <cellStyle name="Normal 4 6 3 2 3 2 3" xfId="11977" xr:uid="{A9C4CFFE-82CA-4983-9BFB-B7AF8D10FDC5}"/>
    <cellStyle name="Normal 4 6 3 2 3 3" xfId="5600" xr:uid="{00000000-0005-0000-0000-00005C160000}"/>
    <cellStyle name="Normal 4 6 3 2 3 3 2" xfId="14050" xr:uid="{E80A9CFF-437E-4A27-9FD0-112D65C31877}"/>
    <cellStyle name="Normal 4 6 3 2 3 4" xfId="9832" xr:uid="{B3DEFB47-F3DA-4A8D-AF3E-104AF3BEE389}"/>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A85E21D2-F35C-4E01-8743-6765EFAE7AEC}"/>
    <cellStyle name="Normal 4 6 3 2 4 2 3" xfId="12390" xr:uid="{A4D55AF0-E2A3-48B4-9D1F-305C93CE786C}"/>
    <cellStyle name="Normal 4 6 3 2 4 3" xfId="6013" xr:uid="{00000000-0005-0000-0000-000060160000}"/>
    <cellStyle name="Normal 4 6 3 2 4 3 2" xfId="14463" xr:uid="{480BE1B5-2635-460F-93EF-FE516CABA115}"/>
    <cellStyle name="Normal 4 6 3 2 4 4" xfId="10245" xr:uid="{1FC75C56-1E18-42A4-9235-20B4E9B6C7DA}"/>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A65433E7-06E1-4EF0-A5ED-0B31C4AA38F3}"/>
    <cellStyle name="Normal 4 6 3 2 5 2 3" xfId="12803" xr:uid="{030774F7-361A-44CF-9657-C24DE4BBAACC}"/>
    <cellStyle name="Normal 4 6 3 2 5 3" xfId="6426" xr:uid="{00000000-0005-0000-0000-000064160000}"/>
    <cellStyle name="Normal 4 6 3 2 5 3 2" xfId="14876" xr:uid="{18A16022-F1F6-44A1-B7B4-4385502AA631}"/>
    <cellStyle name="Normal 4 6 3 2 5 4" xfId="10658" xr:uid="{8D9E9963-4380-4F72-BE8B-E38A5373EFDE}"/>
    <cellStyle name="Normal 4 6 3 2 6" xfId="2556" xr:uid="{00000000-0005-0000-0000-000065160000}"/>
    <cellStyle name="Normal 4 6 3 2 6 2" xfId="6839" xr:uid="{00000000-0005-0000-0000-000066160000}"/>
    <cellStyle name="Normal 4 6 3 2 6 2 2" xfId="15289" xr:uid="{4275944E-9D99-4464-A2A1-11EB57E60E43}"/>
    <cellStyle name="Normal 4 6 3 2 6 3" xfId="11071" xr:uid="{93E696C8-CA0C-4E2C-BEE6-917F1BB972DB}"/>
    <cellStyle name="Normal 4 6 3 2 7" xfId="4774" xr:uid="{00000000-0005-0000-0000-000067160000}"/>
    <cellStyle name="Normal 4 6 3 2 7 2" xfId="13224" xr:uid="{14355BCE-F9A3-4292-B787-E88B3AA5AE02}"/>
    <cellStyle name="Normal 4 6 3 2 8" xfId="9006" xr:uid="{7918B4FB-505D-4475-A46E-9BEC9DC565FB}"/>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68153911-42FD-4E1B-B821-29512AABA843}"/>
    <cellStyle name="Normal 4 6 3 3 2 3" xfId="11563" xr:uid="{23A8EA31-9F9B-46CA-B752-C9211E18BEAF}"/>
    <cellStyle name="Normal 4 6 3 3 3" xfId="5186" xr:uid="{00000000-0005-0000-0000-00006B160000}"/>
    <cellStyle name="Normal 4 6 3 3 3 2" xfId="13636" xr:uid="{0DDC0F00-935A-40E8-BDFF-B9D80B59FE1B}"/>
    <cellStyle name="Normal 4 6 3 3 4" xfId="9418" xr:uid="{FA10FBAB-368E-4C2F-81D1-4CA0D6EF5C01}"/>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D7B0711E-5822-44C6-9EC6-49CA1AB1FF33}"/>
    <cellStyle name="Normal 4 6 3 4 2 3" xfId="11976" xr:uid="{23A63B29-403B-4C6D-88EE-63E7866C60D6}"/>
    <cellStyle name="Normal 4 6 3 4 3" xfId="5599" xr:uid="{00000000-0005-0000-0000-00006F160000}"/>
    <cellStyle name="Normal 4 6 3 4 3 2" xfId="14049" xr:uid="{28068552-01DA-42C6-9FE3-D429005A1E49}"/>
    <cellStyle name="Normal 4 6 3 4 4" xfId="9831" xr:uid="{614E0E0A-0F6A-40EC-BDD8-679B361EF471}"/>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95E446E5-35EF-4D3A-8A07-83BEAAC810C9}"/>
    <cellStyle name="Normal 4 6 3 5 2 3" xfId="12389" xr:uid="{387B1597-94AC-4A76-B00F-5EA9DF1868A0}"/>
    <cellStyle name="Normal 4 6 3 5 3" xfId="6012" xr:uid="{00000000-0005-0000-0000-000073160000}"/>
    <cellStyle name="Normal 4 6 3 5 3 2" xfId="14462" xr:uid="{BCC8D613-85DE-4ECF-8A42-1F41C8B52DDD}"/>
    <cellStyle name="Normal 4 6 3 5 4" xfId="10244" xr:uid="{F1E46975-0205-4CD1-94E7-54A16C522DE7}"/>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27417E55-A834-4DD4-BDDE-9E0CE9956DB0}"/>
    <cellStyle name="Normal 4 6 3 6 2 3" xfId="12802" xr:uid="{30A0634C-8080-4F80-AA71-E36439BF774D}"/>
    <cellStyle name="Normal 4 6 3 6 3" xfId="6425" xr:uid="{00000000-0005-0000-0000-000077160000}"/>
    <cellStyle name="Normal 4 6 3 6 3 2" xfId="14875" xr:uid="{C2257856-ECA9-498B-9D9E-BB9223497DC3}"/>
    <cellStyle name="Normal 4 6 3 6 4" xfId="10657" xr:uid="{A6C150F2-2CDE-4720-8518-F3F7E27F11A2}"/>
    <cellStyle name="Normal 4 6 3 7" xfId="2555" xr:uid="{00000000-0005-0000-0000-000078160000}"/>
    <cellStyle name="Normal 4 6 3 7 2" xfId="6838" xr:uid="{00000000-0005-0000-0000-000079160000}"/>
    <cellStyle name="Normal 4 6 3 7 2 2" xfId="15288" xr:uid="{E25BC125-677D-4575-80D5-10BDE32AC139}"/>
    <cellStyle name="Normal 4 6 3 7 3" xfId="11070" xr:uid="{9C320E22-A761-4E5A-B724-63FDF4F16483}"/>
    <cellStyle name="Normal 4 6 3 8" xfId="4773" xr:uid="{00000000-0005-0000-0000-00007A160000}"/>
    <cellStyle name="Normal 4 6 3 8 2" xfId="13223" xr:uid="{1C0FD503-6F18-45EF-8C6F-ACF9AE010B05}"/>
    <cellStyle name="Normal 4 6 3 9" xfId="9005" xr:uid="{7B090B8E-83DB-4E7D-9408-B14513CE613A}"/>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DC54C29E-B51C-45FF-A71C-73FF7ACA3249}"/>
    <cellStyle name="Normal 4 6 4 2 2 3" xfId="11565" xr:uid="{7C4A3618-5F1C-483F-BF95-6999BBB037FB}"/>
    <cellStyle name="Normal 4 6 4 2 3" xfId="5188" xr:uid="{00000000-0005-0000-0000-00007F160000}"/>
    <cellStyle name="Normal 4 6 4 2 3 2" xfId="13638" xr:uid="{FC9B05B6-645A-4D94-87DC-C79EB69BCC9D}"/>
    <cellStyle name="Normal 4 6 4 2 4" xfId="9420" xr:uid="{11C09C09-F6BA-4E20-857B-9CFA7B62E89D}"/>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5E5E7393-43BA-4BDF-8BA1-D6139B68F395}"/>
    <cellStyle name="Normal 4 6 4 3 2 3" xfId="11978" xr:uid="{C8B5DFAD-9C1F-4BD1-BFC8-388931B7A9B3}"/>
    <cellStyle name="Normal 4 6 4 3 3" xfId="5601" xr:uid="{00000000-0005-0000-0000-000083160000}"/>
    <cellStyle name="Normal 4 6 4 3 3 2" xfId="14051" xr:uid="{3374B1A2-2291-4369-B8AC-99D91229778C}"/>
    <cellStyle name="Normal 4 6 4 3 4" xfId="9833" xr:uid="{F26F8CD3-10D8-4F30-A64A-8E086F17C2A5}"/>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438B60C4-BABE-40D5-8B70-81752B50B964}"/>
    <cellStyle name="Normal 4 6 4 4 2 3" xfId="12391" xr:uid="{6C8777AB-70F3-47F6-80B2-060D2315B2DB}"/>
    <cellStyle name="Normal 4 6 4 4 3" xfId="6014" xr:uid="{00000000-0005-0000-0000-000087160000}"/>
    <cellStyle name="Normal 4 6 4 4 3 2" xfId="14464" xr:uid="{37C3B2B8-5307-4A62-8765-08574E5A0327}"/>
    <cellStyle name="Normal 4 6 4 4 4" xfId="10246" xr:uid="{5D012DBB-6C34-4F80-9E53-A8190DB099FE}"/>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15E3DAA9-B416-4097-B186-EC02614C0F3A}"/>
    <cellStyle name="Normal 4 6 4 5 2 3" xfId="12804" xr:uid="{6F1D61F8-FD09-42EB-8082-C798B503CDBB}"/>
    <cellStyle name="Normal 4 6 4 5 3" xfId="6427" xr:uid="{00000000-0005-0000-0000-00008B160000}"/>
    <cellStyle name="Normal 4 6 4 5 3 2" xfId="14877" xr:uid="{2C5B73AD-D795-416E-9623-A16356967E78}"/>
    <cellStyle name="Normal 4 6 4 5 4" xfId="10659" xr:uid="{A2810B91-D02C-4C51-B2E1-67741A67256B}"/>
    <cellStyle name="Normal 4 6 4 6" xfId="2557" xr:uid="{00000000-0005-0000-0000-00008C160000}"/>
    <cellStyle name="Normal 4 6 4 6 2" xfId="6840" xr:uid="{00000000-0005-0000-0000-00008D160000}"/>
    <cellStyle name="Normal 4 6 4 6 2 2" xfId="15290" xr:uid="{207241CA-2E27-4B26-8127-30D131461EE9}"/>
    <cellStyle name="Normal 4 6 4 6 3" xfId="11072" xr:uid="{48FC3A4F-1CAD-4556-B278-9ABB3D6B7893}"/>
    <cellStyle name="Normal 4 6 4 7" xfId="4775" xr:uid="{00000000-0005-0000-0000-00008E160000}"/>
    <cellStyle name="Normal 4 6 4 7 2" xfId="13225" xr:uid="{4B9E5858-26F7-4D04-AF2E-0C8BD347BE40}"/>
    <cellStyle name="Normal 4 6 4 8" xfId="9007" xr:uid="{B16786E9-BCF9-49F8-87A8-5053725E52D4}"/>
    <cellStyle name="Normal 4 6 5" xfId="869" xr:uid="{00000000-0005-0000-0000-00008F160000}"/>
    <cellStyle name="Normal 4 6 5 2" xfId="3104" xr:uid="{00000000-0005-0000-0000-000090160000}"/>
    <cellStyle name="Normal 4 6 5 2 2" xfId="7326" xr:uid="{00000000-0005-0000-0000-000091160000}"/>
    <cellStyle name="Normal 4 6 5 2 2 2" xfId="15776" xr:uid="{F44FC7C9-0619-4B0D-B51D-32778E427E73}"/>
    <cellStyle name="Normal 4 6 5 2 3" xfId="11558" xr:uid="{64339041-5895-4396-BD03-151B61245868}"/>
    <cellStyle name="Normal 4 6 5 3" xfId="5181" xr:uid="{00000000-0005-0000-0000-000092160000}"/>
    <cellStyle name="Normal 4 6 5 3 2" xfId="13631" xr:uid="{C8F1F3AB-1111-4A74-82DA-D36CC0AB7342}"/>
    <cellStyle name="Normal 4 6 5 4" xfId="9413" xr:uid="{E6E0CF52-4A38-476B-A59C-84F848BE02F0}"/>
    <cellStyle name="Normal 4 6 6" xfId="1287" xr:uid="{00000000-0005-0000-0000-000093160000}"/>
    <cellStyle name="Normal 4 6 6 2" xfId="3517" xr:uid="{00000000-0005-0000-0000-000094160000}"/>
    <cellStyle name="Normal 4 6 6 2 2" xfId="7739" xr:uid="{00000000-0005-0000-0000-000095160000}"/>
    <cellStyle name="Normal 4 6 6 2 2 2" xfId="16189" xr:uid="{273759C7-94D2-4515-95EF-92A5CA7F9375}"/>
    <cellStyle name="Normal 4 6 6 2 3" xfId="11971" xr:uid="{5D5B46CA-C83E-4704-B638-6C3E198F3DAB}"/>
    <cellStyle name="Normal 4 6 6 3" xfId="5594" xr:uid="{00000000-0005-0000-0000-000096160000}"/>
    <cellStyle name="Normal 4 6 6 3 2" xfId="14044" xr:uid="{1D037420-7745-4C0C-8977-02E48274960D}"/>
    <cellStyle name="Normal 4 6 6 4" xfId="9826" xr:uid="{85802624-2D92-4686-BB6B-F82818EBB280}"/>
    <cellStyle name="Normal 4 6 7" xfId="1700" xr:uid="{00000000-0005-0000-0000-000097160000}"/>
    <cellStyle name="Normal 4 6 7 2" xfId="3930" xr:uid="{00000000-0005-0000-0000-000098160000}"/>
    <cellStyle name="Normal 4 6 7 2 2" xfId="8152" xr:uid="{00000000-0005-0000-0000-000099160000}"/>
    <cellStyle name="Normal 4 6 7 2 2 2" xfId="16602" xr:uid="{2E1C0631-49FC-4C28-9E90-94B57DE5C097}"/>
    <cellStyle name="Normal 4 6 7 2 3" xfId="12384" xr:uid="{B200F056-B60F-4945-A6E6-F5788148AF91}"/>
    <cellStyle name="Normal 4 6 7 3" xfId="6007" xr:uid="{00000000-0005-0000-0000-00009A160000}"/>
    <cellStyle name="Normal 4 6 7 3 2" xfId="14457" xr:uid="{B3B022F3-5CF8-48AF-9A69-B3F5EEFE2A0A}"/>
    <cellStyle name="Normal 4 6 7 4" xfId="10239" xr:uid="{124ACC93-7451-47B9-A1B2-60D94FF018D8}"/>
    <cellStyle name="Normal 4 6 8" xfId="2114" xr:uid="{00000000-0005-0000-0000-00009B160000}"/>
    <cellStyle name="Normal 4 6 8 2" xfId="4343" xr:uid="{00000000-0005-0000-0000-00009C160000}"/>
    <cellStyle name="Normal 4 6 8 2 2" xfId="8565" xr:uid="{00000000-0005-0000-0000-00009D160000}"/>
    <cellStyle name="Normal 4 6 8 2 2 2" xfId="17015" xr:uid="{04591A82-69DF-457F-BA45-9BBBB3FD9655}"/>
    <cellStyle name="Normal 4 6 8 2 3" xfId="12797" xr:uid="{67A45EAD-78A8-44F9-AD4F-7B911CA6A774}"/>
    <cellStyle name="Normal 4 6 8 3" xfId="6420" xr:uid="{00000000-0005-0000-0000-00009E160000}"/>
    <cellStyle name="Normal 4 6 8 3 2" xfId="14870" xr:uid="{623DC4B7-A275-4A00-8BEA-19F7B0512E9E}"/>
    <cellStyle name="Normal 4 6 8 4" xfId="10652" xr:uid="{AB2FE737-857F-4EE3-80BF-066A246774D6}"/>
    <cellStyle name="Normal 4 6 9" xfId="2550" xr:uid="{00000000-0005-0000-0000-00009F160000}"/>
    <cellStyle name="Normal 4 6 9 2" xfId="6833" xr:uid="{00000000-0005-0000-0000-0000A0160000}"/>
    <cellStyle name="Normal 4 6 9 2 2" xfId="15283" xr:uid="{AA0F74C2-2B96-4190-AC49-7962131602E9}"/>
    <cellStyle name="Normal 4 6 9 3" xfId="11065" xr:uid="{F8CC6B35-8140-48BA-85FB-B60DE1904C4A}"/>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EBD2FDB4-E9A0-42F8-A3CB-6BE13D2B435A}"/>
    <cellStyle name="Normal 4 7 2 2 2 3" xfId="11567" xr:uid="{7CFB63FA-ABEC-4EDD-AB5F-FADACAD254FD}"/>
    <cellStyle name="Normal 4 7 2 2 3" xfId="5190" xr:uid="{00000000-0005-0000-0000-0000A6160000}"/>
    <cellStyle name="Normal 4 7 2 2 3 2" xfId="13640" xr:uid="{654EA72B-6FD6-4AAD-82D1-A9F97197E474}"/>
    <cellStyle name="Normal 4 7 2 2 4" xfId="9422" xr:uid="{85B26E32-A4EA-4210-9F21-ED3686C2D886}"/>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D46AB6DF-D008-4B9C-A589-DF16FEAFD638}"/>
    <cellStyle name="Normal 4 7 2 3 2 3" xfId="11980" xr:uid="{142825EE-2ED4-44EE-A063-E80F219C7F1E}"/>
    <cellStyle name="Normal 4 7 2 3 3" xfId="5603" xr:uid="{00000000-0005-0000-0000-0000AA160000}"/>
    <cellStyle name="Normal 4 7 2 3 3 2" xfId="14053" xr:uid="{4EDDF9D8-BB2D-40C2-B035-91B65CBDAFBA}"/>
    <cellStyle name="Normal 4 7 2 3 4" xfId="9835" xr:uid="{15E7B909-23E5-4A6A-9CCF-7C7874C4E3AE}"/>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67F5307A-5FBD-4903-ACA3-937D34F0DEAE}"/>
    <cellStyle name="Normal 4 7 2 4 2 3" xfId="12393" xr:uid="{014A7739-A0AE-4B5D-B79F-1F3BDA6E62FC}"/>
    <cellStyle name="Normal 4 7 2 4 3" xfId="6016" xr:uid="{00000000-0005-0000-0000-0000AE160000}"/>
    <cellStyle name="Normal 4 7 2 4 3 2" xfId="14466" xr:uid="{00ABE526-3511-4D78-A9CA-77207871CD6E}"/>
    <cellStyle name="Normal 4 7 2 4 4" xfId="10248" xr:uid="{1C693C92-F6B0-40D4-825D-21716FBEF39D}"/>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2063DEC4-AB41-4F74-85D0-6CA4C5EBDEC9}"/>
    <cellStyle name="Normal 4 7 2 5 2 3" xfId="12806" xr:uid="{F172BF20-D528-4428-AC4C-9DFBB4324B94}"/>
    <cellStyle name="Normal 4 7 2 5 3" xfId="6429" xr:uid="{00000000-0005-0000-0000-0000B2160000}"/>
    <cellStyle name="Normal 4 7 2 5 3 2" xfId="14879" xr:uid="{C3169C14-4E3A-479D-9339-1B2E5D84A03B}"/>
    <cellStyle name="Normal 4 7 2 5 4" xfId="10661" xr:uid="{F692B2E7-E2E8-4786-9074-181B4F0D9FB1}"/>
    <cellStyle name="Normal 4 7 2 6" xfId="2559" xr:uid="{00000000-0005-0000-0000-0000B3160000}"/>
    <cellStyle name="Normal 4 7 2 6 2" xfId="6842" xr:uid="{00000000-0005-0000-0000-0000B4160000}"/>
    <cellStyle name="Normal 4 7 2 6 2 2" xfId="15292" xr:uid="{D12DE22C-914A-44BB-AD55-20F46875C21D}"/>
    <cellStyle name="Normal 4 7 2 6 3" xfId="11074" xr:uid="{B6632428-5007-4ACF-A022-4C48BD5E0D29}"/>
    <cellStyle name="Normal 4 7 2 7" xfId="4777" xr:uid="{00000000-0005-0000-0000-0000B5160000}"/>
    <cellStyle name="Normal 4 7 2 7 2" xfId="13227" xr:uid="{D8EF127F-24E7-40AE-8B5C-91E355D12A06}"/>
    <cellStyle name="Normal 4 7 2 8" xfId="9009" xr:uid="{F48198C3-CCCB-4F8D-BA91-A7EEB416E468}"/>
    <cellStyle name="Normal 4 7 3" xfId="877" xr:uid="{00000000-0005-0000-0000-0000B6160000}"/>
    <cellStyle name="Normal 4 7 3 2" xfId="3112" xr:uid="{00000000-0005-0000-0000-0000B7160000}"/>
    <cellStyle name="Normal 4 7 3 2 2" xfId="7334" xr:uid="{00000000-0005-0000-0000-0000B8160000}"/>
    <cellStyle name="Normal 4 7 3 2 2 2" xfId="15784" xr:uid="{2080F7FA-0258-4CE4-B3A0-7388B06FE9F2}"/>
    <cellStyle name="Normal 4 7 3 2 3" xfId="11566" xr:uid="{092FF057-2379-44CF-B7D0-D77565230425}"/>
    <cellStyle name="Normal 4 7 3 3" xfId="5189" xr:uid="{00000000-0005-0000-0000-0000B9160000}"/>
    <cellStyle name="Normal 4 7 3 3 2" xfId="13639" xr:uid="{317B03E4-754A-4C09-A9E4-623D4862965D}"/>
    <cellStyle name="Normal 4 7 3 4" xfId="9421" xr:uid="{A9FA42DE-B68C-405E-B556-5C71E7B1E20C}"/>
    <cellStyle name="Normal 4 7 4" xfId="1295" xr:uid="{00000000-0005-0000-0000-0000BA160000}"/>
    <cellStyle name="Normal 4 7 4 2" xfId="3525" xr:uid="{00000000-0005-0000-0000-0000BB160000}"/>
    <cellStyle name="Normal 4 7 4 2 2" xfId="7747" xr:uid="{00000000-0005-0000-0000-0000BC160000}"/>
    <cellStyle name="Normal 4 7 4 2 2 2" xfId="16197" xr:uid="{5181C503-A33F-4EFD-A6B4-58B0E266E0EE}"/>
    <cellStyle name="Normal 4 7 4 2 3" xfId="11979" xr:uid="{BC455834-B4CF-45A3-9874-22AECBCAFF66}"/>
    <cellStyle name="Normal 4 7 4 3" xfId="5602" xr:uid="{00000000-0005-0000-0000-0000BD160000}"/>
    <cellStyle name="Normal 4 7 4 3 2" xfId="14052" xr:uid="{8CE01C1F-8942-4FB7-B87D-BA8A180F18F5}"/>
    <cellStyle name="Normal 4 7 4 4" xfId="9834" xr:uid="{2AC5F633-1CDB-4255-8E0D-FF1C628C720B}"/>
    <cellStyle name="Normal 4 7 5" xfId="1708" xr:uid="{00000000-0005-0000-0000-0000BE160000}"/>
    <cellStyle name="Normal 4 7 5 2" xfId="3938" xr:uid="{00000000-0005-0000-0000-0000BF160000}"/>
    <cellStyle name="Normal 4 7 5 2 2" xfId="8160" xr:uid="{00000000-0005-0000-0000-0000C0160000}"/>
    <cellStyle name="Normal 4 7 5 2 2 2" xfId="16610" xr:uid="{54E767EF-E9EE-4D6D-96D9-7165D0DF4B5A}"/>
    <cellStyle name="Normal 4 7 5 2 3" xfId="12392" xr:uid="{5A3A234B-A8EF-4757-A2D4-DCDC8EC000BC}"/>
    <cellStyle name="Normal 4 7 5 3" xfId="6015" xr:uid="{00000000-0005-0000-0000-0000C1160000}"/>
    <cellStyle name="Normal 4 7 5 3 2" xfId="14465" xr:uid="{B1E8A2CA-BB42-404F-ABB0-B5D2CD5F805B}"/>
    <cellStyle name="Normal 4 7 5 4" xfId="10247" xr:uid="{2058FF09-7689-4D84-8A3E-741694C12EB6}"/>
    <cellStyle name="Normal 4 7 6" xfId="2122" xr:uid="{00000000-0005-0000-0000-0000C2160000}"/>
    <cellStyle name="Normal 4 7 6 2" xfId="4351" xr:uid="{00000000-0005-0000-0000-0000C3160000}"/>
    <cellStyle name="Normal 4 7 6 2 2" xfId="8573" xr:uid="{00000000-0005-0000-0000-0000C4160000}"/>
    <cellStyle name="Normal 4 7 6 2 2 2" xfId="17023" xr:uid="{7B371E1F-431A-4CF4-94FE-E5C8A9C872C5}"/>
    <cellStyle name="Normal 4 7 6 2 3" xfId="12805" xr:uid="{C4B525DC-E044-4A8E-90E7-F5FFF117175E}"/>
    <cellStyle name="Normal 4 7 6 3" xfId="6428" xr:uid="{00000000-0005-0000-0000-0000C5160000}"/>
    <cellStyle name="Normal 4 7 6 3 2" xfId="14878" xr:uid="{A46D5244-1CE4-4C77-8EF3-BEBE41F0F9FB}"/>
    <cellStyle name="Normal 4 7 6 4" xfId="10660" xr:uid="{0C43AD14-F27C-4985-BFF8-1A7C195B376F}"/>
    <cellStyle name="Normal 4 7 7" xfId="2558" xr:uid="{00000000-0005-0000-0000-0000C6160000}"/>
    <cellStyle name="Normal 4 7 7 2" xfId="6841" xr:uid="{00000000-0005-0000-0000-0000C7160000}"/>
    <cellStyle name="Normal 4 7 7 2 2" xfId="15291" xr:uid="{E5408F4B-7F21-4CEC-9207-6D54F387AA28}"/>
    <cellStyle name="Normal 4 7 7 3" xfId="11073" xr:uid="{47672E41-6EF1-4099-B407-E6036B7173F0}"/>
    <cellStyle name="Normal 4 7 8" xfId="4776" xr:uid="{00000000-0005-0000-0000-0000C8160000}"/>
    <cellStyle name="Normal 4 7 8 2" xfId="13226" xr:uid="{EBDF80C9-7014-424E-A251-1F80BC7D4975}"/>
    <cellStyle name="Normal 4 7 9" xfId="9008" xr:uid="{D9A9FD27-4D76-459E-9D27-F03FEAF77B5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64BBCBB4-D37D-4528-A9E2-2373CD3DCFAF}"/>
    <cellStyle name="Normal 4 8 2 2 3" xfId="11568" xr:uid="{B00422CC-8A78-423D-AFEA-334512773872}"/>
    <cellStyle name="Normal 4 8 2 3" xfId="5191" xr:uid="{00000000-0005-0000-0000-0000CD160000}"/>
    <cellStyle name="Normal 4 8 2 3 2" xfId="13641" xr:uid="{1A92AFF9-46AE-48E1-B977-44B12E5147CB}"/>
    <cellStyle name="Normal 4 8 2 4" xfId="9423" xr:uid="{0CF88C15-B933-43EF-AA52-82220D53400A}"/>
    <cellStyle name="Normal 4 8 3" xfId="1297" xr:uid="{00000000-0005-0000-0000-0000CE160000}"/>
    <cellStyle name="Normal 4 8 3 2" xfId="3527" xr:uid="{00000000-0005-0000-0000-0000CF160000}"/>
    <cellStyle name="Normal 4 8 3 2 2" xfId="7749" xr:uid="{00000000-0005-0000-0000-0000D0160000}"/>
    <cellStyle name="Normal 4 8 3 2 2 2" xfId="16199" xr:uid="{DD379D58-8B5E-4EDF-BE70-D423C99BB902}"/>
    <cellStyle name="Normal 4 8 3 2 3" xfId="11981" xr:uid="{09175130-96DE-47C8-982D-47C2610B2A81}"/>
    <cellStyle name="Normal 4 8 3 3" xfId="5604" xr:uid="{00000000-0005-0000-0000-0000D1160000}"/>
    <cellStyle name="Normal 4 8 3 3 2" xfId="14054" xr:uid="{AAFAAB10-6988-4E41-B889-846655ADBDE5}"/>
    <cellStyle name="Normal 4 8 3 4" xfId="9836" xr:uid="{9DB23782-DCBA-482A-A8CB-83BE721A6EBC}"/>
    <cellStyle name="Normal 4 8 4" xfId="1710" xr:uid="{00000000-0005-0000-0000-0000D2160000}"/>
    <cellStyle name="Normal 4 8 4 2" xfId="3940" xr:uid="{00000000-0005-0000-0000-0000D3160000}"/>
    <cellStyle name="Normal 4 8 4 2 2" xfId="8162" xr:uid="{00000000-0005-0000-0000-0000D4160000}"/>
    <cellStyle name="Normal 4 8 4 2 2 2" xfId="16612" xr:uid="{7E1708E3-81A5-430A-A1AD-C6AC29200CF9}"/>
    <cellStyle name="Normal 4 8 4 2 3" xfId="12394" xr:uid="{8C6DAA6B-BF7B-43C7-B109-ED97AE9D67BE}"/>
    <cellStyle name="Normal 4 8 4 3" xfId="6017" xr:uid="{00000000-0005-0000-0000-0000D5160000}"/>
    <cellStyle name="Normal 4 8 4 3 2" xfId="14467" xr:uid="{39B2BB63-DDF8-4054-87F5-42E732EB557D}"/>
    <cellStyle name="Normal 4 8 4 4" xfId="10249" xr:uid="{2BEE7694-0F34-4913-99AD-2664624D2C84}"/>
    <cellStyle name="Normal 4 8 5" xfId="2124" xr:uid="{00000000-0005-0000-0000-0000D6160000}"/>
    <cellStyle name="Normal 4 8 5 2" xfId="4353" xr:uid="{00000000-0005-0000-0000-0000D7160000}"/>
    <cellStyle name="Normal 4 8 5 2 2" xfId="8575" xr:uid="{00000000-0005-0000-0000-0000D8160000}"/>
    <cellStyle name="Normal 4 8 5 2 2 2" xfId="17025" xr:uid="{4FCA526C-E6D6-4186-AB9D-8DAB9E4D3E26}"/>
    <cellStyle name="Normal 4 8 5 2 3" xfId="12807" xr:uid="{7B1B8931-AAA7-4F70-BA8E-B87E973775DE}"/>
    <cellStyle name="Normal 4 8 5 3" xfId="6430" xr:uid="{00000000-0005-0000-0000-0000D9160000}"/>
    <cellStyle name="Normal 4 8 5 3 2" xfId="14880" xr:uid="{327ADD2A-1B38-4D25-88CF-875D0A2BD5CB}"/>
    <cellStyle name="Normal 4 8 5 4" xfId="10662" xr:uid="{AAC4D170-5E66-47D3-A785-0600B7E6880A}"/>
    <cellStyle name="Normal 4 8 6" xfId="2560" xr:uid="{00000000-0005-0000-0000-0000DA160000}"/>
    <cellStyle name="Normal 4 8 6 2" xfId="6843" xr:uid="{00000000-0005-0000-0000-0000DB160000}"/>
    <cellStyle name="Normal 4 8 6 2 2" xfId="15293" xr:uid="{23DA9F80-2A46-4DA2-BDF9-97A2AB745FE2}"/>
    <cellStyle name="Normal 4 8 6 3" xfId="11075" xr:uid="{DE2F13FE-E541-4CBC-B5E2-AB1DAD78F4F6}"/>
    <cellStyle name="Normal 4 8 7" xfId="4778" xr:uid="{00000000-0005-0000-0000-0000DC160000}"/>
    <cellStyle name="Normal 4 8 7 2" xfId="13228" xr:uid="{72F149B7-3E86-4DF6-8C58-D1773EED64ED}"/>
    <cellStyle name="Normal 4 8 8" xfId="9010" xr:uid="{B8AEDF01-18E9-4ACB-98A2-F5094BE1B49A}"/>
    <cellStyle name="Normal 4 9" xfId="4715" xr:uid="{00000000-0005-0000-0000-0000DD160000}"/>
    <cellStyle name="Normal 4 9 2" xfId="13165" xr:uid="{5B3027BE-5947-407B-9181-1F775CD3A007}"/>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88373C24-B63F-465D-8962-017F45BA0611}"/>
    <cellStyle name="Normal 5 10 2 3" xfId="12395" xr:uid="{1CB9A345-564B-443F-80C7-4922363E642D}"/>
    <cellStyle name="Normal 5 10 3" xfId="6018" xr:uid="{00000000-0005-0000-0000-0000E2160000}"/>
    <cellStyle name="Normal 5 10 3 2" xfId="14468" xr:uid="{00E52C81-C92A-4769-A56C-8BE0B779B39F}"/>
    <cellStyle name="Normal 5 10 4" xfId="10250" xr:uid="{C87591B8-3FE7-4EDD-B648-F4B6B7E84E9B}"/>
    <cellStyle name="Normal 5 11" xfId="2125" xr:uid="{00000000-0005-0000-0000-0000E3160000}"/>
    <cellStyle name="Normal 5 11 2" xfId="4354" xr:uid="{00000000-0005-0000-0000-0000E4160000}"/>
    <cellStyle name="Normal 5 11 2 2" xfId="8576" xr:uid="{00000000-0005-0000-0000-0000E5160000}"/>
    <cellStyle name="Normal 5 11 2 2 2" xfId="17026" xr:uid="{AD3D8F37-1A28-4B43-9733-D855599C94E0}"/>
    <cellStyle name="Normal 5 11 2 3" xfId="12808" xr:uid="{F71A2362-6488-46D6-99F9-35504D05BC6F}"/>
    <cellStyle name="Normal 5 11 3" xfId="6431" xr:uid="{00000000-0005-0000-0000-0000E6160000}"/>
    <cellStyle name="Normal 5 11 3 2" xfId="14881" xr:uid="{494588EA-E2B4-4CF0-9253-54E192395982}"/>
    <cellStyle name="Normal 5 11 4" xfId="10663" xr:uid="{C8C72C62-D422-4FF6-9434-85F9637C6D7E}"/>
    <cellStyle name="Normal 5 12" xfId="2561" xr:uid="{00000000-0005-0000-0000-0000E7160000}"/>
    <cellStyle name="Normal 5 12 2" xfId="6844" xr:uid="{00000000-0005-0000-0000-0000E8160000}"/>
    <cellStyle name="Normal 5 12 2 2" xfId="15294" xr:uid="{06E4B824-79B5-4F3F-B358-47EE5E26AD48}"/>
    <cellStyle name="Normal 5 12 3" xfId="11076" xr:uid="{CB43C887-B1B9-41EF-A449-09BB4B7F0E87}"/>
    <cellStyle name="Normal 5 13" xfId="4779" xr:uid="{00000000-0005-0000-0000-0000E9160000}"/>
    <cellStyle name="Normal 5 13 2" xfId="13229" xr:uid="{A8CD28B7-8AD4-472C-AC48-A48E81472E2D}"/>
    <cellStyle name="Normal 5 14" xfId="9011" xr:uid="{19C82645-FC81-475A-BC46-3538A5651EB6}"/>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C48F4D8A-C386-44E4-B6F2-68C8F535710B}"/>
    <cellStyle name="Normal 5 2 10 2 3" xfId="12809" xr:uid="{38694E5A-6A0F-40CE-A75B-E1FCAECAF27F}"/>
    <cellStyle name="Normal 5 2 10 3" xfId="6432" xr:uid="{00000000-0005-0000-0000-0000EE160000}"/>
    <cellStyle name="Normal 5 2 10 3 2" xfId="14882" xr:uid="{26E30F85-7F2E-4574-91D8-2886B5560580}"/>
    <cellStyle name="Normal 5 2 10 4" xfId="10664" xr:uid="{86FFA291-207B-4B72-B46D-3DB01E3A7126}"/>
    <cellStyle name="Normal 5 2 11" xfId="2562" xr:uid="{00000000-0005-0000-0000-0000EF160000}"/>
    <cellStyle name="Normal 5 2 11 2" xfId="6845" xr:uid="{00000000-0005-0000-0000-0000F0160000}"/>
    <cellStyle name="Normal 5 2 11 2 2" xfId="15295" xr:uid="{0847AEED-3208-4F8F-AEBE-2700A4CA6E37}"/>
    <cellStyle name="Normal 5 2 11 3" xfId="11077" xr:uid="{A2FDAFF5-FE5F-4AA3-A78D-0E0570462CF9}"/>
    <cellStyle name="Normal 5 2 12" xfId="4780" xr:uid="{00000000-0005-0000-0000-0000F1160000}"/>
    <cellStyle name="Normal 5 2 12 2" xfId="13230" xr:uid="{65456B91-949B-46CA-84B9-9545244B1F0F}"/>
    <cellStyle name="Normal 5 2 13" xfId="9012" xr:uid="{A84DB4C4-4768-4FEB-B53D-6C15184B2F13}"/>
    <cellStyle name="Normal 5 2 2" xfId="408" xr:uid="{00000000-0005-0000-0000-0000F2160000}"/>
    <cellStyle name="Normal 5 2 2 10" xfId="2563" xr:uid="{00000000-0005-0000-0000-0000F3160000}"/>
    <cellStyle name="Normal 5 2 2 10 2" xfId="6846" xr:uid="{00000000-0005-0000-0000-0000F4160000}"/>
    <cellStyle name="Normal 5 2 2 10 2 2" xfId="15296" xr:uid="{BF6DC87F-EE65-49AD-B21A-2CF6B96C1BEF}"/>
    <cellStyle name="Normal 5 2 2 10 3" xfId="11078" xr:uid="{AD293CC4-206C-40F5-A6A8-EBA1C59EA20A}"/>
    <cellStyle name="Normal 5 2 2 11" xfId="4781" xr:uid="{00000000-0005-0000-0000-0000F5160000}"/>
    <cellStyle name="Normal 5 2 2 11 2" xfId="13231" xr:uid="{87C69F82-4E3C-4003-BBBE-0EBE59F2599E}"/>
    <cellStyle name="Normal 5 2 2 12" xfId="9013" xr:uid="{7A01E43B-261B-4D0D-8A91-3BA800FA512C}"/>
    <cellStyle name="Normal 5 2 2 2" xfId="409" xr:uid="{00000000-0005-0000-0000-0000F6160000}"/>
    <cellStyle name="Normal 5 2 2 2 10" xfId="4782" xr:uid="{00000000-0005-0000-0000-0000F7160000}"/>
    <cellStyle name="Normal 5 2 2 2 10 2" xfId="13232" xr:uid="{8BE74579-3919-427E-BDA3-E3157927C22E}"/>
    <cellStyle name="Normal 5 2 2 2 11" xfId="9014" xr:uid="{C90809E0-E8CF-40E1-9D74-EE8B9B58C1CF}"/>
    <cellStyle name="Normal 5 2 2 2 2" xfId="410" xr:uid="{00000000-0005-0000-0000-0000F8160000}"/>
    <cellStyle name="Normal 5 2 2 2 2 10" xfId="9015" xr:uid="{9101C302-C6CA-4DCE-9C25-65D28A55CEC1}"/>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E5E63A25-3F4B-4F1D-962D-416D40014788}"/>
    <cellStyle name="Normal 5 2 2 2 2 2 2 2 2 3" xfId="11575" xr:uid="{6D4EFD90-ED24-41F3-9267-06563B57A356}"/>
    <cellStyle name="Normal 5 2 2 2 2 2 2 2 3" xfId="5198" xr:uid="{00000000-0005-0000-0000-0000FE160000}"/>
    <cellStyle name="Normal 5 2 2 2 2 2 2 2 3 2" xfId="13648" xr:uid="{2FDFF756-5FDD-465A-8370-5FB4EF372B99}"/>
    <cellStyle name="Normal 5 2 2 2 2 2 2 2 4" xfId="9430" xr:uid="{2B2E41EB-F675-4643-AC9E-B13A02197CF6}"/>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4B5AC70D-7248-4230-96DD-4E34EEDFF5DB}"/>
    <cellStyle name="Normal 5 2 2 2 2 2 2 3 2 3" xfId="11988" xr:uid="{88945342-F1B2-46CF-9C50-C55F467AC4EF}"/>
    <cellStyle name="Normal 5 2 2 2 2 2 2 3 3" xfId="5611" xr:uid="{00000000-0005-0000-0000-000002170000}"/>
    <cellStyle name="Normal 5 2 2 2 2 2 2 3 3 2" xfId="14061" xr:uid="{6BD047C7-E71C-45D4-9AA4-A32FACBF43A0}"/>
    <cellStyle name="Normal 5 2 2 2 2 2 2 3 4" xfId="9843" xr:uid="{9E135A7E-BCCB-4F28-95F7-E7B582E7091E}"/>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64727414-F0F7-4544-A63B-8F5577EDE87F}"/>
    <cellStyle name="Normal 5 2 2 2 2 2 2 4 2 3" xfId="12401" xr:uid="{DC6152BB-9321-4550-AF3D-D6EE39ED79C4}"/>
    <cellStyle name="Normal 5 2 2 2 2 2 2 4 3" xfId="6024" xr:uid="{00000000-0005-0000-0000-000006170000}"/>
    <cellStyle name="Normal 5 2 2 2 2 2 2 4 3 2" xfId="14474" xr:uid="{FCD5ED41-57F7-4F50-93CB-6A47FADAAEAF}"/>
    <cellStyle name="Normal 5 2 2 2 2 2 2 4 4" xfId="10256" xr:uid="{D72726DA-5DA1-4AC5-8E6D-EE1BCDD8E5A8}"/>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8DC4FB99-D346-4EC5-940E-839ED3E7BAD3}"/>
    <cellStyle name="Normal 5 2 2 2 2 2 2 5 2 3" xfId="12814" xr:uid="{DE7707C9-0AAB-4348-B6AE-1C5BFAB8C085}"/>
    <cellStyle name="Normal 5 2 2 2 2 2 2 5 3" xfId="6437" xr:uid="{00000000-0005-0000-0000-00000A170000}"/>
    <cellStyle name="Normal 5 2 2 2 2 2 2 5 3 2" xfId="14887" xr:uid="{0DDDC39C-3F05-4C99-8706-6848A2253B70}"/>
    <cellStyle name="Normal 5 2 2 2 2 2 2 5 4" xfId="10669" xr:uid="{0F2B501F-7792-43BE-AC23-5983FFF4B257}"/>
    <cellStyle name="Normal 5 2 2 2 2 2 2 6" xfId="2567" xr:uid="{00000000-0005-0000-0000-00000B170000}"/>
    <cellStyle name="Normal 5 2 2 2 2 2 2 6 2" xfId="6850" xr:uid="{00000000-0005-0000-0000-00000C170000}"/>
    <cellStyle name="Normal 5 2 2 2 2 2 2 6 2 2" xfId="15300" xr:uid="{6A8DDBE0-84ED-4CA4-BA81-83EE8B7B7AE8}"/>
    <cellStyle name="Normal 5 2 2 2 2 2 2 6 3" xfId="11082" xr:uid="{0AF1063E-A740-4CFD-8BE4-2F1A85B6C5A9}"/>
    <cellStyle name="Normal 5 2 2 2 2 2 2 7" xfId="4785" xr:uid="{00000000-0005-0000-0000-00000D170000}"/>
    <cellStyle name="Normal 5 2 2 2 2 2 2 7 2" xfId="13235" xr:uid="{BF521579-FB74-49CB-8CF2-1B4264125D5D}"/>
    <cellStyle name="Normal 5 2 2 2 2 2 2 8" xfId="9017" xr:uid="{907BF2E1-37C5-4114-A773-B5FCC136CB5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2332046D-34D2-406D-B611-5DF9A1B4B025}"/>
    <cellStyle name="Normal 5 2 2 2 2 2 3 2 3" xfId="11574" xr:uid="{4CDFD235-2F42-4EF5-97E2-0DCBBA2F547A}"/>
    <cellStyle name="Normal 5 2 2 2 2 2 3 3" xfId="5197" xr:uid="{00000000-0005-0000-0000-000011170000}"/>
    <cellStyle name="Normal 5 2 2 2 2 2 3 3 2" xfId="13647" xr:uid="{A0F54763-4C8E-4FF6-AA59-3E65F7961671}"/>
    <cellStyle name="Normal 5 2 2 2 2 2 3 4" xfId="9429" xr:uid="{952E7C03-92AA-4D1E-81A3-EDB5BE74C5F1}"/>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91A33BBF-B44C-475F-8018-8B5618428A92}"/>
    <cellStyle name="Normal 5 2 2 2 2 2 4 2 3" xfId="11987" xr:uid="{1B17793A-71FD-46CD-982E-4297FA82ADA7}"/>
    <cellStyle name="Normal 5 2 2 2 2 2 4 3" xfId="5610" xr:uid="{00000000-0005-0000-0000-000015170000}"/>
    <cellStyle name="Normal 5 2 2 2 2 2 4 3 2" xfId="14060" xr:uid="{21A64018-329E-40DA-AC55-FA7A8BF227E3}"/>
    <cellStyle name="Normal 5 2 2 2 2 2 4 4" xfId="9842" xr:uid="{E64E514F-C131-4FE6-9A20-A2D8CE952BEC}"/>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E7ABFF01-0567-400F-A422-CD3479BE8448}"/>
    <cellStyle name="Normal 5 2 2 2 2 2 5 2 3" xfId="12400" xr:uid="{DFC8E1DE-53C1-4503-A4F1-3434F2C06FB3}"/>
    <cellStyle name="Normal 5 2 2 2 2 2 5 3" xfId="6023" xr:uid="{00000000-0005-0000-0000-000019170000}"/>
    <cellStyle name="Normal 5 2 2 2 2 2 5 3 2" xfId="14473" xr:uid="{8D8DBB3A-4744-4CD9-B33B-A873CC702CF2}"/>
    <cellStyle name="Normal 5 2 2 2 2 2 5 4" xfId="10255" xr:uid="{64B19A79-C304-4AF7-BDCD-56D91480D44E}"/>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0DF97A08-8961-4D3C-B403-ED244E520DE5}"/>
    <cellStyle name="Normal 5 2 2 2 2 2 6 2 3" xfId="12813" xr:uid="{E10D2EA6-6F6F-4B6F-8FFB-020878F8E2AA}"/>
    <cellStyle name="Normal 5 2 2 2 2 2 6 3" xfId="6436" xr:uid="{00000000-0005-0000-0000-00001D170000}"/>
    <cellStyle name="Normal 5 2 2 2 2 2 6 3 2" xfId="14886" xr:uid="{428EF51D-2A89-4231-93EC-2435C9B226FF}"/>
    <cellStyle name="Normal 5 2 2 2 2 2 6 4" xfId="10668" xr:uid="{213CEB83-F2E3-4271-9F8E-D0841D81B32B}"/>
    <cellStyle name="Normal 5 2 2 2 2 2 7" xfId="2566" xr:uid="{00000000-0005-0000-0000-00001E170000}"/>
    <cellStyle name="Normal 5 2 2 2 2 2 7 2" xfId="6849" xr:uid="{00000000-0005-0000-0000-00001F170000}"/>
    <cellStyle name="Normal 5 2 2 2 2 2 7 2 2" xfId="15299" xr:uid="{DAD7D60B-D2A9-426F-816E-6AC475A71170}"/>
    <cellStyle name="Normal 5 2 2 2 2 2 7 3" xfId="11081" xr:uid="{7F76DC6E-5EA1-4AAF-9C6B-23A603091532}"/>
    <cellStyle name="Normal 5 2 2 2 2 2 8" xfId="4784" xr:uid="{00000000-0005-0000-0000-000020170000}"/>
    <cellStyle name="Normal 5 2 2 2 2 2 8 2" xfId="13234" xr:uid="{F5EC3BD5-6A08-43FE-A604-0AFCDD96E125}"/>
    <cellStyle name="Normal 5 2 2 2 2 2 9" xfId="9016" xr:uid="{2E695819-8740-4F4C-A5EE-37145D02A2AF}"/>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AE999CA5-D47B-4C3A-B3A2-BD705F41E945}"/>
    <cellStyle name="Normal 5 2 2 2 2 3 2 2 3" xfId="11576" xr:uid="{8E1C2672-2590-466C-89EE-027E85064D1B}"/>
    <cellStyle name="Normal 5 2 2 2 2 3 2 3" xfId="5199" xr:uid="{00000000-0005-0000-0000-000025170000}"/>
    <cellStyle name="Normal 5 2 2 2 2 3 2 3 2" xfId="13649" xr:uid="{5596A52D-BC94-49A2-B6C5-4C5EDE2959F4}"/>
    <cellStyle name="Normal 5 2 2 2 2 3 2 4" xfId="9431" xr:uid="{7DA3883A-0371-4AEA-9CF9-2A5735854EC2}"/>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0F9B14DB-8C93-42CE-87D7-1EB8147A55D9}"/>
    <cellStyle name="Normal 5 2 2 2 2 3 3 2 3" xfId="11989" xr:uid="{6D0FBC8C-7976-4EA0-9C33-8D6B47335B0E}"/>
    <cellStyle name="Normal 5 2 2 2 2 3 3 3" xfId="5612" xr:uid="{00000000-0005-0000-0000-000029170000}"/>
    <cellStyle name="Normal 5 2 2 2 2 3 3 3 2" xfId="14062" xr:uid="{FC11B1E8-5065-426D-91FC-499E7C400281}"/>
    <cellStyle name="Normal 5 2 2 2 2 3 3 4" xfId="9844" xr:uid="{8C356569-1A0F-4564-B8FB-B05D61D878E8}"/>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EDACAFCB-98D7-417D-BA1E-98789A4DBFC5}"/>
    <cellStyle name="Normal 5 2 2 2 2 3 4 2 3" xfId="12402" xr:uid="{58914315-2D19-43B2-BE11-F0974705A411}"/>
    <cellStyle name="Normal 5 2 2 2 2 3 4 3" xfId="6025" xr:uid="{00000000-0005-0000-0000-00002D170000}"/>
    <cellStyle name="Normal 5 2 2 2 2 3 4 3 2" xfId="14475" xr:uid="{0ACE255E-E31E-460A-904E-67D2209FF7DC}"/>
    <cellStyle name="Normal 5 2 2 2 2 3 4 4" xfId="10257" xr:uid="{05A60D77-0BBE-4166-8C54-53FAFD879571}"/>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102BF91A-B2AD-4670-AD67-9F6CFDE53809}"/>
    <cellStyle name="Normal 5 2 2 2 2 3 5 2 3" xfId="12815" xr:uid="{20D8C1D7-2E66-437F-B1E6-8DB7D508F300}"/>
    <cellStyle name="Normal 5 2 2 2 2 3 5 3" xfId="6438" xr:uid="{00000000-0005-0000-0000-000031170000}"/>
    <cellStyle name="Normal 5 2 2 2 2 3 5 3 2" xfId="14888" xr:uid="{795DBB2F-5E92-4D90-B653-BF5871F51F0E}"/>
    <cellStyle name="Normal 5 2 2 2 2 3 5 4" xfId="10670" xr:uid="{D3E98FFC-3450-45EC-B814-8DBF86D84536}"/>
    <cellStyle name="Normal 5 2 2 2 2 3 6" xfId="2568" xr:uid="{00000000-0005-0000-0000-000032170000}"/>
    <cellStyle name="Normal 5 2 2 2 2 3 6 2" xfId="6851" xr:uid="{00000000-0005-0000-0000-000033170000}"/>
    <cellStyle name="Normal 5 2 2 2 2 3 6 2 2" xfId="15301" xr:uid="{530F4BA5-FDA7-40BC-AFF7-75E7FC8393F4}"/>
    <cellStyle name="Normal 5 2 2 2 2 3 6 3" xfId="11083" xr:uid="{0C1F548C-DD92-4E9D-9B05-D66B5172CB05}"/>
    <cellStyle name="Normal 5 2 2 2 2 3 7" xfId="4786" xr:uid="{00000000-0005-0000-0000-000034170000}"/>
    <cellStyle name="Normal 5 2 2 2 2 3 7 2" xfId="13236" xr:uid="{24BBBED3-0278-4D8C-A32D-C29FA070A83F}"/>
    <cellStyle name="Normal 5 2 2 2 2 3 8" xfId="9018" xr:uid="{E6B8E91C-0D46-4771-938E-F1C6F0E2BC93}"/>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AF28A121-8780-461D-B33D-6CB443780B27}"/>
    <cellStyle name="Normal 5 2 2 2 2 4 2 3" xfId="11573" xr:uid="{C54E9B1B-2ABB-4254-8C7C-CC2568A2A484}"/>
    <cellStyle name="Normal 5 2 2 2 2 4 3" xfId="5196" xr:uid="{00000000-0005-0000-0000-000038170000}"/>
    <cellStyle name="Normal 5 2 2 2 2 4 3 2" xfId="13646" xr:uid="{50036A7E-07B4-4399-9450-869B27D47610}"/>
    <cellStyle name="Normal 5 2 2 2 2 4 4" xfId="9428" xr:uid="{37533E0F-3897-43FB-BCA5-FB3B6A792C4A}"/>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D48F85B1-AD31-4C5D-9ABF-8B61B4833C60}"/>
    <cellStyle name="Normal 5 2 2 2 2 5 2 3" xfId="11986" xr:uid="{55AF3FBA-D152-4C23-9FCA-3F5386193A3B}"/>
    <cellStyle name="Normal 5 2 2 2 2 5 3" xfId="5609" xr:uid="{00000000-0005-0000-0000-00003C170000}"/>
    <cellStyle name="Normal 5 2 2 2 2 5 3 2" xfId="14059" xr:uid="{0562E63E-D4E4-4572-B775-2D897981CEE0}"/>
    <cellStyle name="Normal 5 2 2 2 2 5 4" xfId="9841" xr:uid="{93960724-6486-43C6-AE8A-464DD1416E67}"/>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F6211578-98A7-4050-B917-8750CB74E44D}"/>
    <cellStyle name="Normal 5 2 2 2 2 6 2 3" xfId="12399" xr:uid="{95E78181-4FCA-4A0E-BCEE-A4E3CCDA649E}"/>
    <cellStyle name="Normal 5 2 2 2 2 6 3" xfId="6022" xr:uid="{00000000-0005-0000-0000-000040170000}"/>
    <cellStyle name="Normal 5 2 2 2 2 6 3 2" xfId="14472" xr:uid="{1DC01732-1994-406B-8611-A38BD007B34D}"/>
    <cellStyle name="Normal 5 2 2 2 2 6 4" xfId="10254" xr:uid="{00455038-7E25-4D69-A415-A6EB0B2C9D4B}"/>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70160EC2-F1BF-4D1F-A16D-70CA313C0B72}"/>
    <cellStyle name="Normal 5 2 2 2 2 7 2 3" xfId="12812" xr:uid="{2DDF0807-C2A8-4102-BFB1-0DA2ED47C499}"/>
    <cellStyle name="Normal 5 2 2 2 2 7 3" xfId="6435" xr:uid="{00000000-0005-0000-0000-000044170000}"/>
    <cellStyle name="Normal 5 2 2 2 2 7 3 2" xfId="14885" xr:uid="{55E715F0-0E4D-489B-90B2-C7DEA39E4898}"/>
    <cellStyle name="Normal 5 2 2 2 2 7 4" xfId="10667" xr:uid="{222BB644-0F41-4BDD-990E-D484AE9C5B75}"/>
    <cellStyle name="Normal 5 2 2 2 2 8" xfId="2565" xr:uid="{00000000-0005-0000-0000-000045170000}"/>
    <cellStyle name="Normal 5 2 2 2 2 8 2" xfId="6848" xr:uid="{00000000-0005-0000-0000-000046170000}"/>
    <cellStyle name="Normal 5 2 2 2 2 8 2 2" xfId="15298" xr:uid="{58B27A9D-196E-4E87-8C8B-D2B925897F2C}"/>
    <cellStyle name="Normal 5 2 2 2 2 8 3" xfId="11080" xr:uid="{25245D6D-3509-4DE0-BC10-5583A78BD3FB}"/>
    <cellStyle name="Normal 5 2 2 2 2 9" xfId="4783" xr:uid="{00000000-0005-0000-0000-000047170000}"/>
    <cellStyle name="Normal 5 2 2 2 2 9 2" xfId="13233" xr:uid="{A4526E7A-D6B3-4691-B588-CB07EA84A985}"/>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F6F99C36-8AA7-4606-A70C-DFCD7FD7B67C}"/>
    <cellStyle name="Normal 5 2 2 2 3 2 2 2 3" xfId="11578" xr:uid="{8BFB4B5C-628F-4702-8B1C-534B5480C18F}"/>
    <cellStyle name="Normal 5 2 2 2 3 2 2 3" xfId="5201" xr:uid="{00000000-0005-0000-0000-00004D170000}"/>
    <cellStyle name="Normal 5 2 2 2 3 2 2 3 2" xfId="13651" xr:uid="{6F813E08-8169-4264-9DCA-65D5013F0043}"/>
    <cellStyle name="Normal 5 2 2 2 3 2 2 4" xfId="9433" xr:uid="{1662F3B6-A47D-4AFD-A8AA-B502633C0D1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4B8CA404-560E-4D32-AA29-176A7A5ABA20}"/>
    <cellStyle name="Normal 5 2 2 2 3 2 3 2 3" xfId="11991" xr:uid="{294C203E-C7B5-4AE4-BBD3-E70A3033D19C}"/>
    <cellStyle name="Normal 5 2 2 2 3 2 3 3" xfId="5614" xr:uid="{00000000-0005-0000-0000-000051170000}"/>
    <cellStyle name="Normal 5 2 2 2 3 2 3 3 2" xfId="14064" xr:uid="{79D34861-A419-41E9-8103-16D311A2CC3C}"/>
    <cellStyle name="Normal 5 2 2 2 3 2 3 4" xfId="9846" xr:uid="{0E032027-8941-4761-A227-C267B1B3DD33}"/>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06E24462-63A7-4B64-AF88-90AC15EBE452}"/>
    <cellStyle name="Normal 5 2 2 2 3 2 4 2 3" xfId="12404" xr:uid="{D88E9BA3-C4BC-4FB2-9E17-E05EA4DE1DAD}"/>
    <cellStyle name="Normal 5 2 2 2 3 2 4 3" xfId="6027" xr:uid="{00000000-0005-0000-0000-000055170000}"/>
    <cellStyle name="Normal 5 2 2 2 3 2 4 3 2" xfId="14477" xr:uid="{AF24B777-9686-42C5-AD94-050431B935D4}"/>
    <cellStyle name="Normal 5 2 2 2 3 2 4 4" xfId="10259" xr:uid="{22B87EAA-A01E-492C-8823-C6FAD9C655E5}"/>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63B1A1E2-EC23-4B9F-A248-E0D8196617FB}"/>
    <cellStyle name="Normal 5 2 2 2 3 2 5 2 3" xfId="12817" xr:uid="{1063AFD1-AA31-4404-8865-2B8BE855E233}"/>
    <cellStyle name="Normal 5 2 2 2 3 2 5 3" xfId="6440" xr:uid="{00000000-0005-0000-0000-000059170000}"/>
    <cellStyle name="Normal 5 2 2 2 3 2 5 3 2" xfId="14890" xr:uid="{C4765743-5E31-466B-BD3B-42E95E959128}"/>
    <cellStyle name="Normal 5 2 2 2 3 2 5 4" xfId="10672" xr:uid="{F522F377-CFB8-4D9D-B4A0-F5AD3914E8BA}"/>
    <cellStyle name="Normal 5 2 2 2 3 2 6" xfId="2570" xr:uid="{00000000-0005-0000-0000-00005A170000}"/>
    <cellStyle name="Normal 5 2 2 2 3 2 6 2" xfId="6853" xr:uid="{00000000-0005-0000-0000-00005B170000}"/>
    <cellStyle name="Normal 5 2 2 2 3 2 6 2 2" xfId="15303" xr:uid="{DA7D0C39-D6BB-4565-9434-02C0CF0C96B3}"/>
    <cellStyle name="Normal 5 2 2 2 3 2 6 3" xfId="11085" xr:uid="{F8AB5374-CFD2-49CE-8F14-A5212B150A86}"/>
    <cellStyle name="Normal 5 2 2 2 3 2 7" xfId="4788" xr:uid="{00000000-0005-0000-0000-00005C170000}"/>
    <cellStyle name="Normal 5 2 2 2 3 2 7 2" xfId="13238" xr:uid="{F1E7CE61-D0D0-4729-8250-3C580A7BC41C}"/>
    <cellStyle name="Normal 5 2 2 2 3 2 8" xfId="9020" xr:uid="{A8A16E87-4B13-4225-AC46-016FBCB9ED19}"/>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4332A95B-CE13-418E-95A7-1512861E49DC}"/>
    <cellStyle name="Normal 5 2 2 2 3 3 2 3" xfId="11577" xr:uid="{D989B29E-D258-4340-B51F-8FF3418362AE}"/>
    <cellStyle name="Normal 5 2 2 2 3 3 3" xfId="5200" xr:uid="{00000000-0005-0000-0000-000060170000}"/>
    <cellStyle name="Normal 5 2 2 2 3 3 3 2" xfId="13650" xr:uid="{E2372995-7D47-4947-BCD8-5B76CAB59819}"/>
    <cellStyle name="Normal 5 2 2 2 3 3 4" xfId="9432" xr:uid="{0A1A403D-605F-4988-BDA7-A852428F5A7F}"/>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1E2D482B-2CE1-4668-9564-4AAF5B89044D}"/>
    <cellStyle name="Normal 5 2 2 2 3 4 2 3" xfId="11990" xr:uid="{3F75D138-2A4A-4B5F-84CD-FAF301D10005}"/>
    <cellStyle name="Normal 5 2 2 2 3 4 3" xfId="5613" xr:uid="{00000000-0005-0000-0000-000064170000}"/>
    <cellStyle name="Normal 5 2 2 2 3 4 3 2" xfId="14063" xr:uid="{975FA634-3B4D-48F8-BA3C-CC9449FAC3C8}"/>
    <cellStyle name="Normal 5 2 2 2 3 4 4" xfId="9845" xr:uid="{84BD6164-C610-49BC-895B-E751F1E3536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A1D1C2D2-A01C-4933-9DA4-4E90D6760756}"/>
    <cellStyle name="Normal 5 2 2 2 3 5 2 3" xfId="12403" xr:uid="{C5019390-51D4-4BEF-B574-55515639C366}"/>
    <cellStyle name="Normal 5 2 2 2 3 5 3" xfId="6026" xr:uid="{00000000-0005-0000-0000-000068170000}"/>
    <cellStyle name="Normal 5 2 2 2 3 5 3 2" xfId="14476" xr:uid="{B7240D96-78B2-429F-9A9B-A4455F33735E}"/>
    <cellStyle name="Normal 5 2 2 2 3 5 4" xfId="10258" xr:uid="{9D634CA9-0692-4777-B9E6-7FB6E691F9B2}"/>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4501F122-9A8E-4348-8B47-1E230E48A260}"/>
    <cellStyle name="Normal 5 2 2 2 3 6 2 3" xfId="12816" xr:uid="{60E5A92D-5864-4B95-8A27-8096ED641A02}"/>
    <cellStyle name="Normal 5 2 2 2 3 6 3" xfId="6439" xr:uid="{00000000-0005-0000-0000-00006C170000}"/>
    <cellStyle name="Normal 5 2 2 2 3 6 3 2" xfId="14889" xr:uid="{511B766F-2D90-4BCB-9654-99924FA67203}"/>
    <cellStyle name="Normal 5 2 2 2 3 6 4" xfId="10671" xr:uid="{EB34360B-49EF-4B3B-B58D-C9D859401273}"/>
    <cellStyle name="Normal 5 2 2 2 3 7" xfId="2569" xr:uid="{00000000-0005-0000-0000-00006D170000}"/>
    <cellStyle name="Normal 5 2 2 2 3 7 2" xfId="6852" xr:uid="{00000000-0005-0000-0000-00006E170000}"/>
    <cellStyle name="Normal 5 2 2 2 3 7 2 2" xfId="15302" xr:uid="{9E2A5160-757B-446E-868B-1B2D2D671B21}"/>
    <cellStyle name="Normal 5 2 2 2 3 7 3" xfId="11084" xr:uid="{DA7385A9-BA98-4992-9DF0-DAE74058ACBF}"/>
    <cellStyle name="Normal 5 2 2 2 3 8" xfId="4787" xr:uid="{00000000-0005-0000-0000-00006F170000}"/>
    <cellStyle name="Normal 5 2 2 2 3 8 2" xfId="13237" xr:uid="{650C2850-21DA-4543-95B9-C50783191393}"/>
    <cellStyle name="Normal 5 2 2 2 3 9" xfId="9019" xr:uid="{506BACE7-D619-42B6-BF62-094918359A69}"/>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F4C23738-5BCB-4CED-8972-4061528319F5}"/>
    <cellStyle name="Normal 5 2 2 2 4 2 2 3" xfId="11579" xr:uid="{F2373AE1-CFD2-4760-9DEE-7803A8BE1D8A}"/>
    <cellStyle name="Normal 5 2 2 2 4 2 3" xfId="5202" xr:uid="{00000000-0005-0000-0000-000074170000}"/>
    <cellStyle name="Normal 5 2 2 2 4 2 3 2" xfId="13652" xr:uid="{DEFD8B63-C863-44B9-8AD3-98BDC9E5EC8E}"/>
    <cellStyle name="Normal 5 2 2 2 4 2 4" xfId="9434" xr:uid="{200BB485-4B0B-4714-9D9E-ABACE11DB13C}"/>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F75D9C6F-8953-4227-B44C-7A9BC7EB190A}"/>
    <cellStyle name="Normal 5 2 2 2 4 3 2 3" xfId="11992" xr:uid="{19762CDB-87AB-4D42-960E-A3B21FF0E23E}"/>
    <cellStyle name="Normal 5 2 2 2 4 3 3" xfId="5615" xr:uid="{00000000-0005-0000-0000-000078170000}"/>
    <cellStyle name="Normal 5 2 2 2 4 3 3 2" xfId="14065" xr:uid="{ABEC66EB-7F1C-4013-9158-2F9A0A74FD52}"/>
    <cellStyle name="Normal 5 2 2 2 4 3 4" xfId="9847" xr:uid="{71BA48CF-12E5-449D-B78D-59F8A15BE95B}"/>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E218F1F7-5909-4BD4-A977-5301E250F752}"/>
    <cellStyle name="Normal 5 2 2 2 4 4 2 3" xfId="12405" xr:uid="{ADE23BAE-DA27-4FA0-9DFC-8FD7B16A27EF}"/>
    <cellStyle name="Normal 5 2 2 2 4 4 3" xfId="6028" xr:uid="{00000000-0005-0000-0000-00007C170000}"/>
    <cellStyle name="Normal 5 2 2 2 4 4 3 2" xfId="14478" xr:uid="{C76CB63A-6D37-4812-9306-62984223F5D7}"/>
    <cellStyle name="Normal 5 2 2 2 4 4 4" xfId="10260" xr:uid="{00A9A00D-26B3-40B2-9BBA-4D0370187C8F}"/>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F82EE601-C505-4782-AACF-47569439FA8C}"/>
    <cellStyle name="Normal 5 2 2 2 4 5 2 3" xfId="12818" xr:uid="{FEF6B555-5F6E-48AF-AB91-5E12C5007CBA}"/>
    <cellStyle name="Normal 5 2 2 2 4 5 3" xfId="6441" xr:uid="{00000000-0005-0000-0000-000080170000}"/>
    <cellStyle name="Normal 5 2 2 2 4 5 3 2" xfId="14891" xr:uid="{CA73D9D7-00C9-44F3-BF76-19CC4FB6A7D6}"/>
    <cellStyle name="Normal 5 2 2 2 4 5 4" xfId="10673" xr:uid="{35909647-32F9-411D-BC15-930A20AAF57B}"/>
    <cellStyle name="Normal 5 2 2 2 4 6" xfId="2571" xr:uid="{00000000-0005-0000-0000-000081170000}"/>
    <cellStyle name="Normal 5 2 2 2 4 6 2" xfId="6854" xr:uid="{00000000-0005-0000-0000-000082170000}"/>
    <cellStyle name="Normal 5 2 2 2 4 6 2 2" xfId="15304" xr:uid="{C4CEEEB5-D9C7-4D71-AE19-4C5B405342DD}"/>
    <cellStyle name="Normal 5 2 2 2 4 6 3" xfId="11086" xr:uid="{85A5484C-D030-4EBC-85AF-AB9B34D0C856}"/>
    <cellStyle name="Normal 5 2 2 2 4 7" xfId="4789" xr:uid="{00000000-0005-0000-0000-000083170000}"/>
    <cellStyle name="Normal 5 2 2 2 4 7 2" xfId="13239" xr:uid="{9382EF48-CB4C-45C0-A462-790B38292A61}"/>
    <cellStyle name="Normal 5 2 2 2 4 8" xfId="9021" xr:uid="{FAD398D2-A8D7-41FB-BC5A-88B5F169EC44}"/>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721CCB19-8B85-446B-8F5D-C0A8737AAE94}"/>
    <cellStyle name="Normal 5 2 2 2 5 2 3" xfId="11572" xr:uid="{7269FC26-12D4-4E25-BD25-E3B6E3016833}"/>
    <cellStyle name="Normal 5 2 2 2 5 3" xfId="5195" xr:uid="{00000000-0005-0000-0000-000087170000}"/>
    <cellStyle name="Normal 5 2 2 2 5 3 2" xfId="13645" xr:uid="{04B7DA93-F09C-4BB9-8A03-2DD495898D05}"/>
    <cellStyle name="Normal 5 2 2 2 5 4" xfId="9427" xr:uid="{B3380F22-E340-4956-8CBE-84F2C02FE215}"/>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6B9E4B87-CE77-4677-BE5B-702A3E86BE5F}"/>
    <cellStyle name="Normal 5 2 2 2 6 2 3" xfId="11985" xr:uid="{962E5B24-BC16-4BF3-9FA8-3ECEBF26E580}"/>
    <cellStyle name="Normal 5 2 2 2 6 3" xfId="5608" xr:uid="{00000000-0005-0000-0000-00008B170000}"/>
    <cellStyle name="Normal 5 2 2 2 6 3 2" xfId="14058" xr:uid="{C0CE7F0E-7E07-4D28-B0D0-D4171404D3B0}"/>
    <cellStyle name="Normal 5 2 2 2 6 4" xfId="9840" xr:uid="{115C44BF-4253-4BF2-BAA8-6340B9A4781A}"/>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C8A8E886-265A-49AD-A69A-317221D4B942}"/>
    <cellStyle name="Normal 5 2 2 2 7 2 3" xfId="12398" xr:uid="{EE86759C-B4BF-442B-884C-8EEAFD34379D}"/>
    <cellStyle name="Normal 5 2 2 2 7 3" xfId="6021" xr:uid="{00000000-0005-0000-0000-00008F170000}"/>
    <cellStyle name="Normal 5 2 2 2 7 3 2" xfId="14471" xr:uid="{E45C4EAF-504B-4F7D-B842-D4C0A18E80C5}"/>
    <cellStyle name="Normal 5 2 2 2 7 4" xfId="10253" xr:uid="{D96EE516-BE0C-49F0-833A-ADA570F0E428}"/>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4AF66215-A516-468E-BE6B-7C06EC40BB64}"/>
    <cellStyle name="Normal 5 2 2 2 8 2 3" xfId="12811" xr:uid="{26244DDB-AA84-48F7-891F-F1AD79B11021}"/>
    <cellStyle name="Normal 5 2 2 2 8 3" xfId="6434" xr:uid="{00000000-0005-0000-0000-000093170000}"/>
    <cellStyle name="Normal 5 2 2 2 8 3 2" xfId="14884" xr:uid="{2AA864D7-A25B-4A7F-987D-F9EEA026B464}"/>
    <cellStyle name="Normal 5 2 2 2 8 4" xfId="10666" xr:uid="{C694DFEA-80B8-4FD2-BA83-BB1D8E2E24B7}"/>
    <cellStyle name="Normal 5 2 2 2 9" xfId="2564" xr:uid="{00000000-0005-0000-0000-000094170000}"/>
    <cellStyle name="Normal 5 2 2 2 9 2" xfId="6847" xr:uid="{00000000-0005-0000-0000-000095170000}"/>
    <cellStyle name="Normal 5 2 2 2 9 2 2" xfId="15297" xr:uid="{910ECF7E-E30E-4B05-9838-808ABC50365C}"/>
    <cellStyle name="Normal 5 2 2 2 9 3" xfId="11079" xr:uid="{A4115555-6877-4146-99C1-1D01A4A391AA}"/>
    <cellStyle name="Normal 5 2 2 3" xfId="417" xr:uid="{00000000-0005-0000-0000-000096170000}"/>
    <cellStyle name="Normal 5 2 2 3 10" xfId="9022" xr:uid="{A75AF5C0-4D38-4B65-AA4E-4F5CC26183E5}"/>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D4BC052E-2E17-437A-92FA-DFDFE6C0EF8C}"/>
    <cellStyle name="Normal 5 2 2 3 2 2 2 2 3" xfId="11582" xr:uid="{A07448AD-C15C-452C-943A-E7250EBD6230}"/>
    <cellStyle name="Normal 5 2 2 3 2 2 2 3" xfId="5205" xr:uid="{00000000-0005-0000-0000-00009C170000}"/>
    <cellStyle name="Normal 5 2 2 3 2 2 2 3 2" xfId="13655" xr:uid="{EF3583F1-EB7E-471D-8A86-5A9A7A4F5A1A}"/>
    <cellStyle name="Normal 5 2 2 3 2 2 2 4" xfId="9437" xr:uid="{75E2EB50-6616-43D7-ADF3-22862DAE77C3}"/>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5E2A143D-34AB-40EE-9F87-1E9114DFC779}"/>
    <cellStyle name="Normal 5 2 2 3 2 2 3 2 3" xfId="11995" xr:uid="{4C43DEFD-7D4C-410C-AEC5-188215D228B4}"/>
    <cellStyle name="Normal 5 2 2 3 2 2 3 3" xfId="5618" xr:uid="{00000000-0005-0000-0000-0000A0170000}"/>
    <cellStyle name="Normal 5 2 2 3 2 2 3 3 2" xfId="14068" xr:uid="{F479DDD8-ABAE-48E3-8ED4-EF5EEFC64646}"/>
    <cellStyle name="Normal 5 2 2 3 2 2 3 4" xfId="9850" xr:uid="{D9E6960B-B751-46CB-9EE9-CDC192F728B6}"/>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1EDC8BE4-1D38-49E5-BFE7-0F9E0ECCB836}"/>
    <cellStyle name="Normal 5 2 2 3 2 2 4 2 3" xfId="12408" xr:uid="{9C99E08F-AAB0-47D8-A600-BB8FEE4D09FA}"/>
    <cellStyle name="Normal 5 2 2 3 2 2 4 3" xfId="6031" xr:uid="{00000000-0005-0000-0000-0000A4170000}"/>
    <cellStyle name="Normal 5 2 2 3 2 2 4 3 2" xfId="14481" xr:uid="{4FD07E5C-B269-498A-B9B0-170D492A0DDA}"/>
    <cellStyle name="Normal 5 2 2 3 2 2 4 4" xfId="10263" xr:uid="{0D5DFE26-E136-4C14-851E-B41B89DADA3D}"/>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D5318B37-7384-456C-A718-C9765589FB39}"/>
    <cellStyle name="Normal 5 2 2 3 2 2 5 2 3" xfId="12821" xr:uid="{B35BC924-2928-4ACD-A319-BD0D0CFA88EA}"/>
    <cellStyle name="Normal 5 2 2 3 2 2 5 3" xfId="6444" xr:uid="{00000000-0005-0000-0000-0000A8170000}"/>
    <cellStyle name="Normal 5 2 2 3 2 2 5 3 2" xfId="14894" xr:uid="{3811D890-5447-473F-BEDC-03387BE94FD2}"/>
    <cellStyle name="Normal 5 2 2 3 2 2 5 4" xfId="10676" xr:uid="{FB8C7D41-BC76-447F-B94A-5576FC22D423}"/>
    <cellStyle name="Normal 5 2 2 3 2 2 6" xfId="2574" xr:uid="{00000000-0005-0000-0000-0000A9170000}"/>
    <cellStyle name="Normal 5 2 2 3 2 2 6 2" xfId="6857" xr:uid="{00000000-0005-0000-0000-0000AA170000}"/>
    <cellStyle name="Normal 5 2 2 3 2 2 6 2 2" xfId="15307" xr:uid="{27410865-9607-40DF-9576-D6A4C42C3FB8}"/>
    <cellStyle name="Normal 5 2 2 3 2 2 6 3" xfId="11089" xr:uid="{F86E8C4F-32D8-48C1-9D9B-E4E72F367B49}"/>
    <cellStyle name="Normal 5 2 2 3 2 2 7" xfId="4792" xr:uid="{00000000-0005-0000-0000-0000AB170000}"/>
    <cellStyle name="Normal 5 2 2 3 2 2 7 2" xfId="13242" xr:uid="{C34B8740-D833-4CA3-B2B7-80968FBAEFA4}"/>
    <cellStyle name="Normal 5 2 2 3 2 2 8" xfId="9024" xr:uid="{9F9DD04E-F186-4100-A993-3A7B7FB4F99A}"/>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7359930C-2D4E-455E-9B7F-EE70BC323B85}"/>
    <cellStyle name="Normal 5 2 2 3 2 3 2 3" xfId="11581" xr:uid="{48D8C022-66E5-497D-ABE7-DF0581261011}"/>
    <cellStyle name="Normal 5 2 2 3 2 3 3" xfId="5204" xr:uid="{00000000-0005-0000-0000-0000AF170000}"/>
    <cellStyle name="Normal 5 2 2 3 2 3 3 2" xfId="13654" xr:uid="{EB3AEE26-6930-4EB1-AD16-FB3D86C94C06}"/>
    <cellStyle name="Normal 5 2 2 3 2 3 4" xfId="9436" xr:uid="{EB156406-235C-42B8-A843-E58BD23B0A2E}"/>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EFAFC979-7CE9-40F9-BB9E-195126B7E887}"/>
    <cellStyle name="Normal 5 2 2 3 2 4 2 3" xfId="11994" xr:uid="{1A387C30-5966-4732-8876-C0E3E8C4A0D2}"/>
    <cellStyle name="Normal 5 2 2 3 2 4 3" xfId="5617" xr:uid="{00000000-0005-0000-0000-0000B3170000}"/>
    <cellStyle name="Normal 5 2 2 3 2 4 3 2" xfId="14067" xr:uid="{7EA14C23-D558-49FB-8A88-D48A7FF15197}"/>
    <cellStyle name="Normal 5 2 2 3 2 4 4" xfId="9849" xr:uid="{3E299BBB-F05E-484F-AD19-C9DA55808879}"/>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99D01325-288C-4BC2-9E8A-FCA055B24157}"/>
    <cellStyle name="Normal 5 2 2 3 2 5 2 3" xfId="12407" xr:uid="{78ED6B4E-7942-4E05-844A-15C376E8237F}"/>
    <cellStyle name="Normal 5 2 2 3 2 5 3" xfId="6030" xr:uid="{00000000-0005-0000-0000-0000B7170000}"/>
    <cellStyle name="Normal 5 2 2 3 2 5 3 2" xfId="14480" xr:uid="{E0811DE5-D032-49A7-B1D8-938281A188E1}"/>
    <cellStyle name="Normal 5 2 2 3 2 5 4" xfId="10262" xr:uid="{F064EA95-2C39-4DAA-82D7-B00684B99C1A}"/>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94BEDAFF-4F13-4F1B-A592-A8B3137C474F}"/>
    <cellStyle name="Normal 5 2 2 3 2 6 2 3" xfId="12820" xr:uid="{5E6D4E65-819A-42E7-BCAF-66D4ADC6900F}"/>
    <cellStyle name="Normal 5 2 2 3 2 6 3" xfId="6443" xr:uid="{00000000-0005-0000-0000-0000BB170000}"/>
    <cellStyle name="Normal 5 2 2 3 2 6 3 2" xfId="14893" xr:uid="{D6796CDB-76A0-4948-8705-56B41A5D17C6}"/>
    <cellStyle name="Normal 5 2 2 3 2 6 4" xfId="10675" xr:uid="{BC4A477B-875E-4F9D-87FE-E77D592DDC59}"/>
    <cellStyle name="Normal 5 2 2 3 2 7" xfId="2573" xr:uid="{00000000-0005-0000-0000-0000BC170000}"/>
    <cellStyle name="Normal 5 2 2 3 2 7 2" xfId="6856" xr:uid="{00000000-0005-0000-0000-0000BD170000}"/>
    <cellStyle name="Normal 5 2 2 3 2 7 2 2" xfId="15306" xr:uid="{C572C079-F616-462D-8332-0AC886FD262C}"/>
    <cellStyle name="Normal 5 2 2 3 2 7 3" xfId="11088" xr:uid="{B216A192-9DBD-4C7B-BEBD-B1BF46DCDBBB}"/>
    <cellStyle name="Normal 5 2 2 3 2 8" xfId="4791" xr:uid="{00000000-0005-0000-0000-0000BE170000}"/>
    <cellStyle name="Normal 5 2 2 3 2 8 2" xfId="13241" xr:uid="{2C3BECAE-7233-438E-A49F-69D6990E6170}"/>
    <cellStyle name="Normal 5 2 2 3 2 9" xfId="9023" xr:uid="{52A316C3-60ED-4F00-BB71-0709201D7C2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8200536F-1B62-4E2B-8110-25B5A7D9FDCA}"/>
    <cellStyle name="Normal 5 2 2 3 3 2 2 3" xfId="11583" xr:uid="{77DEFCF3-7A6E-4446-9ABB-8B021372F9FF}"/>
    <cellStyle name="Normal 5 2 2 3 3 2 3" xfId="5206" xr:uid="{00000000-0005-0000-0000-0000C3170000}"/>
    <cellStyle name="Normal 5 2 2 3 3 2 3 2" xfId="13656" xr:uid="{301277CA-C679-4C0C-BF91-E09D48CA4903}"/>
    <cellStyle name="Normal 5 2 2 3 3 2 4" xfId="9438" xr:uid="{C2DB83CF-8CCC-42EA-A89B-98989E47A8FA}"/>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3810ECBB-10AB-4F08-9365-76357111E7CE}"/>
    <cellStyle name="Normal 5 2 2 3 3 3 2 3" xfId="11996" xr:uid="{755014BF-1CC4-4249-B851-76570B94A799}"/>
    <cellStyle name="Normal 5 2 2 3 3 3 3" xfId="5619" xr:uid="{00000000-0005-0000-0000-0000C7170000}"/>
    <cellStyle name="Normal 5 2 2 3 3 3 3 2" xfId="14069" xr:uid="{50BAD9CB-BFCA-489B-857E-717A83D15C55}"/>
    <cellStyle name="Normal 5 2 2 3 3 3 4" xfId="9851" xr:uid="{0650960E-19B9-4AD4-8C22-30C1D84B7421}"/>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7B3F489E-AFFF-4E73-924A-9E329A253EFD}"/>
    <cellStyle name="Normal 5 2 2 3 3 4 2 3" xfId="12409" xr:uid="{43AC5D3F-D322-4257-A3FD-04DC85AB5561}"/>
    <cellStyle name="Normal 5 2 2 3 3 4 3" xfId="6032" xr:uid="{00000000-0005-0000-0000-0000CB170000}"/>
    <cellStyle name="Normal 5 2 2 3 3 4 3 2" xfId="14482" xr:uid="{EAB7ED86-AF77-4E9E-A9A9-AC8940FB3B9D}"/>
    <cellStyle name="Normal 5 2 2 3 3 4 4" xfId="10264" xr:uid="{D3C1DB9F-BF1E-474A-93BD-AF17FBB1394D}"/>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98AF3881-62FD-4737-935B-AE12BF1C88F6}"/>
    <cellStyle name="Normal 5 2 2 3 3 5 2 3" xfId="12822" xr:uid="{91C442C6-BF94-4C9A-B397-47FC6A41C1CD}"/>
    <cellStyle name="Normal 5 2 2 3 3 5 3" xfId="6445" xr:uid="{00000000-0005-0000-0000-0000CF170000}"/>
    <cellStyle name="Normal 5 2 2 3 3 5 3 2" xfId="14895" xr:uid="{E56D2841-605C-46A6-B1C7-2E1D6EC141F3}"/>
    <cellStyle name="Normal 5 2 2 3 3 5 4" xfId="10677" xr:uid="{DEE49F9D-576C-4E72-8C69-9090C2D08971}"/>
    <cellStyle name="Normal 5 2 2 3 3 6" xfId="2575" xr:uid="{00000000-0005-0000-0000-0000D0170000}"/>
    <cellStyle name="Normal 5 2 2 3 3 6 2" xfId="6858" xr:uid="{00000000-0005-0000-0000-0000D1170000}"/>
    <cellStyle name="Normal 5 2 2 3 3 6 2 2" xfId="15308" xr:uid="{C41D3B6B-BD9F-4792-B15E-9063E12DE4E0}"/>
    <cellStyle name="Normal 5 2 2 3 3 6 3" xfId="11090" xr:uid="{6F5029E2-B8F2-42B4-A75C-2A32BD7DB1A0}"/>
    <cellStyle name="Normal 5 2 2 3 3 7" xfId="4793" xr:uid="{00000000-0005-0000-0000-0000D2170000}"/>
    <cellStyle name="Normal 5 2 2 3 3 7 2" xfId="13243" xr:uid="{C2F0762E-5E55-45A7-B3A9-9A314192C776}"/>
    <cellStyle name="Normal 5 2 2 3 3 8" xfId="9025" xr:uid="{836B01DD-B32B-4B9C-AD6B-F1D262872D94}"/>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C823A52D-E8FE-400D-98D0-8A3E41298248}"/>
    <cellStyle name="Normal 5 2 2 3 4 2 3" xfId="11580" xr:uid="{D032B7AC-B7A2-47E8-B461-AD08497A7E5A}"/>
    <cellStyle name="Normal 5 2 2 3 4 3" xfId="5203" xr:uid="{00000000-0005-0000-0000-0000D6170000}"/>
    <cellStyle name="Normal 5 2 2 3 4 3 2" xfId="13653" xr:uid="{9F7AFE8D-963C-41BC-A398-D3A9EBE051D8}"/>
    <cellStyle name="Normal 5 2 2 3 4 4" xfId="9435" xr:uid="{5E1A3897-DD9B-4751-A76C-F39CCE6A24B3}"/>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90EECDE3-5C86-491B-9ED5-C71AFDF15827}"/>
    <cellStyle name="Normal 5 2 2 3 5 2 3" xfId="11993" xr:uid="{2D039AAE-F3F5-4265-B444-D8A8FF01F8CE}"/>
    <cellStyle name="Normal 5 2 2 3 5 3" xfId="5616" xr:uid="{00000000-0005-0000-0000-0000DA170000}"/>
    <cellStyle name="Normal 5 2 2 3 5 3 2" xfId="14066" xr:uid="{C1C3DDBB-F4CF-4E44-93F0-6DA9B3D4AFC6}"/>
    <cellStyle name="Normal 5 2 2 3 5 4" xfId="9848" xr:uid="{D859D40C-7D51-4037-BB4E-6EF51FE25B9D}"/>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B5E6C883-C8C7-444E-BCEB-98EF7B0AF6C1}"/>
    <cellStyle name="Normal 5 2 2 3 6 2 3" xfId="12406" xr:uid="{0F7A2B10-6BC0-4961-B183-9C6EDBE95AFD}"/>
    <cellStyle name="Normal 5 2 2 3 6 3" xfId="6029" xr:uid="{00000000-0005-0000-0000-0000DE170000}"/>
    <cellStyle name="Normal 5 2 2 3 6 3 2" xfId="14479" xr:uid="{0493AA3E-F4FE-49D6-B0AA-D1F1F7CE9DA4}"/>
    <cellStyle name="Normal 5 2 2 3 6 4" xfId="10261" xr:uid="{4546C997-D65C-41F9-BEA7-2D9F7EA7AE6A}"/>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1EE65E81-F109-4063-A1E1-A07ABE2AEE42}"/>
    <cellStyle name="Normal 5 2 2 3 7 2 3" xfId="12819" xr:uid="{62419C24-F1DC-4AEC-9585-1910ED30C27C}"/>
    <cellStyle name="Normal 5 2 2 3 7 3" xfId="6442" xr:uid="{00000000-0005-0000-0000-0000E2170000}"/>
    <cellStyle name="Normal 5 2 2 3 7 3 2" xfId="14892" xr:uid="{A85777FC-38EE-40F0-8B52-C9EB0B215BAA}"/>
    <cellStyle name="Normal 5 2 2 3 7 4" xfId="10674" xr:uid="{6F62289A-B311-46B8-9CAC-181573EF87BE}"/>
    <cellStyle name="Normal 5 2 2 3 8" xfId="2572" xr:uid="{00000000-0005-0000-0000-0000E3170000}"/>
    <cellStyle name="Normal 5 2 2 3 8 2" xfId="6855" xr:uid="{00000000-0005-0000-0000-0000E4170000}"/>
    <cellStyle name="Normal 5 2 2 3 8 2 2" xfId="15305" xr:uid="{96BDDA4F-C896-4F44-BC58-EF571A26677A}"/>
    <cellStyle name="Normal 5 2 2 3 8 3" xfId="11087" xr:uid="{BC50E06A-47B8-4AD6-8CDF-0D9C9ECCF5FA}"/>
    <cellStyle name="Normal 5 2 2 3 9" xfId="4790" xr:uid="{00000000-0005-0000-0000-0000E5170000}"/>
    <cellStyle name="Normal 5 2 2 3 9 2" xfId="13240" xr:uid="{0B4DE080-D10F-4D2A-9324-E2D2AEDB006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FBA0E6A6-12CB-4F0F-A073-9609035ED059}"/>
    <cellStyle name="Normal 5 2 2 4 2 2 2 3" xfId="11585" xr:uid="{EB9F8033-5AFD-4967-B83B-44956DFD7C76}"/>
    <cellStyle name="Normal 5 2 2 4 2 2 3" xfId="5208" xr:uid="{00000000-0005-0000-0000-0000EB170000}"/>
    <cellStyle name="Normal 5 2 2 4 2 2 3 2" xfId="13658" xr:uid="{552F7CD7-B3EA-4901-A331-542E4455AD31}"/>
    <cellStyle name="Normal 5 2 2 4 2 2 4" xfId="9440" xr:uid="{46B769FA-9368-4D9D-B9A9-B7091E2E1F35}"/>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79956964-0208-43F1-80D8-7E7022CE3211}"/>
    <cellStyle name="Normal 5 2 2 4 2 3 2 3" xfId="11998" xr:uid="{17344DA8-D8EB-4688-86C7-AEE7BD541EFA}"/>
    <cellStyle name="Normal 5 2 2 4 2 3 3" xfId="5621" xr:uid="{00000000-0005-0000-0000-0000EF170000}"/>
    <cellStyle name="Normal 5 2 2 4 2 3 3 2" xfId="14071" xr:uid="{21057AE3-6A1F-4255-B8E8-9E477CAAC80F}"/>
    <cellStyle name="Normal 5 2 2 4 2 3 4" xfId="9853" xr:uid="{D5C54010-36C9-455E-9813-081E274127EA}"/>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EBF4EA99-9341-4A3D-AED9-683EE950F601}"/>
    <cellStyle name="Normal 5 2 2 4 2 4 2 3" xfId="12411" xr:uid="{63A6B9FE-AD4B-46B2-9CC9-E0CFC088A549}"/>
    <cellStyle name="Normal 5 2 2 4 2 4 3" xfId="6034" xr:uid="{00000000-0005-0000-0000-0000F3170000}"/>
    <cellStyle name="Normal 5 2 2 4 2 4 3 2" xfId="14484" xr:uid="{09D413B6-8515-4E7E-819C-6D0414D5D832}"/>
    <cellStyle name="Normal 5 2 2 4 2 4 4" xfId="10266" xr:uid="{563C5961-8C82-43BA-AFC0-60F9FE897C6D}"/>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31114D84-46DD-4D74-9F21-4AC92FEF24F2}"/>
    <cellStyle name="Normal 5 2 2 4 2 5 2 3" xfId="12824" xr:uid="{4BC4F75E-D684-40D2-8371-37623C18E450}"/>
    <cellStyle name="Normal 5 2 2 4 2 5 3" xfId="6447" xr:uid="{00000000-0005-0000-0000-0000F7170000}"/>
    <cellStyle name="Normal 5 2 2 4 2 5 3 2" xfId="14897" xr:uid="{12882DC9-7D6E-4A9D-B446-6AFCC4697D83}"/>
    <cellStyle name="Normal 5 2 2 4 2 5 4" xfId="10679" xr:uid="{D33658EB-25DC-4D37-B305-12F4F29BD4F5}"/>
    <cellStyle name="Normal 5 2 2 4 2 6" xfId="2577" xr:uid="{00000000-0005-0000-0000-0000F8170000}"/>
    <cellStyle name="Normal 5 2 2 4 2 6 2" xfId="6860" xr:uid="{00000000-0005-0000-0000-0000F9170000}"/>
    <cellStyle name="Normal 5 2 2 4 2 6 2 2" xfId="15310" xr:uid="{2E473569-D638-411E-8654-649EDB5E6141}"/>
    <cellStyle name="Normal 5 2 2 4 2 6 3" xfId="11092" xr:uid="{8C7829EB-256C-4B2C-9E61-EBDD5FF4294D}"/>
    <cellStyle name="Normal 5 2 2 4 2 7" xfId="4795" xr:uid="{00000000-0005-0000-0000-0000FA170000}"/>
    <cellStyle name="Normal 5 2 2 4 2 7 2" xfId="13245" xr:uid="{FD9B264A-83E2-4CA0-AAD8-C8ED785499BD}"/>
    <cellStyle name="Normal 5 2 2 4 2 8" xfId="9027" xr:uid="{C2640476-9A29-47BC-8402-97E3FDB629EC}"/>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C0C9A6C1-CCDD-40FC-9730-9AE626064EBF}"/>
    <cellStyle name="Normal 5 2 2 4 3 2 3" xfId="11584" xr:uid="{41B9FEF0-519D-47A2-84BF-DD86EA35CEE3}"/>
    <cellStyle name="Normal 5 2 2 4 3 3" xfId="5207" xr:uid="{00000000-0005-0000-0000-0000FE170000}"/>
    <cellStyle name="Normal 5 2 2 4 3 3 2" xfId="13657" xr:uid="{0D99D96D-28AC-4BA1-ABF7-FC36D79AEA3D}"/>
    <cellStyle name="Normal 5 2 2 4 3 4" xfId="9439" xr:uid="{D3DE97C4-24CD-4C1B-ABED-3B99962278B9}"/>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1041FBCE-7E57-42CF-896B-71D486EEAB1C}"/>
    <cellStyle name="Normal 5 2 2 4 4 2 3" xfId="11997" xr:uid="{3F7B4BA5-C80A-4C60-A12F-879B17F2DA8B}"/>
    <cellStyle name="Normal 5 2 2 4 4 3" xfId="5620" xr:uid="{00000000-0005-0000-0000-000002180000}"/>
    <cellStyle name="Normal 5 2 2 4 4 3 2" xfId="14070" xr:uid="{E89FA897-EC30-4074-BAF4-5906FDC6DAE8}"/>
    <cellStyle name="Normal 5 2 2 4 4 4" xfId="9852" xr:uid="{01443A85-F73B-4C7D-BCA9-5AED1ECC4A02}"/>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B1EFC57C-D609-45F1-8BC2-FB32C1A8438C}"/>
    <cellStyle name="Normal 5 2 2 4 5 2 3" xfId="12410" xr:uid="{097F83AA-4CBC-4762-8A4E-D83146AE9F7C}"/>
    <cellStyle name="Normal 5 2 2 4 5 3" xfId="6033" xr:uid="{00000000-0005-0000-0000-000006180000}"/>
    <cellStyle name="Normal 5 2 2 4 5 3 2" xfId="14483" xr:uid="{742A600A-A54F-431B-9D21-6528E2D1C862}"/>
    <cellStyle name="Normal 5 2 2 4 5 4" xfId="10265" xr:uid="{589847B1-2D97-445F-A903-1985255B9351}"/>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DD2FA662-920E-418B-8BE8-AAA8A7B076D3}"/>
    <cellStyle name="Normal 5 2 2 4 6 2 3" xfId="12823" xr:uid="{8CCA6C18-B0C3-4437-A86C-0BBC6BE12E3D}"/>
    <cellStyle name="Normal 5 2 2 4 6 3" xfId="6446" xr:uid="{00000000-0005-0000-0000-00000A180000}"/>
    <cellStyle name="Normal 5 2 2 4 6 3 2" xfId="14896" xr:uid="{E02817B8-8D41-4661-9D7E-C99D1BC63266}"/>
    <cellStyle name="Normal 5 2 2 4 6 4" xfId="10678" xr:uid="{CF068263-2630-48FD-B936-AC3DB80FBB2B}"/>
    <cellStyle name="Normal 5 2 2 4 7" xfId="2576" xr:uid="{00000000-0005-0000-0000-00000B180000}"/>
    <cellStyle name="Normal 5 2 2 4 7 2" xfId="6859" xr:uid="{00000000-0005-0000-0000-00000C180000}"/>
    <cellStyle name="Normal 5 2 2 4 7 2 2" xfId="15309" xr:uid="{344DAB4D-20D5-4060-BEF6-4BCC3FE25541}"/>
    <cellStyle name="Normal 5 2 2 4 7 3" xfId="11091" xr:uid="{B9E2BA7B-5DCB-463B-82D9-49328C33F910}"/>
    <cellStyle name="Normal 5 2 2 4 8" xfId="4794" xr:uid="{00000000-0005-0000-0000-00000D180000}"/>
    <cellStyle name="Normal 5 2 2 4 8 2" xfId="13244" xr:uid="{BC2C41B1-6486-42B3-90DC-A2EBB77AE71B}"/>
    <cellStyle name="Normal 5 2 2 4 9" xfId="9026" xr:uid="{AA92D5A7-8400-439A-94DD-1EEC25483BCD}"/>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3B4C07FF-8A1D-4E8A-88C1-B6E3A58849E0}"/>
    <cellStyle name="Normal 5 2 2 5 2 2 3" xfId="11586" xr:uid="{D74D7684-9F28-4F85-B38B-28113E61601A}"/>
    <cellStyle name="Normal 5 2 2 5 2 3" xfId="5209" xr:uid="{00000000-0005-0000-0000-000012180000}"/>
    <cellStyle name="Normal 5 2 2 5 2 3 2" xfId="13659" xr:uid="{0556BE46-BDE9-4811-A3DD-0887C5A0D22D}"/>
    <cellStyle name="Normal 5 2 2 5 2 4" xfId="9441" xr:uid="{24D7DE92-40F8-4829-8EEC-478F4DE774AF}"/>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2354F4DC-1549-439B-BC3A-298D3C8A5E27}"/>
    <cellStyle name="Normal 5 2 2 5 3 2 3" xfId="11999" xr:uid="{8D724EB1-DF23-41B2-B157-4F601B8B718D}"/>
    <cellStyle name="Normal 5 2 2 5 3 3" xfId="5622" xr:uid="{00000000-0005-0000-0000-000016180000}"/>
    <cellStyle name="Normal 5 2 2 5 3 3 2" xfId="14072" xr:uid="{FC408004-F6C0-4B2B-994F-0A37D9E0CAFE}"/>
    <cellStyle name="Normal 5 2 2 5 3 4" xfId="9854" xr:uid="{326923A4-37AA-428D-A8E7-873311256104}"/>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E308CFA5-9960-41F8-BF0D-B56896C3ECFE}"/>
    <cellStyle name="Normal 5 2 2 5 4 2 3" xfId="12412" xr:uid="{483EEBF5-12D0-4D87-BC5E-295F7393FAA9}"/>
    <cellStyle name="Normal 5 2 2 5 4 3" xfId="6035" xr:uid="{00000000-0005-0000-0000-00001A180000}"/>
    <cellStyle name="Normal 5 2 2 5 4 3 2" xfId="14485" xr:uid="{A83E6EC8-7BBC-411B-968C-47D5511F1590}"/>
    <cellStyle name="Normal 5 2 2 5 4 4" xfId="10267" xr:uid="{70C6DD36-82A9-42E5-BC8C-7782A3255A4D}"/>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86296CD5-8F7F-4507-B1B6-BD0D18766BB9}"/>
    <cellStyle name="Normal 5 2 2 5 5 2 3" xfId="12825" xr:uid="{56D4FD11-EEA8-458C-8EF8-6559BC6249E8}"/>
    <cellStyle name="Normal 5 2 2 5 5 3" xfId="6448" xr:uid="{00000000-0005-0000-0000-00001E180000}"/>
    <cellStyle name="Normal 5 2 2 5 5 3 2" xfId="14898" xr:uid="{4C51163C-C287-427E-A81E-44A437E91B3D}"/>
    <cellStyle name="Normal 5 2 2 5 5 4" xfId="10680" xr:uid="{2333E732-7C83-4269-BD9B-3A1E78E76C12}"/>
    <cellStyle name="Normal 5 2 2 5 6" xfId="2578" xr:uid="{00000000-0005-0000-0000-00001F180000}"/>
    <cellStyle name="Normal 5 2 2 5 6 2" xfId="6861" xr:uid="{00000000-0005-0000-0000-000020180000}"/>
    <cellStyle name="Normal 5 2 2 5 6 2 2" xfId="15311" xr:uid="{F1FE4813-19DF-411F-BA54-0E783297199A}"/>
    <cellStyle name="Normal 5 2 2 5 6 3" xfId="11093" xr:uid="{A235232A-84F9-4E55-9A11-B0C59EDCB3F9}"/>
    <cellStyle name="Normal 5 2 2 5 7" xfId="4796" xr:uid="{00000000-0005-0000-0000-000021180000}"/>
    <cellStyle name="Normal 5 2 2 5 7 2" xfId="13246" xr:uid="{EB6DDC63-8B28-41E3-BFEB-D2A0F465C40C}"/>
    <cellStyle name="Normal 5 2 2 5 8" xfId="9028" xr:uid="{F0628E49-7E3A-43D1-B5FA-E53D69717AAC}"/>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FE35CE53-F3B9-446F-8BA9-358D4684FC65}"/>
    <cellStyle name="Normal 5 2 2 6 2 3" xfId="11571" xr:uid="{E02114C7-EBB3-49C8-8A92-117EA2508E51}"/>
    <cellStyle name="Normal 5 2 2 6 3" xfId="5194" xr:uid="{00000000-0005-0000-0000-000025180000}"/>
    <cellStyle name="Normal 5 2 2 6 3 2" xfId="13644" xr:uid="{CD77760B-2FAA-4EE6-A5D9-B59FCA5268F2}"/>
    <cellStyle name="Normal 5 2 2 6 4" xfId="9426" xr:uid="{34ED11C9-2DF3-475C-98BC-C3D2CA7ABE55}"/>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B56AEE25-CF9A-4FE3-89DD-29D6C2DD3A28}"/>
    <cellStyle name="Normal 5 2 2 7 2 3" xfId="11984" xr:uid="{85931254-E26C-4E47-960C-E291DC9DAEC1}"/>
    <cellStyle name="Normal 5 2 2 7 3" xfId="5607" xr:uid="{00000000-0005-0000-0000-000029180000}"/>
    <cellStyle name="Normal 5 2 2 7 3 2" xfId="14057" xr:uid="{D511CC73-81C7-4593-BB40-0DB4C5A29AC8}"/>
    <cellStyle name="Normal 5 2 2 7 4" xfId="9839" xr:uid="{256C1E35-DA74-4F73-ADC6-9214E41FD327}"/>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0131E98B-AAD8-4C4D-A99B-BFC6B386BF3A}"/>
    <cellStyle name="Normal 5 2 2 8 2 3" xfId="12397" xr:uid="{ED2937AA-BE2D-46CD-937C-356E59F4A697}"/>
    <cellStyle name="Normal 5 2 2 8 3" xfId="6020" xr:uid="{00000000-0005-0000-0000-00002D180000}"/>
    <cellStyle name="Normal 5 2 2 8 3 2" xfId="14470" xr:uid="{AF536514-4E76-46CE-82D2-E5483B96728E}"/>
    <cellStyle name="Normal 5 2 2 8 4" xfId="10252" xr:uid="{8A5730A8-DF0E-4FA4-B32D-3219A76A2920}"/>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9A632D60-3506-491E-968A-7770AB6E132E}"/>
    <cellStyle name="Normal 5 2 2 9 2 3" xfId="12810" xr:uid="{39724BEC-E728-495D-901A-6FAF694F26EB}"/>
    <cellStyle name="Normal 5 2 2 9 3" xfId="6433" xr:uid="{00000000-0005-0000-0000-000031180000}"/>
    <cellStyle name="Normal 5 2 2 9 3 2" xfId="14883" xr:uid="{9F9E3ED6-9D2C-4D11-8709-6403B2E7D2E0}"/>
    <cellStyle name="Normal 5 2 2 9 4" xfId="10665" xr:uid="{BF0C26FC-AE76-445C-8308-EAF3D0EA6650}"/>
    <cellStyle name="Normal 5 2 3" xfId="424" xr:uid="{00000000-0005-0000-0000-000032180000}"/>
    <cellStyle name="Normal 5 2 3 10" xfId="4797" xr:uid="{00000000-0005-0000-0000-000033180000}"/>
    <cellStyle name="Normal 5 2 3 10 2" xfId="13247" xr:uid="{23833516-A105-4469-B1C6-92266BE3656C}"/>
    <cellStyle name="Normal 5 2 3 11" xfId="9029" xr:uid="{AEA5F9AA-1349-4AA9-9EE0-DB1197EF95B0}"/>
    <cellStyle name="Normal 5 2 3 2" xfId="425" xr:uid="{00000000-0005-0000-0000-000034180000}"/>
    <cellStyle name="Normal 5 2 3 2 10" xfId="9030" xr:uid="{DEF473BC-1B09-4C41-A1FB-0084111F0AA6}"/>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D9F9D00D-3133-4BA4-9059-9C04BDC65B1B}"/>
    <cellStyle name="Normal 5 2 3 2 2 2 2 2 3" xfId="11590" xr:uid="{E1BCAC78-B794-466B-85A4-12E3880B7596}"/>
    <cellStyle name="Normal 5 2 3 2 2 2 2 3" xfId="5213" xr:uid="{00000000-0005-0000-0000-00003A180000}"/>
    <cellStyle name="Normal 5 2 3 2 2 2 2 3 2" xfId="13663" xr:uid="{21D7E3A1-1EAD-4DF5-BD1D-308704D15728}"/>
    <cellStyle name="Normal 5 2 3 2 2 2 2 4" xfId="9445" xr:uid="{F3CCB499-8E49-477C-AFCB-A3BDDA8F0E5D}"/>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426E786F-DD26-4058-93A4-EAFA697C98B1}"/>
    <cellStyle name="Normal 5 2 3 2 2 2 3 2 3" xfId="12003" xr:uid="{5EA973B7-7350-49CC-87B3-C525BFB01F01}"/>
    <cellStyle name="Normal 5 2 3 2 2 2 3 3" xfId="5626" xr:uid="{00000000-0005-0000-0000-00003E180000}"/>
    <cellStyle name="Normal 5 2 3 2 2 2 3 3 2" xfId="14076" xr:uid="{0E1CCBDC-840C-4C24-98A3-B359F7E7E5AC}"/>
    <cellStyle name="Normal 5 2 3 2 2 2 3 4" xfId="9858" xr:uid="{217BCFC7-2A8A-4BC3-A34F-47A5FFB7E97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6CC847D2-046E-4285-AD60-4851C8F1D973}"/>
    <cellStyle name="Normal 5 2 3 2 2 2 4 2 3" xfId="12416" xr:uid="{D0501F09-5B24-4C1A-8B9C-F8106FC0C8B3}"/>
    <cellStyle name="Normal 5 2 3 2 2 2 4 3" xfId="6039" xr:uid="{00000000-0005-0000-0000-000042180000}"/>
    <cellStyle name="Normal 5 2 3 2 2 2 4 3 2" xfId="14489" xr:uid="{B9C36A01-FD9A-4E6E-AA7C-4C80B2749862}"/>
    <cellStyle name="Normal 5 2 3 2 2 2 4 4" xfId="10271" xr:uid="{A52A2438-0D41-4BAD-9B70-B24ADD56149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1CA257D3-6F1D-459F-82FD-D4448331A011}"/>
    <cellStyle name="Normal 5 2 3 2 2 2 5 2 3" xfId="12829" xr:uid="{9322BC93-37EB-478B-810F-8E4891259DF1}"/>
    <cellStyle name="Normal 5 2 3 2 2 2 5 3" xfId="6452" xr:uid="{00000000-0005-0000-0000-000046180000}"/>
    <cellStyle name="Normal 5 2 3 2 2 2 5 3 2" xfId="14902" xr:uid="{B8086E9B-4F3A-48F9-AE5B-6DC3D85A7C24}"/>
    <cellStyle name="Normal 5 2 3 2 2 2 5 4" xfId="10684" xr:uid="{F20FD123-A906-490B-A444-96C15CC991AC}"/>
    <cellStyle name="Normal 5 2 3 2 2 2 6" xfId="2582" xr:uid="{00000000-0005-0000-0000-000047180000}"/>
    <cellStyle name="Normal 5 2 3 2 2 2 6 2" xfId="6865" xr:uid="{00000000-0005-0000-0000-000048180000}"/>
    <cellStyle name="Normal 5 2 3 2 2 2 6 2 2" xfId="15315" xr:uid="{61E3CEDB-3E4B-4B99-A479-F476BA935407}"/>
    <cellStyle name="Normal 5 2 3 2 2 2 6 3" xfId="11097" xr:uid="{684DD749-D39F-4D20-8A07-E463DE192B8F}"/>
    <cellStyle name="Normal 5 2 3 2 2 2 7" xfId="4800" xr:uid="{00000000-0005-0000-0000-000049180000}"/>
    <cellStyle name="Normal 5 2 3 2 2 2 7 2" xfId="13250" xr:uid="{092A0342-07CB-4C44-80A2-EDBE5C55C35E}"/>
    <cellStyle name="Normal 5 2 3 2 2 2 8" xfId="9032" xr:uid="{7EE3410E-8360-4DD6-ABDD-756AC2F1EA0E}"/>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F7AD0CF9-CBFE-46BF-A957-178B21E514F5}"/>
    <cellStyle name="Normal 5 2 3 2 2 3 2 3" xfId="11589" xr:uid="{F1142F1D-EBE8-4971-BA4C-E001326C8007}"/>
    <cellStyle name="Normal 5 2 3 2 2 3 3" xfId="5212" xr:uid="{00000000-0005-0000-0000-00004D180000}"/>
    <cellStyle name="Normal 5 2 3 2 2 3 3 2" xfId="13662" xr:uid="{7B9A452A-5355-4B09-8CC2-A1AA33722CAF}"/>
    <cellStyle name="Normal 5 2 3 2 2 3 4" xfId="9444" xr:uid="{43C16690-2E4E-4133-A909-9E94C74F786B}"/>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805BB59E-5BD0-47A2-B581-B743237B81FA}"/>
    <cellStyle name="Normal 5 2 3 2 2 4 2 3" xfId="12002" xr:uid="{119C22DE-E95C-4922-A982-7C6BB1AEEA12}"/>
    <cellStyle name="Normal 5 2 3 2 2 4 3" xfId="5625" xr:uid="{00000000-0005-0000-0000-000051180000}"/>
    <cellStyle name="Normal 5 2 3 2 2 4 3 2" xfId="14075" xr:uid="{D0BF6EAA-F9C9-4205-A9A7-DEDBF71A77E8}"/>
    <cellStyle name="Normal 5 2 3 2 2 4 4" xfId="9857" xr:uid="{B79BAD38-AD83-498C-8455-C505A505727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42BA149B-11D0-4ED7-AD2F-C72BBC4C1918}"/>
    <cellStyle name="Normal 5 2 3 2 2 5 2 3" xfId="12415" xr:uid="{D1A05EC8-9651-4674-BD4B-17026FDA15CF}"/>
    <cellStyle name="Normal 5 2 3 2 2 5 3" xfId="6038" xr:uid="{00000000-0005-0000-0000-000055180000}"/>
    <cellStyle name="Normal 5 2 3 2 2 5 3 2" xfId="14488" xr:uid="{AC85A710-E82A-4097-9793-F1B11ED42AFF}"/>
    <cellStyle name="Normal 5 2 3 2 2 5 4" xfId="10270" xr:uid="{00AAF6A4-EB88-46D8-B92C-40C2D261A573}"/>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354C8388-F1FE-4428-B86E-D8D899992887}"/>
    <cellStyle name="Normal 5 2 3 2 2 6 2 3" xfId="12828" xr:uid="{FBC23A52-A1C0-4486-A4BF-1DBABB1A53C3}"/>
    <cellStyle name="Normal 5 2 3 2 2 6 3" xfId="6451" xr:uid="{00000000-0005-0000-0000-000059180000}"/>
    <cellStyle name="Normal 5 2 3 2 2 6 3 2" xfId="14901" xr:uid="{A3E10964-BE25-46E8-86ED-CBF410C54247}"/>
    <cellStyle name="Normal 5 2 3 2 2 6 4" xfId="10683" xr:uid="{C4096D14-7E59-4EDA-9FAA-D5FE97207615}"/>
    <cellStyle name="Normal 5 2 3 2 2 7" xfId="2581" xr:uid="{00000000-0005-0000-0000-00005A180000}"/>
    <cellStyle name="Normal 5 2 3 2 2 7 2" xfId="6864" xr:uid="{00000000-0005-0000-0000-00005B180000}"/>
    <cellStyle name="Normal 5 2 3 2 2 7 2 2" xfId="15314" xr:uid="{E29FF185-6F83-4861-9C46-6F73D3B86C56}"/>
    <cellStyle name="Normal 5 2 3 2 2 7 3" xfId="11096" xr:uid="{1EED7172-C71B-4D68-931C-0A43BC719689}"/>
    <cellStyle name="Normal 5 2 3 2 2 8" xfId="4799" xr:uid="{00000000-0005-0000-0000-00005C180000}"/>
    <cellStyle name="Normal 5 2 3 2 2 8 2" xfId="13249" xr:uid="{2676E0F2-9FC7-4C3A-94A9-DF2484DC5B8F}"/>
    <cellStyle name="Normal 5 2 3 2 2 9" xfId="9031" xr:uid="{02C165F7-1EC7-4BFD-B176-14B2D680376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6593ED75-2165-4145-9A1D-C61AC79B0CB4}"/>
    <cellStyle name="Normal 5 2 3 2 3 2 2 3" xfId="11591" xr:uid="{8F0E2D43-E0BE-41DC-A87C-A5D36EA68DEE}"/>
    <cellStyle name="Normal 5 2 3 2 3 2 3" xfId="5214" xr:uid="{00000000-0005-0000-0000-000061180000}"/>
    <cellStyle name="Normal 5 2 3 2 3 2 3 2" xfId="13664" xr:uid="{716FC5C6-5FB9-4782-AEC1-800FED855ABA}"/>
    <cellStyle name="Normal 5 2 3 2 3 2 4" xfId="9446" xr:uid="{DA244BC8-52FA-4B9B-A177-BE9AA9E3032E}"/>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75EDCA89-E919-43EE-B0EA-CA2BCA4442BA}"/>
    <cellStyle name="Normal 5 2 3 2 3 3 2 3" xfId="12004" xr:uid="{4E42DE3E-07E5-4545-A070-E8AABCE1DCE7}"/>
    <cellStyle name="Normal 5 2 3 2 3 3 3" xfId="5627" xr:uid="{00000000-0005-0000-0000-000065180000}"/>
    <cellStyle name="Normal 5 2 3 2 3 3 3 2" xfId="14077" xr:uid="{05F74229-0E9A-4822-B266-D2CAF5351858}"/>
    <cellStyle name="Normal 5 2 3 2 3 3 4" xfId="9859" xr:uid="{6DFF4299-F028-4CF8-865F-A9398EEC3F96}"/>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A179572F-7876-45A7-89F4-4CAD43DC5AC7}"/>
    <cellStyle name="Normal 5 2 3 2 3 4 2 3" xfId="12417" xr:uid="{DEE51094-6B92-4FB5-A6E3-1FADA8FEC09E}"/>
    <cellStyle name="Normal 5 2 3 2 3 4 3" xfId="6040" xr:uid="{00000000-0005-0000-0000-000069180000}"/>
    <cellStyle name="Normal 5 2 3 2 3 4 3 2" xfId="14490" xr:uid="{ADC5D55E-CEB5-4ECB-9E5B-D09266CF1D9D}"/>
    <cellStyle name="Normal 5 2 3 2 3 4 4" xfId="10272" xr:uid="{C9155B99-7D8E-4886-A91C-F0D2952AC477}"/>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30CAC00F-E4F6-430A-A609-CBA78901FA13}"/>
    <cellStyle name="Normal 5 2 3 2 3 5 2 3" xfId="12830" xr:uid="{FDFA1CAC-BB68-484A-A711-A784E7041E3E}"/>
    <cellStyle name="Normal 5 2 3 2 3 5 3" xfId="6453" xr:uid="{00000000-0005-0000-0000-00006D180000}"/>
    <cellStyle name="Normal 5 2 3 2 3 5 3 2" xfId="14903" xr:uid="{0BFAEDB8-1549-48CF-8938-1DB291B81BD4}"/>
    <cellStyle name="Normal 5 2 3 2 3 5 4" xfId="10685" xr:uid="{E77DD576-56D0-4C7A-9E9F-F4019DFB5628}"/>
    <cellStyle name="Normal 5 2 3 2 3 6" xfId="2583" xr:uid="{00000000-0005-0000-0000-00006E180000}"/>
    <cellStyle name="Normal 5 2 3 2 3 6 2" xfId="6866" xr:uid="{00000000-0005-0000-0000-00006F180000}"/>
    <cellStyle name="Normal 5 2 3 2 3 6 2 2" xfId="15316" xr:uid="{D1B28281-07F6-4787-B2C4-CB55791E8B65}"/>
    <cellStyle name="Normal 5 2 3 2 3 6 3" xfId="11098" xr:uid="{EA5C3A48-06BA-4E63-B3CB-41CB589F2E83}"/>
    <cellStyle name="Normal 5 2 3 2 3 7" xfId="4801" xr:uid="{00000000-0005-0000-0000-000070180000}"/>
    <cellStyle name="Normal 5 2 3 2 3 7 2" xfId="13251" xr:uid="{421A93B1-5308-4018-86EC-F2F307A5DC33}"/>
    <cellStyle name="Normal 5 2 3 2 3 8" xfId="9033" xr:uid="{8B01D70C-B7BD-4D33-9655-E76F2B07195F}"/>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9366526C-4954-4839-8680-BE9B6A45BF5C}"/>
    <cellStyle name="Normal 5 2 3 2 4 2 3" xfId="11588" xr:uid="{D79A7343-3343-42C8-994C-6F85DA4EDE1D}"/>
    <cellStyle name="Normal 5 2 3 2 4 3" xfId="5211" xr:uid="{00000000-0005-0000-0000-000074180000}"/>
    <cellStyle name="Normal 5 2 3 2 4 3 2" xfId="13661" xr:uid="{663AA54F-1A12-47D5-912D-9443FEB85547}"/>
    <cellStyle name="Normal 5 2 3 2 4 4" xfId="9443" xr:uid="{7C58BCD5-D4C7-446E-9E02-CD61F8334B74}"/>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AE5BAEFE-9143-4720-BE0F-3714172A1DD8}"/>
    <cellStyle name="Normal 5 2 3 2 5 2 3" xfId="12001" xr:uid="{54B02006-CCB5-4379-BF78-BB81C3D0FB72}"/>
    <cellStyle name="Normal 5 2 3 2 5 3" xfId="5624" xr:uid="{00000000-0005-0000-0000-000078180000}"/>
    <cellStyle name="Normal 5 2 3 2 5 3 2" xfId="14074" xr:uid="{5DA0256D-FA07-49CA-8DC8-F5C3CC86CEFA}"/>
    <cellStyle name="Normal 5 2 3 2 5 4" xfId="9856" xr:uid="{77A14634-D5DF-4040-8016-3811BC2E5D17}"/>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9153400D-78CA-458B-B151-0F9B4F0DE69B}"/>
    <cellStyle name="Normal 5 2 3 2 6 2 3" xfId="12414" xr:uid="{79C2389D-AA6C-4F44-8ED1-1394665E5756}"/>
    <cellStyle name="Normal 5 2 3 2 6 3" xfId="6037" xr:uid="{00000000-0005-0000-0000-00007C180000}"/>
    <cellStyle name="Normal 5 2 3 2 6 3 2" xfId="14487" xr:uid="{1323B677-455F-436D-8613-39F40553DFD5}"/>
    <cellStyle name="Normal 5 2 3 2 6 4" xfId="10269" xr:uid="{3B659D67-9833-4886-AA9A-D379B23595EC}"/>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763EBB89-A74F-4706-922A-FCF8E8F84E83}"/>
    <cellStyle name="Normal 5 2 3 2 7 2 3" xfId="12827" xr:uid="{56C6C208-0FC0-4617-B7E4-7D48DACADA02}"/>
    <cellStyle name="Normal 5 2 3 2 7 3" xfId="6450" xr:uid="{00000000-0005-0000-0000-000080180000}"/>
    <cellStyle name="Normal 5 2 3 2 7 3 2" xfId="14900" xr:uid="{4D05FF5C-ED36-4F85-AA4D-C641229915E2}"/>
    <cellStyle name="Normal 5 2 3 2 7 4" xfId="10682" xr:uid="{1B1EF2CB-FB50-4B76-9D50-A8459CAF06C8}"/>
    <cellStyle name="Normal 5 2 3 2 8" xfId="2580" xr:uid="{00000000-0005-0000-0000-000081180000}"/>
    <cellStyle name="Normal 5 2 3 2 8 2" xfId="6863" xr:uid="{00000000-0005-0000-0000-000082180000}"/>
    <cellStyle name="Normal 5 2 3 2 8 2 2" xfId="15313" xr:uid="{457095C3-A811-4A76-84F5-921E5EAEB508}"/>
    <cellStyle name="Normal 5 2 3 2 8 3" xfId="11095" xr:uid="{F9541C98-1514-48D0-A822-FE144E3A3F67}"/>
    <cellStyle name="Normal 5 2 3 2 9" xfId="4798" xr:uid="{00000000-0005-0000-0000-000083180000}"/>
    <cellStyle name="Normal 5 2 3 2 9 2" xfId="13248" xr:uid="{31A6D05A-125F-4AC2-BB8F-844657C855F9}"/>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0655B072-49C3-4215-AEB7-B325575BF60F}"/>
    <cellStyle name="Normal 5 2 3 3 2 2 2 3" xfId="11593" xr:uid="{54144E44-0020-4FBC-8179-0C0EDA5A0946}"/>
    <cellStyle name="Normal 5 2 3 3 2 2 3" xfId="5216" xr:uid="{00000000-0005-0000-0000-000089180000}"/>
    <cellStyle name="Normal 5 2 3 3 2 2 3 2" xfId="13666" xr:uid="{408C2B81-11D8-447F-A61F-526D1E58AD9B}"/>
    <cellStyle name="Normal 5 2 3 3 2 2 4" xfId="9448" xr:uid="{9CA836CB-B3A2-4C7C-A384-FEED21F0E157}"/>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B4B36AB1-66A3-467B-8EE7-E093C33C626E}"/>
    <cellStyle name="Normal 5 2 3 3 2 3 2 3" xfId="12006" xr:uid="{FB4FADFE-EC5D-4D56-B114-AC115FDFC580}"/>
    <cellStyle name="Normal 5 2 3 3 2 3 3" xfId="5629" xr:uid="{00000000-0005-0000-0000-00008D180000}"/>
    <cellStyle name="Normal 5 2 3 3 2 3 3 2" xfId="14079" xr:uid="{17BE7BAB-B923-4621-956D-F9253A80F17D}"/>
    <cellStyle name="Normal 5 2 3 3 2 3 4" xfId="9861" xr:uid="{D1ADEB75-C120-4BAD-9BAC-B6CCFA17EDAA}"/>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8EACDEDC-495A-4825-A7D2-271AED519D34}"/>
    <cellStyle name="Normal 5 2 3 3 2 4 2 3" xfId="12419" xr:uid="{43F560CF-B43C-45D5-A62D-3F3CF68DFB95}"/>
    <cellStyle name="Normal 5 2 3 3 2 4 3" xfId="6042" xr:uid="{00000000-0005-0000-0000-000091180000}"/>
    <cellStyle name="Normal 5 2 3 3 2 4 3 2" xfId="14492" xr:uid="{5BCA8588-F2F7-47AD-877D-62D1A0EEC735}"/>
    <cellStyle name="Normal 5 2 3 3 2 4 4" xfId="10274" xr:uid="{1A3CE4D3-C5F5-4205-A34D-F148EA3CD4B8}"/>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5FD1D670-B142-45B3-A8E1-2F2934B609E2}"/>
    <cellStyle name="Normal 5 2 3 3 2 5 2 3" xfId="12832" xr:uid="{B4442D7B-0548-4E7B-B135-CA8F67F78DA3}"/>
    <cellStyle name="Normal 5 2 3 3 2 5 3" xfId="6455" xr:uid="{00000000-0005-0000-0000-000095180000}"/>
    <cellStyle name="Normal 5 2 3 3 2 5 3 2" xfId="14905" xr:uid="{B70D2015-65C4-4222-A982-675239754AAB}"/>
    <cellStyle name="Normal 5 2 3 3 2 5 4" xfId="10687" xr:uid="{19AC81EE-F9B8-4506-BE9A-D004CF73FD0F}"/>
    <cellStyle name="Normal 5 2 3 3 2 6" xfId="2585" xr:uid="{00000000-0005-0000-0000-000096180000}"/>
    <cellStyle name="Normal 5 2 3 3 2 6 2" xfId="6868" xr:uid="{00000000-0005-0000-0000-000097180000}"/>
    <cellStyle name="Normal 5 2 3 3 2 6 2 2" xfId="15318" xr:uid="{D278BB07-D349-4B3C-96E5-757CCEABDCD5}"/>
    <cellStyle name="Normal 5 2 3 3 2 6 3" xfId="11100" xr:uid="{B5FE77B5-040F-423C-BEB7-FC3D5C8A1F8F}"/>
    <cellStyle name="Normal 5 2 3 3 2 7" xfId="4803" xr:uid="{00000000-0005-0000-0000-000098180000}"/>
    <cellStyle name="Normal 5 2 3 3 2 7 2" xfId="13253" xr:uid="{42FCBCF5-73FA-45A3-AF9C-AB948C82F5EC}"/>
    <cellStyle name="Normal 5 2 3 3 2 8" xfId="9035" xr:uid="{93A22BBD-D691-42C8-BC42-C5D0B06E2041}"/>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A0D9199B-A5D3-4362-8632-6AA13DF5E295}"/>
    <cellStyle name="Normal 5 2 3 3 3 2 3" xfId="11592" xr:uid="{646734D9-2BF9-48BA-B0F4-4CBB48E4B6E1}"/>
    <cellStyle name="Normal 5 2 3 3 3 3" xfId="5215" xr:uid="{00000000-0005-0000-0000-00009C180000}"/>
    <cellStyle name="Normal 5 2 3 3 3 3 2" xfId="13665" xr:uid="{DC2F2F81-0683-4B0B-AB20-5D6A61FA066F}"/>
    <cellStyle name="Normal 5 2 3 3 3 4" xfId="9447" xr:uid="{44A8642C-F3A3-4136-B0BB-EF5ADEA7FED7}"/>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BFDB8648-9ADA-4A36-98BE-DD583FDB7CC0}"/>
    <cellStyle name="Normal 5 2 3 3 4 2 3" xfId="12005" xr:uid="{BE7F2A8B-0947-43BE-BB72-905EDB8D74E1}"/>
    <cellStyle name="Normal 5 2 3 3 4 3" xfId="5628" xr:uid="{00000000-0005-0000-0000-0000A0180000}"/>
    <cellStyle name="Normal 5 2 3 3 4 3 2" xfId="14078" xr:uid="{A39566D8-FF27-455B-9F88-8D49C8272D7E}"/>
    <cellStyle name="Normal 5 2 3 3 4 4" xfId="9860" xr:uid="{D818ED47-0C96-4DA0-9823-3D5ABD9FE5C8}"/>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D236FAF4-5765-49BD-BC9C-881909577434}"/>
    <cellStyle name="Normal 5 2 3 3 5 2 3" xfId="12418" xr:uid="{B5F767A2-D3FA-49BA-BFEA-0AC3D72E353F}"/>
    <cellStyle name="Normal 5 2 3 3 5 3" xfId="6041" xr:uid="{00000000-0005-0000-0000-0000A4180000}"/>
    <cellStyle name="Normal 5 2 3 3 5 3 2" xfId="14491" xr:uid="{04C0A0E6-6780-4875-B6E7-4D28C384C726}"/>
    <cellStyle name="Normal 5 2 3 3 5 4" xfId="10273" xr:uid="{79B34E96-B37B-4054-9001-95EAC826F1E9}"/>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E28E087B-F726-45C6-8B31-DC6D1A059501}"/>
    <cellStyle name="Normal 5 2 3 3 6 2 3" xfId="12831" xr:uid="{3667CF92-1F98-4162-9B1F-8C0916639DD5}"/>
    <cellStyle name="Normal 5 2 3 3 6 3" xfId="6454" xr:uid="{00000000-0005-0000-0000-0000A8180000}"/>
    <cellStyle name="Normal 5 2 3 3 6 3 2" xfId="14904" xr:uid="{C06E7376-55CB-49FC-B375-06331AFDC35F}"/>
    <cellStyle name="Normal 5 2 3 3 6 4" xfId="10686" xr:uid="{58A3CFE0-6422-4A79-A46E-D5758A6B6BCF}"/>
    <cellStyle name="Normal 5 2 3 3 7" xfId="2584" xr:uid="{00000000-0005-0000-0000-0000A9180000}"/>
    <cellStyle name="Normal 5 2 3 3 7 2" xfId="6867" xr:uid="{00000000-0005-0000-0000-0000AA180000}"/>
    <cellStyle name="Normal 5 2 3 3 7 2 2" xfId="15317" xr:uid="{ECDC42AE-FEC2-42AB-866F-E30957767889}"/>
    <cellStyle name="Normal 5 2 3 3 7 3" xfId="11099" xr:uid="{8090A2EE-CC1D-43D6-9496-2986F1112B4C}"/>
    <cellStyle name="Normal 5 2 3 3 8" xfId="4802" xr:uid="{00000000-0005-0000-0000-0000AB180000}"/>
    <cellStyle name="Normal 5 2 3 3 8 2" xfId="13252" xr:uid="{8BFEDEA0-A6FC-4283-986B-154074A7CCAE}"/>
    <cellStyle name="Normal 5 2 3 3 9" xfId="9034" xr:uid="{4DA0ACCB-FE01-42F8-BB2B-D9BE544AB2E8}"/>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2CE0F557-FE7C-44E8-B8CA-9A3B4A714C9E}"/>
    <cellStyle name="Normal 5 2 3 4 2 2 3" xfId="11594" xr:uid="{CE1B718B-F41C-4E65-A03A-C4290290AF6E}"/>
    <cellStyle name="Normal 5 2 3 4 2 3" xfId="5217" xr:uid="{00000000-0005-0000-0000-0000B0180000}"/>
    <cellStyle name="Normal 5 2 3 4 2 3 2" xfId="13667" xr:uid="{F6F2EC87-2CE9-4872-A4C4-D0A8E486D221}"/>
    <cellStyle name="Normal 5 2 3 4 2 4" xfId="9449" xr:uid="{CEF92BBB-FE1B-46B7-B29B-0CE6CFFCD40B}"/>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9080747F-5C59-4727-95E0-AE3754BC6BDC}"/>
    <cellStyle name="Normal 5 2 3 4 3 2 3" xfId="12007" xr:uid="{8151892C-1E4D-4158-B8CF-0EBBA6D0955B}"/>
    <cellStyle name="Normal 5 2 3 4 3 3" xfId="5630" xr:uid="{00000000-0005-0000-0000-0000B4180000}"/>
    <cellStyle name="Normal 5 2 3 4 3 3 2" xfId="14080" xr:uid="{EE474BC5-4187-4B59-BFC3-00391BD7EE7E}"/>
    <cellStyle name="Normal 5 2 3 4 3 4" xfId="9862" xr:uid="{3B7DE7AF-6372-4178-9808-EB9F70C60466}"/>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9E1CCB4B-D100-436C-BE8E-71D4372B7F6B}"/>
    <cellStyle name="Normal 5 2 3 4 4 2 3" xfId="12420" xr:uid="{DB88FF80-57A5-49A8-9B4A-EB37C68AD91C}"/>
    <cellStyle name="Normal 5 2 3 4 4 3" xfId="6043" xr:uid="{00000000-0005-0000-0000-0000B8180000}"/>
    <cellStyle name="Normal 5 2 3 4 4 3 2" xfId="14493" xr:uid="{05F78178-FE78-4153-9653-EDE21E0CC05D}"/>
    <cellStyle name="Normal 5 2 3 4 4 4" xfId="10275" xr:uid="{72DD9635-6854-4C80-9B81-24E7C93A44D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CAA76A2C-8F46-47C0-85F1-41A597E7FD6E}"/>
    <cellStyle name="Normal 5 2 3 4 5 2 3" xfId="12833" xr:uid="{6F3EF570-0AF0-45B9-A381-7C7FAA7BFD65}"/>
    <cellStyle name="Normal 5 2 3 4 5 3" xfId="6456" xr:uid="{00000000-0005-0000-0000-0000BC180000}"/>
    <cellStyle name="Normal 5 2 3 4 5 3 2" xfId="14906" xr:uid="{C1DA3C90-64D6-48CC-8801-29C196260D9A}"/>
    <cellStyle name="Normal 5 2 3 4 5 4" xfId="10688" xr:uid="{91EE3D85-D3B5-4A2E-A386-DA3AB8E79ADB}"/>
    <cellStyle name="Normal 5 2 3 4 6" xfId="2586" xr:uid="{00000000-0005-0000-0000-0000BD180000}"/>
    <cellStyle name="Normal 5 2 3 4 6 2" xfId="6869" xr:uid="{00000000-0005-0000-0000-0000BE180000}"/>
    <cellStyle name="Normal 5 2 3 4 6 2 2" xfId="15319" xr:uid="{E3DDE0CA-F625-451F-9AEF-0C207D6A845D}"/>
    <cellStyle name="Normal 5 2 3 4 6 3" xfId="11101" xr:uid="{0E9F1EB3-A309-4CD7-A153-90A8C583EBC1}"/>
    <cellStyle name="Normal 5 2 3 4 7" xfId="4804" xr:uid="{00000000-0005-0000-0000-0000BF180000}"/>
    <cellStyle name="Normal 5 2 3 4 7 2" xfId="13254" xr:uid="{EA556FAD-C662-4669-BDE4-35A4C6221562}"/>
    <cellStyle name="Normal 5 2 3 4 8" xfId="9036" xr:uid="{F7C00D32-7E33-4702-B110-C5B07AA4BC85}"/>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576E93E4-C279-498A-9432-3F03FCFAE2FB}"/>
    <cellStyle name="Normal 5 2 3 5 2 3" xfId="11587" xr:uid="{5747AD06-05E7-44ED-8FEB-BF6087F07EDE}"/>
    <cellStyle name="Normal 5 2 3 5 3" xfId="5210" xr:uid="{00000000-0005-0000-0000-0000C3180000}"/>
    <cellStyle name="Normal 5 2 3 5 3 2" xfId="13660" xr:uid="{5DDC3838-283B-4F48-86DB-DD888EA4C50B}"/>
    <cellStyle name="Normal 5 2 3 5 4" xfId="9442" xr:uid="{734BC441-3C0B-434D-B9F0-D5E4A1E71084}"/>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DDCB4872-7003-4C22-A960-8A59930F3855}"/>
    <cellStyle name="Normal 5 2 3 6 2 3" xfId="12000" xr:uid="{91E57AF3-A4F1-4F10-A814-F0D551E443E6}"/>
    <cellStyle name="Normal 5 2 3 6 3" xfId="5623" xr:uid="{00000000-0005-0000-0000-0000C7180000}"/>
    <cellStyle name="Normal 5 2 3 6 3 2" xfId="14073" xr:uid="{EADAA2A5-C263-4DA3-9143-45417D2F58F0}"/>
    <cellStyle name="Normal 5 2 3 6 4" xfId="9855" xr:uid="{2DD10EEC-37D3-403B-8EE0-D3AD29D3D23F}"/>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065C9A8A-A99F-4FF0-AC81-7A55CBD21E48}"/>
    <cellStyle name="Normal 5 2 3 7 2 3" xfId="12413" xr:uid="{172DF403-9D5B-4C86-8578-DC51035A343E}"/>
    <cellStyle name="Normal 5 2 3 7 3" xfId="6036" xr:uid="{00000000-0005-0000-0000-0000CB180000}"/>
    <cellStyle name="Normal 5 2 3 7 3 2" xfId="14486" xr:uid="{4CC5A4DD-0E1F-400D-AEEB-69534FCF7D3D}"/>
    <cellStyle name="Normal 5 2 3 7 4" xfId="10268" xr:uid="{44296E3D-8586-4898-86DA-D79E03EEDBFC}"/>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9C819632-09A3-4FB9-BB23-7DCD5DC5DEC9}"/>
    <cellStyle name="Normal 5 2 3 8 2 3" xfId="12826" xr:uid="{52EB1376-20B3-4F64-8E09-CCF2A45B8A39}"/>
    <cellStyle name="Normal 5 2 3 8 3" xfId="6449" xr:uid="{00000000-0005-0000-0000-0000CF180000}"/>
    <cellStyle name="Normal 5 2 3 8 3 2" xfId="14899" xr:uid="{9852AE70-5B50-4BD9-A323-1A1C5B6BC2C0}"/>
    <cellStyle name="Normal 5 2 3 8 4" xfId="10681" xr:uid="{3E724C87-1796-4FDE-97E4-7C9771CD2EC8}"/>
    <cellStyle name="Normal 5 2 3 9" xfId="2579" xr:uid="{00000000-0005-0000-0000-0000D0180000}"/>
    <cellStyle name="Normal 5 2 3 9 2" xfId="6862" xr:uid="{00000000-0005-0000-0000-0000D1180000}"/>
    <cellStyle name="Normal 5 2 3 9 2 2" xfId="15312" xr:uid="{6832E412-2FA2-4CB6-958B-6759D820BCAA}"/>
    <cellStyle name="Normal 5 2 3 9 3" xfId="11094" xr:uid="{94D7DC2B-97C1-40C2-96A1-7E67303BE906}"/>
    <cellStyle name="Normal 5 2 4" xfId="432" xr:uid="{00000000-0005-0000-0000-0000D2180000}"/>
    <cellStyle name="Normal 5 2 4 10" xfId="9037" xr:uid="{9038ACFA-B953-471E-9253-43D3F198AE68}"/>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20A92945-271A-4CA6-9915-D70A7BD1B252}"/>
    <cellStyle name="Normal 5 2 4 2 2 2 2 3" xfId="11597" xr:uid="{0FED84CB-586B-4D26-BF6E-8DF1252786AC}"/>
    <cellStyle name="Normal 5 2 4 2 2 2 3" xfId="5220" xr:uid="{00000000-0005-0000-0000-0000D8180000}"/>
    <cellStyle name="Normal 5 2 4 2 2 2 3 2" xfId="13670" xr:uid="{AE883311-330B-434E-B8D7-282BC5DB0403}"/>
    <cellStyle name="Normal 5 2 4 2 2 2 4" xfId="9452" xr:uid="{8FFFBDCA-630E-48BB-AF07-EF27980E5B26}"/>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AF866F29-B374-49CB-BC00-3E46B7BFFD73}"/>
    <cellStyle name="Normal 5 2 4 2 2 3 2 3" xfId="12010" xr:uid="{FB905556-C21E-4EF9-8DBC-BC87C20895FE}"/>
    <cellStyle name="Normal 5 2 4 2 2 3 3" xfId="5633" xr:uid="{00000000-0005-0000-0000-0000DC180000}"/>
    <cellStyle name="Normal 5 2 4 2 2 3 3 2" xfId="14083" xr:uid="{1BB83AC2-A9B1-4205-AC5B-0DF9B8C83774}"/>
    <cellStyle name="Normal 5 2 4 2 2 3 4" xfId="9865" xr:uid="{56E43277-56AE-45B2-8136-7CA43AA082A7}"/>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BE0D7692-3116-4A06-819A-1E14E0DE6890}"/>
    <cellStyle name="Normal 5 2 4 2 2 4 2 3" xfId="12423" xr:uid="{9C44E823-8F21-4FE7-A9B5-CFAE6C46CA09}"/>
    <cellStyle name="Normal 5 2 4 2 2 4 3" xfId="6046" xr:uid="{00000000-0005-0000-0000-0000E0180000}"/>
    <cellStyle name="Normal 5 2 4 2 2 4 3 2" xfId="14496" xr:uid="{D1FE52CC-8F32-4975-AB3B-E75B60B072BE}"/>
    <cellStyle name="Normal 5 2 4 2 2 4 4" xfId="10278" xr:uid="{B854D78E-7E50-4B5C-A513-501AC552B4CC}"/>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92D5EF2E-402B-4743-B4A7-2CB37313DE90}"/>
    <cellStyle name="Normal 5 2 4 2 2 5 2 3" xfId="12836" xr:uid="{0B123711-15E5-427C-8AB6-2C3F919FDD52}"/>
    <cellStyle name="Normal 5 2 4 2 2 5 3" xfId="6459" xr:uid="{00000000-0005-0000-0000-0000E4180000}"/>
    <cellStyle name="Normal 5 2 4 2 2 5 3 2" xfId="14909" xr:uid="{1EF73806-B618-4BA5-822F-5803DC439966}"/>
    <cellStyle name="Normal 5 2 4 2 2 5 4" xfId="10691" xr:uid="{AF76183A-1A40-4FEE-BA60-0B8974244D6B}"/>
    <cellStyle name="Normal 5 2 4 2 2 6" xfId="2589" xr:uid="{00000000-0005-0000-0000-0000E5180000}"/>
    <cellStyle name="Normal 5 2 4 2 2 6 2" xfId="6872" xr:uid="{00000000-0005-0000-0000-0000E6180000}"/>
    <cellStyle name="Normal 5 2 4 2 2 6 2 2" xfId="15322" xr:uid="{A96231FF-DC7C-4BCB-82A3-1CD38A81F4F5}"/>
    <cellStyle name="Normal 5 2 4 2 2 6 3" xfId="11104" xr:uid="{8CEED704-CA23-4AFF-AFB4-4D1E0819131E}"/>
    <cellStyle name="Normal 5 2 4 2 2 7" xfId="4807" xr:uid="{00000000-0005-0000-0000-0000E7180000}"/>
    <cellStyle name="Normal 5 2 4 2 2 7 2" xfId="13257" xr:uid="{FBF12681-C356-4FF4-9399-9A53FCD70078}"/>
    <cellStyle name="Normal 5 2 4 2 2 8" xfId="9039" xr:uid="{221C074B-D187-46C1-BD2B-2B12144C3F79}"/>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F0E2C761-6031-4376-AFE2-C05A7780ABF5}"/>
    <cellStyle name="Normal 5 2 4 2 3 2 3" xfId="11596" xr:uid="{D767A9FC-0764-45E5-B672-4CD36E5C00C4}"/>
    <cellStyle name="Normal 5 2 4 2 3 3" xfId="5219" xr:uid="{00000000-0005-0000-0000-0000EB180000}"/>
    <cellStyle name="Normal 5 2 4 2 3 3 2" xfId="13669" xr:uid="{EB0530B6-5331-4339-A466-88596AF2D98E}"/>
    <cellStyle name="Normal 5 2 4 2 3 4" xfId="9451" xr:uid="{69C98D35-949C-4DA9-B1F3-48F28783D476}"/>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5B213987-7111-4502-A635-0E2B3C1DD89A}"/>
    <cellStyle name="Normal 5 2 4 2 4 2 3" xfId="12009" xr:uid="{205A0CF7-86FB-4BEF-92D3-79085E0E737C}"/>
    <cellStyle name="Normal 5 2 4 2 4 3" xfId="5632" xr:uid="{00000000-0005-0000-0000-0000EF180000}"/>
    <cellStyle name="Normal 5 2 4 2 4 3 2" xfId="14082" xr:uid="{EE031D68-E53B-4064-9328-8A8DC4E93D8D}"/>
    <cellStyle name="Normal 5 2 4 2 4 4" xfId="9864" xr:uid="{D4DC4E97-1FAC-44EA-A4AF-5F4C770127EA}"/>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95360F79-F6B2-444F-9AFC-940A897DDECD}"/>
    <cellStyle name="Normal 5 2 4 2 5 2 3" xfId="12422" xr:uid="{C91671F9-8F6F-41F3-8BCF-C747817B40D6}"/>
    <cellStyle name="Normal 5 2 4 2 5 3" xfId="6045" xr:uid="{00000000-0005-0000-0000-0000F3180000}"/>
    <cellStyle name="Normal 5 2 4 2 5 3 2" xfId="14495" xr:uid="{0C552493-4665-4F58-991E-6D6EE904F7C6}"/>
    <cellStyle name="Normal 5 2 4 2 5 4" xfId="10277" xr:uid="{41832ADF-4119-45A1-B624-49F50C6BDBA5}"/>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7D95EB57-89AD-470A-B6E6-8672879D8F26}"/>
    <cellStyle name="Normal 5 2 4 2 6 2 3" xfId="12835" xr:uid="{C86C2BBA-E43E-4B0B-B41B-602B79771ABB}"/>
    <cellStyle name="Normal 5 2 4 2 6 3" xfId="6458" xr:uid="{00000000-0005-0000-0000-0000F7180000}"/>
    <cellStyle name="Normal 5 2 4 2 6 3 2" xfId="14908" xr:uid="{86C3B595-5B96-434B-AEA9-2D1C334DB5EA}"/>
    <cellStyle name="Normal 5 2 4 2 6 4" xfId="10690" xr:uid="{64A1E8A7-BC58-4B1D-B126-99B8BD5363F5}"/>
    <cellStyle name="Normal 5 2 4 2 7" xfId="2588" xr:uid="{00000000-0005-0000-0000-0000F8180000}"/>
    <cellStyle name="Normal 5 2 4 2 7 2" xfId="6871" xr:uid="{00000000-0005-0000-0000-0000F9180000}"/>
    <cellStyle name="Normal 5 2 4 2 7 2 2" xfId="15321" xr:uid="{9B90033A-3799-4D7E-B2CB-7618764E0EC5}"/>
    <cellStyle name="Normal 5 2 4 2 7 3" xfId="11103" xr:uid="{FBC8DF8C-6F7E-4821-8643-918726A07A1D}"/>
    <cellStyle name="Normal 5 2 4 2 8" xfId="4806" xr:uid="{00000000-0005-0000-0000-0000FA180000}"/>
    <cellStyle name="Normal 5 2 4 2 8 2" xfId="13256" xr:uid="{83004532-CDBB-4AA6-8B11-B220EB162CE7}"/>
    <cellStyle name="Normal 5 2 4 2 9" xfId="9038" xr:uid="{3CC052A8-A510-4D88-A7A3-8CE9D6D62CB5}"/>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D3D5075F-C5D4-496C-AB5F-AB61D5D029D1}"/>
    <cellStyle name="Normal 5 2 4 3 2 2 3" xfId="11598" xr:uid="{7F7D5214-709A-4659-A125-3D1A2ADEEB4D}"/>
    <cellStyle name="Normal 5 2 4 3 2 3" xfId="5221" xr:uid="{00000000-0005-0000-0000-0000FF180000}"/>
    <cellStyle name="Normal 5 2 4 3 2 3 2" xfId="13671" xr:uid="{19CF1A44-4B08-475F-AEB5-93261EF0F979}"/>
    <cellStyle name="Normal 5 2 4 3 2 4" xfId="9453" xr:uid="{AA750943-79EB-4C44-AFBE-96236D4A7F3E}"/>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E549BB83-A79B-490A-BB6F-7EBE86B4152F}"/>
    <cellStyle name="Normal 5 2 4 3 3 2 3" xfId="12011" xr:uid="{03656352-E717-4EE2-902C-4AD0DB86DA89}"/>
    <cellStyle name="Normal 5 2 4 3 3 3" xfId="5634" xr:uid="{00000000-0005-0000-0000-000003190000}"/>
    <cellStyle name="Normal 5 2 4 3 3 3 2" xfId="14084" xr:uid="{8B1771BE-D17A-4A66-936F-8F494E65B084}"/>
    <cellStyle name="Normal 5 2 4 3 3 4" xfId="9866" xr:uid="{0B35074F-6514-4671-A081-3FC3889AFE9A}"/>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BA004552-AADF-4A02-9493-B2378CBB1C68}"/>
    <cellStyle name="Normal 5 2 4 3 4 2 3" xfId="12424" xr:uid="{7D26017D-D232-4764-809D-28D814EC4D14}"/>
    <cellStyle name="Normal 5 2 4 3 4 3" xfId="6047" xr:uid="{00000000-0005-0000-0000-000007190000}"/>
    <cellStyle name="Normal 5 2 4 3 4 3 2" xfId="14497" xr:uid="{8D137275-2B8B-4393-AD60-F1046A4088EA}"/>
    <cellStyle name="Normal 5 2 4 3 4 4" xfId="10279" xr:uid="{D3F3A03B-78C8-4158-9DD5-948493D67C3B}"/>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BDB1E106-29E4-45E4-BB7A-EB0AB693CD62}"/>
    <cellStyle name="Normal 5 2 4 3 5 2 3" xfId="12837" xr:uid="{080DFFA7-339C-4F42-905D-2C02851CD29E}"/>
    <cellStyle name="Normal 5 2 4 3 5 3" xfId="6460" xr:uid="{00000000-0005-0000-0000-00000B190000}"/>
    <cellStyle name="Normal 5 2 4 3 5 3 2" xfId="14910" xr:uid="{E3E94E8C-9408-4C33-93C8-9F9A457B44EB}"/>
    <cellStyle name="Normal 5 2 4 3 5 4" xfId="10692" xr:uid="{6FFEAC59-C4B5-4D84-B409-6355399DB7BA}"/>
    <cellStyle name="Normal 5 2 4 3 6" xfId="2590" xr:uid="{00000000-0005-0000-0000-00000C190000}"/>
    <cellStyle name="Normal 5 2 4 3 6 2" xfId="6873" xr:uid="{00000000-0005-0000-0000-00000D190000}"/>
    <cellStyle name="Normal 5 2 4 3 6 2 2" xfId="15323" xr:uid="{6C5E2265-7731-48A6-94A5-26DF1A1743D6}"/>
    <cellStyle name="Normal 5 2 4 3 6 3" xfId="11105" xr:uid="{1F349AB6-DE57-4D16-8EFD-6379A1F2C1D7}"/>
    <cellStyle name="Normal 5 2 4 3 7" xfId="4808" xr:uid="{00000000-0005-0000-0000-00000E190000}"/>
    <cellStyle name="Normal 5 2 4 3 7 2" xfId="13258" xr:uid="{CB46251C-B24E-4970-8E12-6008C0E336ED}"/>
    <cellStyle name="Normal 5 2 4 3 8" xfId="9040" xr:uid="{5851F431-0FAE-4E7E-9349-7EAA9A2C17ED}"/>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CE1B95AE-5DF6-4730-96F2-F238549A293D}"/>
    <cellStyle name="Normal 5 2 4 4 2 3" xfId="11595" xr:uid="{BB16479B-62AB-4D20-AA0D-ADC4C00FCE7F}"/>
    <cellStyle name="Normal 5 2 4 4 3" xfId="5218" xr:uid="{00000000-0005-0000-0000-000012190000}"/>
    <cellStyle name="Normal 5 2 4 4 3 2" xfId="13668" xr:uid="{4AB38333-7D52-4B85-96B7-5B72A55352EF}"/>
    <cellStyle name="Normal 5 2 4 4 4" xfId="9450" xr:uid="{BB02AF2F-FA1D-43C1-938E-B0A5DF32E378}"/>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FB32BDB2-4169-4828-BB06-765D76D50AA2}"/>
    <cellStyle name="Normal 5 2 4 5 2 3" xfId="12008" xr:uid="{26024D65-F9EC-455E-8181-039F3004D42B}"/>
    <cellStyle name="Normal 5 2 4 5 3" xfId="5631" xr:uid="{00000000-0005-0000-0000-000016190000}"/>
    <cellStyle name="Normal 5 2 4 5 3 2" xfId="14081" xr:uid="{35DAEC8F-24F7-4CA3-8257-342A423F727D}"/>
    <cellStyle name="Normal 5 2 4 5 4" xfId="9863" xr:uid="{376E491F-FB34-4166-9B16-C84A20ADBB8E}"/>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A661830C-1A2C-4374-9163-B2C2F33737F4}"/>
    <cellStyle name="Normal 5 2 4 6 2 3" xfId="12421" xr:uid="{6F28FA85-F830-4E35-8675-F18690BC043A}"/>
    <cellStyle name="Normal 5 2 4 6 3" xfId="6044" xr:uid="{00000000-0005-0000-0000-00001A190000}"/>
    <cellStyle name="Normal 5 2 4 6 3 2" xfId="14494" xr:uid="{18CEF473-2C08-4B33-A832-17B1B8A74D02}"/>
    <cellStyle name="Normal 5 2 4 6 4" xfId="10276" xr:uid="{CA20F07C-9EC7-42AD-8658-8EB22C41E812}"/>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87BD0494-5B7B-4A15-A9EB-FEE69AEFBE10}"/>
    <cellStyle name="Normal 5 2 4 7 2 3" xfId="12834" xr:uid="{5345D015-51DD-4A30-80FD-A38B4F21A8E1}"/>
    <cellStyle name="Normal 5 2 4 7 3" xfId="6457" xr:uid="{00000000-0005-0000-0000-00001E190000}"/>
    <cellStyle name="Normal 5 2 4 7 3 2" xfId="14907" xr:uid="{FA3BB4A9-6E3C-4D03-AA1E-594F48AB173A}"/>
    <cellStyle name="Normal 5 2 4 7 4" xfId="10689" xr:uid="{1CA2889B-D17C-4E37-B236-B4CDF10F4EE9}"/>
    <cellStyle name="Normal 5 2 4 8" xfId="2587" xr:uid="{00000000-0005-0000-0000-00001F190000}"/>
    <cellStyle name="Normal 5 2 4 8 2" xfId="6870" xr:uid="{00000000-0005-0000-0000-000020190000}"/>
    <cellStyle name="Normal 5 2 4 8 2 2" xfId="15320" xr:uid="{FD1F68E2-EFCF-4E68-8D09-D2AB69EC27A9}"/>
    <cellStyle name="Normal 5 2 4 8 3" xfId="11102" xr:uid="{7745F006-D079-4631-B172-1162ADB14D5F}"/>
    <cellStyle name="Normal 5 2 4 9" xfId="4805" xr:uid="{00000000-0005-0000-0000-000021190000}"/>
    <cellStyle name="Normal 5 2 4 9 2" xfId="13255" xr:uid="{B886D68F-0DB0-4C83-B405-2BFE6D37486C}"/>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F071B392-198F-4107-A455-1B4F1AA94673}"/>
    <cellStyle name="Normal 5 2 5 2 2 2 3" xfId="11600" xr:uid="{85221A6E-3088-4FD4-A58C-F13F690CD4F8}"/>
    <cellStyle name="Normal 5 2 5 2 2 3" xfId="5223" xr:uid="{00000000-0005-0000-0000-000027190000}"/>
    <cellStyle name="Normal 5 2 5 2 2 3 2" xfId="13673" xr:uid="{0CA3A952-AE25-4C76-AA84-9E9F5FD00351}"/>
    <cellStyle name="Normal 5 2 5 2 2 4" xfId="9455" xr:uid="{466875EB-B3F3-4B5C-B80D-9A9365D87ECE}"/>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AD148CBD-D6C0-4231-94DF-264672C69249}"/>
    <cellStyle name="Normal 5 2 5 2 3 2 3" xfId="12013" xr:uid="{8F711723-FE1B-41C6-96B4-DEDD3F8BA4BC}"/>
    <cellStyle name="Normal 5 2 5 2 3 3" xfId="5636" xr:uid="{00000000-0005-0000-0000-00002B190000}"/>
    <cellStyle name="Normal 5 2 5 2 3 3 2" xfId="14086" xr:uid="{27F5BEDF-E307-498E-B9A8-9EB1421D942F}"/>
    <cellStyle name="Normal 5 2 5 2 3 4" xfId="9868" xr:uid="{1F8B4EB4-ECE4-458B-859C-D9985F46FA69}"/>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6EF575F6-E30B-4B9B-815E-B5D0D925722A}"/>
    <cellStyle name="Normal 5 2 5 2 4 2 3" xfId="12426" xr:uid="{AD550B0C-4098-4BF6-8B8E-E6D3736EEE4C}"/>
    <cellStyle name="Normal 5 2 5 2 4 3" xfId="6049" xr:uid="{00000000-0005-0000-0000-00002F190000}"/>
    <cellStyle name="Normal 5 2 5 2 4 3 2" xfId="14499" xr:uid="{F6128E35-1ECA-4ED5-B7F3-D956DB0930EC}"/>
    <cellStyle name="Normal 5 2 5 2 4 4" xfId="10281" xr:uid="{5C30BAD0-AA5F-41C6-91EB-A9A89158120F}"/>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66A68044-7351-4C2D-A47D-4E23FC56A271}"/>
    <cellStyle name="Normal 5 2 5 2 5 2 3" xfId="12839" xr:uid="{1F2F8FC7-7075-45B3-8B15-31831872A8FE}"/>
    <cellStyle name="Normal 5 2 5 2 5 3" xfId="6462" xr:uid="{00000000-0005-0000-0000-000033190000}"/>
    <cellStyle name="Normal 5 2 5 2 5 3 2" xfId="14912" xr:uid="{C66B94C8-850D-49D5-87FB-7B38A7131429}"/>
    <cellStyle name="Normal 5 2 5 2 5 4" xfId="10694" xr:uid="{70AF18AD-5116-453E-A4C5-892D3F39570A}"/>
    <cellStyle name="Normal 5 2 5 2 6" xfId="2592" xr:uid="{00000000-0005-0000-0000-000034190000}"/>
    <cellStyle name="Normal 5 2 5 2 6 2" xfId="6875" xr:uid="{00000000-0005-0000-0000-000035190000}"/>
    <cellStyle name="Normal 5 2 5 2 6 2 2" xfId="15325" xr:uid="{49EBD111-DA78-47EC-AFD6-5246639087A0}"/>
    <cellStyle name="Normal 5 2 5 2 6 3" xfId="11107" xr:uid="{7B9512C7-8C79-4D83-8AEA-42BDA4E5E4DC}"/>
    <cellStyle name="Normal 5 2 5 2 7" xfId="4810" xr:uid="{00000000-0005-0000-0000-000036190000}"/>
    <cellStyle name="Normal 5 2 5 2 7 2" xfId="13260" xr:uid="{4F672A7F-CFF9-42D0-9690-A9BEAABFF70A}"/>
    <cellStyle name="Normal 5 2 5 2 8" xfId="9042" xr:uid="{0537E174-F3E9-4FCA-B3D2-5B7FA3FDD45A}"/>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1C144957-26D6-4BD0-82BC-DFD99872C209}"/>
    <cellStyle name="Normal 5 2 5 3 2 3" xfId="11599" xr:uid="{6CC3C81C-F9DD-4E18-8599-663A3DB52580}"/>
    <cellStyle name="Normal 5 2 5 3 3" xfId="5222" xr:uid="{00000000-0005-0000-0000-00003A190000}"/>
    <cellStyle name="Normal 5 2 5 3 3 2" xfId="13672" xr:uid="{2FD8166A-727D-450D-A04C-88FA82295170}"/>
    <cellStyle name="Normal 5 2 5 3 4" xfId="9454" xr:uid="{AE26842A-5426-46DC-9DAF-166F1AFB5DC4}"/>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FD2FE1C3-7A75-4066-BE9C-E92D205378BA}"/>
    <cellStyle name="Normal 5 2 5 4 2 3" xfId="12012" xr:uid="{80C1C21C-5075-47DB-9E22-E5E0D34424DD}"/>
    <cellStyle name="Normal 5 2 5 4 3" xfId="5635" xr:uid="{00000000-0005-0000-0000-00003E190000}"/>
    <cellStyle name="Normal 5 2 5 4 3 2" xfId="14085" xr:uid="{D000AEF6-7B06-44FD-A918-B5991088F249}"/>
    <cellStyle name="Normal 5 2 5 4 4" xfId="9867" xr:uid="{0E3141A4-B56A-43C2-A2A5-892EF00BC806}"/>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08DBC3B4-97A2-4756-97EE-FBB6704BA21D}"/>
    <cellStyle name="Normal 5 2 5 5 2 3" xfId="12425" xr:uid="{81125057-AA2B-408D-9BF4-67A88245C056}"/>
    <cellStyle name="Normal 5 2 5 5 3" xfId="6048" xr:uid="{00000000-0005-0000-0000-000042190000}"/>
    <cellStyle name="Normal 5 2 5 5 3 2" xfId="14498" xr:uid="{16D57ABA-E360-42F7-94FC-3A141FB415E9}"/>
    <cellStyle name="Normal 5 2 5 5 4" xfId="10280" xr:uid="{91073BDA-51EA-472F-9B0C-DF49FC4F3F1F}"/>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4A6EA7D9-D920-4E5E-B9A2-0ED0AFF93FF5}"/>
    <cellStyle name="Normal 5 2 5 6 2 3" xfId="12838" xr:uid="{43C6EF2D-73A2-4B3A-B876-1E4B6677E254}"/>
    <cellStyle name="Normal 5 2 5 6 3" xfId="6461" xr:uid="{00000000-0005-0000-0000-000046190000}"/>
    <cellStyle name="Normal 5 2 5 6 3 2" xfId="14911" xr:uid="{AEB83D51-DC3D-4C0F-B92F-113CFE218513}"/>
    <cellStyle name="Normal 5 2 5 6 4" xfId="10693" xr:uid="{BC3EB3EB-C906-4875-BC66-0D2ACC313AA4}"/>
    <cellStyle name="Normal 5 2 5 7" xfId="2591" xr:uid="{00000000-0005-0000-0000-000047190000}"/>
    <cellStyle name="Normal 5 2 5 7 2" xfId="6874" xr:uid="{00000000-0005-0000-0000-000048190000}"/>
    <cellStyle name="Normal 5 2 5 7 2 2" xfId="15324" xr:uid="{5E490893-2B6B-4056-9FC0-DABC779688EA}"/>
    <cellStyle name="Normal 5 2 5 7 3" xfId="11106" xr:uid="{B5BC695A-B1FA-4C3B-A0B6-17D585EE78F6}"/>
    <cellStyle name="Normal 5 2 5 8" xfId="4809" xr:uid="{00000000-0005-0000-0000-000049190000}"/>
    <cellStyle name="Normal 5 2 5 8 2" xfId="13259" xr:uid="{2F6EABCE-2A47-41F9-A865-FB5480EE0681}"/>
    <cellStyle name="Normal 5 2 5 9" xfId="9041" xr:uid="{9843AD69-D928-41B8-860A-0EA51C6C375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F6579EEB-04AE-4C5A-8DB4-A676D59CC797}"/>
    <cellStyle name="Normal 5 2 6 2 2 3" xfId="11601" xr:uid="{B2CD4313-920F-42DF-A859-4189029BE1E1}"/>
    <cellStyle name="Normal 5 2 6 2 3" xfId="5224" xr:uid="{00000000-0005-0000-0000-00004E190000}"/>
    <cellStyle name="Normal 5 2 6 2 3 2" xfId="13674" xr:uid="{E86D9C94-670A-4AF3-8805-0D545C31D240}"/>
    <cellStyle name="Normal 5 2 6 2 4" xfId="9456" xr:uid="{697CFD95-9A72-4DDB-9FE5-ABD986023BB1}"/>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1E9F696A-F894-4EA8-8A40-FACA15439164}"/>
    <cellStyle name="Normal 5 2 6 3 2 3" xfId="12014" xr:uid="{BEF15393-6D3C-48E3-8846-916E1B68998A}"/>
    <cellStyle name="Normal 5 2 6 3 3" xfId="5637" xr:uid="{00000000-0005-0000-0000-000052190000}"/>
    <cellStyle name="Normal 5 2 6 3 3 2" xfId="14087" xr:uid="{96EE11AA-FC2A-485F-A5F4-6611D4970C8C}"/>
    <cellStyle name="Normal 5 2 6 3 4" xfId="9869" xr:uid="{6E02BD92-C66D-4246-A44A-E104F91D9BC1}"/>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C607E39A-AB76-49C5-B640-D381F9539DAD}"/>
    <cellStyle name="Normal 5 2 6 4 2 3" xfId="12427" xr:uid="{9D183E7B-C08D-4C07-854E-E031B6506FAA}"/>
    <cellStyle name="Normal 5 2 6 4 3" xfId="6050" xr:uid="{00000000-0005-0000-0000-000056190000}"/>
    <cellStyle name="Normal 5 2 6 4 3 2" xfId="14500" xr:uid="{22C67374-6BEA-4321-9C46-A60EDFD27281}"/>
    <cellStyle name="Normal 5 2 6 4 4" xfId="10282" xr:uid="{014540B5-9849-4263-9EB7-2EF6FE87AC15}"/>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E0A9DB1E-1389-446D-8B45-B0409AD90B4F}"/>
    <cellStyle name="Normal 5 2 6 5 2 3" xfId="12840" xr:uid="{812A760D-A3CF-435D-8D09-56F82F9251DB}"/>
    <cellStyle name="Normal 5 2 6 5 3" xfId="6463" xr:uid="{00000000-0005-0000-0000-00005A190000}"/>
    <cellStyle name="Normal 5 2 6 5 3 2" xfId="14913" xr:uid="{64FB7169-6D54-4A7E-8F1D-0E65EBE92724}"/>
    <cellStyle name="Normal 5 2 6 5 4" xfId="10695" xr:uid="{E75D045F-61F9-409B-8048-7D861C62EDEA}"/>
    <cellStyle name="Normal 5 2 6 6" xfId="2593" xr:uid="{00000000-0005-0000-0000-00005B190000}"/>
    <cellStyle name="Normal 5 2 6 6 2" xfId="6876" xr:uid="{00000000-0005-0000-0000-00005C190000}"/>
    <cellStyle name="Normal 5 2 6 6 2 2" xfId="15326" xr:uid="{287203A5-B443-4387-B41C-69F3886F5C3F}"/>
    <cellStyle name="Normal 5 2 6 6 3" xfId="11108" xr:uid="{4E484669-68AE-4C27-80BE-FA75989F3C55}"/>
    <cellStyle name="Normal 5 2 6 7" xfId="4811" xr:uid="{00000000-0005-0000-0000-00005D190000}"/>
    <cellStyle name="Normal 5 2 6 7 2" xfId="13261" xr:uid="{CA1CAF74-C740-4964-BABD-16CAC346539C}"/>
    <cellStyle name="Normal 5 2 6 8" xfId="9043" xr:uid="{19F7F0AB-B0C0-4C71-AA90-8846DBD91CD4}"/>
    <cellStyle name="Normal 5 2 7" xfId="881" xr:uid="{00000000-0005-0000-0000-00005E190000}"/>
    <cellStyle name="Normal 5 2 7 2" xfId="3116" xr:uid="{00000000-0005-0000-0000-00005F190000}"/>
    <cellStyle name="Normal 5 2 7 2 2" xfId="7338" xr:uid="{00000000-0005-0000-0000-000060190000}"/>
    <cellStyle name="Normal 5 2 7 2 2 2" xfId="15788" xr:uid="{CB9C2092-0B53-460F-8946-EA21979F8133}"/>
    <cellStyle name="Normal 5 2 7 2 3" xfId="11570" xr:uid="{0A6EF3FB-3792-4453-BC4C-0F2841CD79FC}"/>
    <cellStyle name="Normal 5 2 7 3" xfId="5193" xr:uid="{00000000-0005-0000-0000-000061190000}"/>
    <cellStyle name="Normal 5 2 7 3 2" xfId="13643" xr:uid="{BA3DC0E3-09BA-4075-A9C0-5887B693F9A1}"/>
    <cellStyle name="Normal 5 2 7 4" xfId="9425" xr:uid="{17C626C8-FC0F-4F80-A489-8E3873C13986}"/>
    <cellStyle name="Normal 5 2 8" xfId="1299" xr:uid="{00000000-0005-0000-0000-000062190000}"/>
    <cellStyle name="Normal 5 2 8 2" xfId="3529" xr:uid="{00000000-0005-0000-0000-000063190000}"/>
    <cellStyle name="Normal 5 2 8 2 2" xfId="7751" xr:uid="{00000000-0005-0000-0000-000064190000}"/>
    <cellStyle name="Normal 5 2 8 2 2 2" xfId="16201" xr:uid="{EF36C761-C821-4915-B184-A8B65F53C9F2}"/>
    <cellStyle name="Normal 5 2 8 2 3" xfId="11983" xr:uid="{0AAC0603-83E6-4072-A3FB-29DAC664A24E}"/>
    <cellStyle name="Normal 5 2 8 3" xfId="5606" xr:uid="{00000000-0005-0000-0000-000065190000}"/>
    <cellStyle name="Normal 5 2 8 3 2" xfId="14056" xr:uid="{0BDD0E99-E6BF-4DBE-A982-C60F8FF7E541}"/>
    <cellStyle name="Normal 5 2 8 4" xfId="9838" xr:uid="{F2637F6C-1D90-471F-8C2F-8AC44D027FCA}"/>
    <cellStyle name="Normal 5 2 9" xfId="1712" xr:uid="{00000000-0005-0000-0000-000066190000}"/>
    <cellStyle name="Normal 5 2 9 2" xfId="3942" xr:uid="{00000000-0005-0000-0000-000067190000}"/>
    <cellStyle name="Normal 5 2 9 2 2" xfId="8164" xr:uid="{00000000-0005-0000-0000-000068190000}"/>
    <cellStyle name="Normal 5 2 9 2 2 2" xfId="16614" xr:uid="{3B86B25A-9C99-4E61-90C8-A9C79041A0D8}"/>
    <cellStyle name="Normal 5 2 9 2 3" xfId="12396" xr:uid="{49691B85-34A2-448F-8593-340A6580A359}"/>
    <cellStyle name="Normal 5 2 9 3" xfId="6019" xr:uid="{00000000-0005-0000-0000-000069190000}"/>
    <cellStyle name="Normal 5 2 9 3 2" xfId="14469" xr:uid="{89872BF7-5024-4ABD-8F04-7F78B397331C}"/>
    <cellStyle name="Normal 5 2 9 4" xfId="10251" xr:uid="{555E678A-819C-4D69-B57B-2206AA83D9AF}"/>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2577DCBB-C628-4FEA-BFEE-6C395C1C15F9}"/>
    <cellStyle name="Normal 5 3 10 2 3" xfId="12841" xr:uid="{2E986C68-0CAB-40D7-A7EA-EB5F8C76742C}"/>
    <cellStyle name="Normal 5 3 10 3" xfId="6464" xr:uid="{00000000-0005-0000-0000-00006E190000}"/>
    <cellStyle name="Normal 5 3 10 3 2" xfId="14914" xr:uid="{E6DBAFEE-592A-4D7A-8A04-CA943F83591D}"/>
    <cellStyle name="Normal 5 3 10 4" xfId="10696" xr:uid="{43D76D6B-B2A2-46ED-BD94-09999A174609}"/>
    <cellStyle name="Normal 5 3 11" xfId="2594" xr:uid="{00000000-0005-0000-0000-00006F190000}"/>
    <cellStyle name="Normal 5 3 11 2" xfId="6877" xr:uid="{00000000-0005-0000-0000-000070190000}"/>
    <cellStyle name="Normal 5 3 11 2 2" xfId="15327" xr:uid="{FE41112C-450E-4152-B4B4-ADB2C1757119}"/>
    <cellStyle name="Normal 5 3 11 3" xfId="11109" xr:uid="{E4AD5B8D-56BF-4C3A-8356-A46B1EA1A142}"/>
    <cellStyle name="Normal 5 3 12" xfId="4812" xr:uid="{00000000-0005-0000-0000-000071190000}"/>
    <cellStyle name="Normal 5 3 12 2" xfId="13262" xr:uid="{8B59A56B-7F99-4BDB-855B-751B4D629A89}"/>
    <cellStyle name="Normal 5 3 13" xfId="9044" xr:uid="{5516DFC7-DCC2-4206-AC92-6082B6430931}"/>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4F656DC2-FCCF-4132-B0A9-73EEF062D81D}"/>
    <cellStyle name="Normal 5 3 3 11" xfId="9045" xr:uid="{73746E44-88B5-4C7C-B9F2-5AE822D5B045}"/>
    <cellStyle name="Normal 5 3 3 2" xfId="442" xr:uid="{00000000-0005-0000-0000-000076190000}"/>
    <cellStyle name="Normal 5 3 3 2 10" xfId="9046" xr:uid="{96416E5D-9FAF-4E52-A823-51410B543A3D}"/>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7A9C01D3-0E26-44AE-8600-46824AA193F4}"/>
    <cellStyle name="Normal 5 3 3 2 2 2 2 2 3" xfId="11606" xr:uid="{729FE6BF-EC31-48B4-86DD-E233C14958F9}"/>
    <cellStyle name="Normal 5 3 3 2 2 2 2 3" xfId="5229" xr:uid="{00000000-0005-0000-0000-00007C190000}"/>
    <cellStyle name="Normal 5 3 3 2 2 2 2 3 2" xfId="13679" xr:uid="{65268B92-65B4-448D-BBAB-101C1A2336D3}"/>
    <cellStyle name="Normal 5 3 3 2 2 2 2 4" xfId="9461" xr:uid="{DAF09EB1-8313-404F-A91F-5534D2BAB0A7}"/>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11A72D92-2DC6-4C6B-B81D-8A5FE21BB139}"/>
    <cellStyle name="Normal 5 3 3 2 2 2 3 2 3" xfId="12019" xr:uid="{9D28476F-0349-4C77-B986-3B3C19A303ED}"/>
    <cellStyle name="Normal 5 3 3 2 2 2 3 3" xfId="5642" xr:uid="{00000000-0005-0000-0000-000080190000}"/>
    <cellStyle name="Normal 5 3 3 2 2 2 3 3 2" xfId="14092" xr:uid="{20B99E79-6C67-4E17-B69C-A1968DA03B52}"/>
    <cellStyle name="Normal 5 3 3 2 2 2 3 4" xfId="9874" xr:uid="{627AB0B0-6D6D-4849-9F25-0775ECCD1C2F}"/>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506A3529-9AB7-4704-84EC-D2B978ABD160}"/>
    <cellStyle name="Normal 5 3 3 2 2 2 4 2 3" xfId="12432" xr:uid="{AE14D8A2-97DF-497C-947C-E46F49ECB6BC}"/>
    <cellStyle name="Normal 5 3 3 2 2 2 4 3" xfId="6055" xr:uid="{00000000-0005-0000-0000-000084190000}"/>
    <cellStyle name="Normal 5 3 3 2 2 2 4 3 2" xfId="14505" xr:uid="{B87F07AA-9DB8-461B-A195-831706BF714D}"/>
    <cellStyle name="Normal 5 3 3 2 2 2 4 4" xfId="10287" xr:uid="{B0A6C1EB-DB0D-4724-AD25-53FB4D73F42D}"/>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27D39D37-1048-42A7-8CAF-36FA0AC8C7F6}"/>
    <cellStyle name="Normal 5 3 3 2 2 2 5 2 3" xfId="12845" xr:uid="{B4A098AF-0A94-4DE3-99F7-61651B8D7A23}"/>
    <cellStyle name="Normal 5 3 3 2 2 2 5 3" xfId="6468" xr:uid="{00000000-0005-0000-0000-000088190000}"/>
    <cellStyle name="Normal 5 3 3 2 2 2 5 3 2" xfId="14918" xr:uid="{8BA1D065-4FB9-4A7A-BC52-28F2166B8883}"/>
    <cellStyle name="Normal 5 3 3 2 2 2 5 4" xfId="10700" xr:uid="{FAE80D20-6089-4F8F-971B-3972B7D3EB45}"/>
    <cellStyle name="Normal 5 3 3 2 2 2 6" xfId="2598" xr:uid="{00000000-0005-0000-0000-000089190000}"/>
    <cellStyle name="Normal 5 3 3 2 2 2 6 2" xfId="6881" xr:uid="{00000000-0005-0000-0000-00008A190000}"/>
    <cellStyle name="Normal 5 3 3 2 2 2 6 2 2" xfId="15331" xr:uid="{881A7505-ECEC-4C83-A6ED-42D4323CE857}"/>
    <cellStyle name="Normal 5 3 3 2 2 2 6 3" xfId="11113" xr:uid="{FD2C3792-36C2-4506-80D6-A77ACD950264}"/>
    <cellStyle name="Normal 5 3 3 2 2 2 7" xfId="4816" xr:uid="{00000000-0005-0000-0000-00008B190000}"/>
    <cellStyle name="Normal 5 3 3 2 2 2 7 2" xfId="13266" xr:uid="{740559FB-4879-42B6-A611-75A70A38DB02}"/>
    <cellStyle name="Normal 5 3 3 2 2 2 8" xfId="9048" xr:uid="{D4BAA68F-5E86-45D1-9602-E0BAAFABD457}"/>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FA1222E7-9BB1-4264-8A04-87200EBCE090}"/>
    <cellStyle name="Normal 5 3 3 2 2 3 2 3" xfId="11605" xr:uid="{E73D690F-97F2-4F57-B0B6-B849F11C2CD5}"/>
    <cellStyle name="Normal 5 3 3 2 2 3 3" xfId="5228" xr:uid="{00000000-0005-0000-0000-00008F190000}"/>
    <cellStyle name="Normal 5 3 3 2 2 3 3 2" xfId="13678" xr:uid="{E7081FCC-B030-4BAB-96CA-AE2EE8FD7B24}"/>
    <cellStyle name="Normal 5 3 3 2 2 3 4" xfId="9460" xr:uid="{D9B801A0-044D-4471-B213-5910CD26E6EB}"/>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2C0B3BF3-7ECB-4687-9056-298EF5252EB8}"/>
    <cellStyle name="Normal 5 3 3 2 2 4 2 3" xfId="12018" xr:uid="{27727141-91FF-4B7A-ACFF-504E77C9A5C8}"/>
    <cellStyle name="Normal 5 3 3 2 2 4 3" xfId="5641" xr:uid="{00000000-0005-0000-0000-000093190000}"/>
    <cellStyle name="Normal 5 3 3 2 2 4 3 2" xfId="14091" xr:uid="{97FE0141-9E63-40AD-B05D-7C7F21CC372A}"/>
    <cellStyle name="Normal 5 3 3 2 2 4 4" xfId="9873" xr:uid="{D3E348B6-8AC4-40F1-AC19-FB470EDF81CD}"/>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7471A238-B87B-47DC-9BBB-85C6A7076EE9}"/>
    <cellStyle name="Normal 5 3 3 2 2 5 2 3" xfId="12431" xr:uid="{8E1744D1-E4A4-462F-8DBD-19EBE7E175C4}"/>
    <cellStyle name="Normal 5 3 3 2 2 5 3" xfId="6054" xr:uid="{00000000-0005-0000-0000-000097190000}"/>
    <cellStyle name="Normal 5 3 3 2 2 5 3 2" xfId="14504" xr:uid="{74D90794-B249-4AFA-A34A-993F4A507380}"/>
    <cellStyle name="Normal 5 3 3 2 2 5 4" xfId="10286" xr:uid="{BF4E9FFD-73C5-4196-9462-A0171AB03D12}"/>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D85CADD6-E828-47E9-A153-D978D4921304}"/>
    <cellStyle name="Normal 5 3 3 2 2 6 2 3" xfId="12844" xr:uid="{26385D77-9094-4757-98DC-E35D98FC0F03}"/>
    <cellStyle name="Normal 5 3 3 2 2 6 3" xfId="6467" xr:uid="{00000000-0005-0000-0000-00009B190000}"/>
    <cellStyle name="Normal 5 3 3 2 2 6 3 2" xfId="14917" xr:uid="{47226C3C-9D96-4386-94BD-1D593053FE67}"/>
    <cellStyle name="Normal 5 3 3 2 2 6 4" xfId="10699" xr:uid="{C3B47C26-0D7A-42F8-B04D-D7DD34D5EC24}"/>
    <cellStyle name="Normal 5 3 3 2 2 7" xfId="2597" xr:uid="{00000000-0005-0000-0000-00009C190000}"/>
    <cellStyle name="Normal 5 3 3 2 2 7 2" xfId="6880" xr:uid="{00000000-0005-0000-0000-00009D190000}"/>
    <cellStyle name="Normal 5 3 3 2 2 7 2 2" xfId="15330" xr:uid="{47D134B3-48BA-4077-8E82-A4B35BE94CCA}"/>
    <cellStyle name="Normal 5 3 3 2 2 7 3" xfId="11112" xr:uid="{7F896705-6C20-46D9-8F25-4F14FE39F036}"/>
    <cellStyle name="Normal 5 3 3 2 2 8" xfId="4815" xr:uid="{00000000-0005-0000-0000-00009E190000}"/>
    <cellStyle name="Normal 5 3 3 2 2 8 2" xfId="13265" xr:uid="{E35B00C6-3949-47BD-9EA7-39EDBF61F0C2}"/>
    <cellStyle name="Normal 5 3 3 2 2 9" xfId="9047" xr:uid="{FA16902C-BF26-437A-BA88-CA339F19CC28}"/>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8690B6BF-370C-4405-9D95-B94D8E2AB71E}"/>
    <cellStyle name="Normal 5 3 3 2 3 2 2 3" xfId="11607" xr:uid="{DD67D83C-8078-431A-ABD3-27505037EE91}"/>
    <cellStyle name="Normal 5 3 3 2 3 2 3" xfId="5230" xr:uid="{00000000-0005-0000-0000-0000A3190000}"/>
    <cellStyle name="Normal 5 3 3 2 3 2 3 2" xfId="13680" xr:uid="{82643602-825B-4A23-BEC6-8057E08D66C7}"/>
    <cellStyle name="Normal 5 3 3 2 3 2 4" xfId="9462" xr:uid="{C15E0135-F0FF-422D-BDC2-48BE0146155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E099BAFE-A86C-4EFC-8144-86813276230A}"/>
    <cellStyle name="Normal 5 3 3 2 3 3 2 3" xfId="12020" xr:uid="{44752970-3511-46E7-99E8-329D3E54065F}"/>
    <cellStyle name="Normal 5 3 3 2 3 3 3" xfId="5643" xr:uid="{00000000-0005-0000-0000-0000A7190000}"/>
    <cellStyle name="Normal 5 3 3 2 3 3 3 2" xfId="14093" xr:uid="{62C705E7-4DB0-4579-9472-0C6BF5030D93}"/>
    <cellStyle name="Normal 5 3 3 2 3 3 4" xfId="9875" xr:uid="{303E9F77-799E-4F89-B412-BC23364266D4}"/>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D323E2DF-3AC6-436D-A2E6-9E8D58B6263B}"/>
    <cellStyle name="Normal 5 3 3 2 3 4 2 3" xfId="12433" xr:uid="{A6C71322-7EDE-460E-80DC-F5A56CD0B64B}"/>
    <cellStyle name="Normal 5 3 3 2 3 4 3" xfId="6056" xr:uid="{00000000-0005-0000-0000-0000AB190000}"/>
    <cellStyle name="Normal 5 3 3 2 3 4 3 2" xfId="14506" xr:uid="{9E8A7929-6531-407C-A2EF-D7E491098FB7}"/>
    <cellStyle name="Normal 5 3 3 2 3 4 4" xfId="10288" xr:uid="{D63FA1F7-220E-4F55-AB01-963B98E0272B}"/>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13B7FB98-D928-4253-ADF2-B29D2C7D7A2E}"/>
    <cellStyle name="Normal 5 3 3 2 3 5 2 3" xfId="12846" xr:uid="{6F88F87C-0488-4829-B6F8-B5010428EBF7}"/>
    <cellStyle name="Normal 5 3 3 2 3 5 3" xfId="6469" xr:uid="{00000000-0005-0000-0000-0000AF190000}"/>
    <cellStyle name="Normal 5 3 3 2 3 5 3 2" xfId="14919" xr:uid="{A7ABDFAE-95B5-4952-8EDC-72178255DE12}"/>
    <cellStyle name="Normal 5 3 3 2 3 5 4" xfId="10701" xr:uid="{AA32DB1B-FB34-4C4D-B005-29F9862B7723}"/>
    <cellStyle name="Normal 5 3 3 2 3 6" xfId="2599" xr:uid="{00000000-0005-0000-0000-0000B0190000}"/>
    <cellStyle name="Normal 5 3 3 2 3 6 2" xfId="6882" xr:uid="{00000000-0005-0000-0000-0000B1190000}"/>
    <cellStyle name="Normal 5 3 3 2 3 6 2 2" xfId="15332" xr:uid="{CC9BA136-2A4D-48A2-87D4-7ED42F2D9661}"/>
    <cellStyle name="Normal 5 3 3 2 3 6 3" xfId="11114" xr:uid="{6456B002-7862-4957-B9FC-F82B38031AD4}"/>
    <cellStyle name="Normal 5 3 3 2 3 7" xfId="4817" xr:uid="{00000000-0005-0000-0000-0000B2190000}"/>
    <cellStyle name="Normal 5 3 3 2 3 7 2" xfId="13267" xr:uid="{10149003-2658-4050-B346-67BE33291DE7}"/>
    <cellStyle name="Normal 5 3 3 2 3 8" xfId="9049" xr:uid="{818E8569-D11A-4516-AB55-ABBFBA78E0D2}"/>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58ED926D-B731-4079-B399-5436FD9537E4}"/>
    <cellStyle name="Normal 5 3 3 2 4 2 3" xfId="11604" xr:uid="{E1BB43FE-CA0E-4A51-80E1-374C3AF8A08F}"/>
    <cellStyle name="Normal 5 3 3 2 4 3" xfId="5227" xr:uid="{00000000-0005-0000-0000-0000B6190000}"/>
    <cellStyle name="Normal 5 3 3 2 4 3 2" xfId="13677" xr:uid="{E4805AE5-BD1C-4E0F-9341-55AC155EA398}"/>
    <cellStyle name="Normal 5 3 3 2 4 4" xfId="9459" xr:uid="{12B76795-8392-40C2-A93E-461A34A3DD06}"/>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C44FE8EE-5503-4123-BC19-F64B56A61318}"/>
    <cellStyle name="Normal 5 3 3 2 5 2 3" xfId="12017" xr:uid="{B832CBA8-7156-42AA-A6B2-3987BB77B6B4}"/>
    <cellStyle name="Normal 5 3 3 2 5 3" xfId="5640" xr:uid="{00000000-0005-0000-0000-0000BA190000}"/>
    <cellStyle name="Normal 5 3 3 2 5 3 2" xfId="14090" xr:uid="{9D5E3AB1-503D-49DF-8EBC-90AFE8E26A94}"/>
    <cellStyle name="Normal 5 3 3 2 5 4" xfId="9872" xr:uid="{D283E530-3067-4127-A7B9-0C2FA5C10933}"/>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2C2A7021-035C-4D8E-B094-33EA12B98D5D}"/>
    <cellStyle name="Normal 5 3 3 2 6 2 3" xfId="12430" xr:uid="{DE7FE017-B5CF-46BE-8D12-FBD96F0CDB7A}"/>
    <cellStyle name="Normal 5 3 3 2 6 3" xfId="6053" xr:uid="{00000000-0005-0000-0000-0000BE190000}"/>
    <cellStyle name="Normal 5 3 3 2 6 3 2" xfId="14503" xr:uid="{EB232143-CFFC-4767-8FAB-3F7E5CBD73D9}"/>
    <cellStyle name="Normal 5 3 3 2 6 4" xfId="10285" xr:uid="{AA260D63-4A27-4742-94F9-211520E2A859}"/>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75AC8EFE-35D3-429A-A41E-D4695EA25B36}"/>
    <cellStyle name="Normal 5 3 3 2 7 2 3" xfId="12843" xr:uid="{D117F4D2-2852-4B75-814E-D3E358CA6751}"/>
    <cellStyle name="Normal 5 3 3 2 7 3" xfId="6466" xr:uid="{00000000-0005-0000-0000-0000C2190000}"/>
    <cellStyle name="Normal 5 3 3 2 7 3 2" xfId="14916" xr:uid="{7272418A-E90A-4D72-B658-4892D482CCB9}"/>
    <cellStyle name="Normal 5 3 3 2 7 4" xfId="10698" xr:uid="{CCF9D1D0-1398-458F-A5A9-B6E222C51355}"/>
    <cellStyle name="Normal 5 3 3 2 8" xfId="2596" xr:uid="{00000000-0005-0000-0000-0000C3190000}"/>
    <cellStyle name="Normal 5 3 3 2 8 2" xfId="6879" xr:uid="{00000000-0005-0000-0000-0000C4190000}"/>
    <cellStyle name="Normal 5 3 3 2 8 2 2" xfId="15329" xr:uid="{1490BEB5-D946-4672-BCFF-22939754F1A7}"/>
    <cellStyle name="Normal 5 3 3 2 8 3" xfId="11111" xr:uid="{22360E62-4228-44CE-AAE9-E5F396ED1856}"/>
    <cellStyle name="Normal 5 3 3 2 9" xfId="4814" xr:uid="{00000000-0005-0000-0000-0000C5190000}"/>
    <cellStyle name="Normal 5 3 3 2 9 2" xfId="13264" xr:uid="{0BCCD530-F8DA-4B61-981F-8A792D6604AC}"/>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985C76AD-9BBF-480D-9502-CAA9DAD6291A}"/>
    <cellStyle name="Normal 5 3 3 3 2 2 2 3" xfId="11609" xr:uid="{319E871D-B76C-424D-A41D-EE9B0EFAC56F}"/>
    <cellStyle name="Normal 5 3 3 3 2 2 3" xfId="5232" xr:uid="{00000000-0005-0000-0000-0000CB190000}"/>
    <cellStyle name="Normal 5 3 3 3 2 2 3 2" xfId="13682" xr:uid="{DC6A4ED3-09CF-45ED-A741-A51015F9A374}"/>
    <cellStyle name="Normal 5 3 3 3 2 2 4" xfId="9464" xr:uid="{A7699218-0BF1-48BE-9DF9-908E5FBEDF63}"/>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072B5A84-9726-456D-9587-5E653CE8F0AE}"/>
    <cellStyle name="Normal 5 3 3 3 2 3 2 3" xfId="12022" xr:uid="{EEA83AB4-0CE2-4AC6-A826-7D45BFE0661D}"/>
    <cellStyle name="Normal 5 3 3 3 2 3 3" xfId="5645" xr:uid="{00000000-0005-0000-0000-0000CF190000}"/>
    <cellStyle name="Normal 5 3 3 3 2 3 3 2" xfId="14095" xr:uid="{CD03BCE2-ECEA-444B-B858-832C931F2290}"/>
    <cellStyle name="Normal 5 3 3 3 2 3 4" xfId="9877" xr:uid="{0351919C-9E4B-4AB3-AC87-BFCE0A898519}"/>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3D5BBF6A-5972-4ACF-B8F4-3D628AD6A986}"/>
    <cellStyle name="Normal 5 3 3 3 2 4 2 3" xfId="12435" xr:uid="{32202383-510A-4B0A-8D41-5187E947EC80}"/>
    <cellStyle name="Normal 5 3 3 3 2 4 3" xfId="6058" xr:uid="{00000000-0005-0000-0000-0000D3190000}"/>
    <cellStyle name="Normal 5 3 3 3 2 4 3 2" xfId="14508" xr:uid="{672EFE63-899F-4401-ADE8-15CE5AED6631}"/>
    <cellStyle name="Normal 5 3 3 3 2 4 4" xfId="10290" xr:uid="{94DB837A-AF2D-4928-AF3C-72F72D12446A}"/>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D255EE8A-AC20-43CA-9534-65B71F63D46E}"/>
    <cellStyle name="Normal 5 3 3 3 2 5 2 3" xfId="12848" xr:uid="{F0C4F4D4-4ABE-4100-921B-3DB6CF2D4E49}"/>
    <cellStyle name="Normal 5 3 3 3 2 5 3" xfId="6471" xr:uid="{00000000-0005-0000-0000-0000D7190000}"/>
    <cellStyle name="Normal 5 3 3 3 2 5 3 2" xfId="14921" xr:uid="{8D1DA9C7-5F72-4EC4-91B8-2A7F4D7EC6EE}"/>
    <cellStyle name="Normal 5 3 3 3 2 5 4" xfId="10703" xr:uid="{957E0FBD-A12E-4368-AEAE-F44F1338A095}"/>
    <cellStyle name="Normal 5 3 3 3 2 6" xfId="2601" xr:uid="{00000000-0005-0000-0000-0000D8190000}"/>
    <cellStyle name="Normal 5 3 3 3 2 6 2" xfId="6884" xr:uid="{00000000-0005-0000-0000-0000D9190000}"/>
    <cellStyle name="Normal 5 3 3 3 2 6 2 2" xfId="15334" xr:uid="{82E09C4F-D2D8-4BFB-9457-73F109C81FFE}"/>
    <cellStyle name="Normal 5 3 3 3 2 6 3" xfId="11116" xr:uid="{251D1EF1-3EF5-4744-8931-44C88C1BBDBE}"/>
    <cellStyle name="Normal 5 3 3 3 2 7" xfId="4819" xr:uid="{00000000-0005-0000-0000-0000DA190000}"/>
    <cellStyle name="Normal 5 3 3 3 2 7 2" xfId="13269" xr:uid="{AC316EB0-093C-463B-90E7-0E3FD66F349A}"/>
    <cellStyle name="Normal 5 3 3 3 2 8" xfId="9051" xr:uid="{E72633F5-C2DD-48A2-BDF2-AD4B0CBC6349}"/>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EF120088-4B94-4586-8204-A2B61C18CF68}"/>
    <cellStyle name="Normal 5 3 3 3 3 2 3" xfId="11608" xr:uid="{D330CE65-2495-4193-83BF-87D3B06A209C}"/>
    <cellStyle name="Normal 5 3 3 3 3 3" xfId="5231" xr:uid="{00000000-0005-0000-0000-0000DE190000}"/>
    <cellStyle name="Normal 5 3 3 3 3 3 2" xfId="13681" xr:uid="{8816BB0A-F13D-44AF-B99C-88B34652B877}"/>
    <cellStyle name="Normal 5 3 3 3 3 4" xfId="9463" xr:uid="{30BA6DEC-6D25-48AC-96ED-8840190B74D7}"/>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C2562C42-2445-47AD-A3BF-BF89D0EB03A2}"/>
    <cellStyle name="Normal 5 3 3 3 4 2 3" xfId="12021" xr:uid="{BAA2FBA8-33FC-443D-97B6-8F3E4CC70467}"/>
    <cellStyle name="Normal 5 3 3 3 4 3" xfId="5644" xr:uid="{00000000-0005-0000-0000-0000E2190000}"/>
    <cellStyle name="Normal 5 3 3 3 4 3 2" xfId="14094" xr:uid="{796D373E-6FB3-4045-B094-74D14DD3C942}"/>
    <cellStyle name="Normal 5 3 3 3 4 4" xfId="9876" xr:uid="{7AFC9DDA-003E-413B-AAEA-B357C66A55DE}"/>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1C7BA549-BB08-4651-B57C-91F5589950F8}"/>
    <cellStyle name="Normal 5 3 3 3 5 2 3" xfId="12434" xr:uid="{2F1ED7BC-DF0A-4DE5-9280-DB9E4D78F2B7}"/>
    <cellStyle name="Normal 5 3 3 3 5 3" xfId="6057" xr:uid="{00000000-0005-0000-0000-0000E6190000}"/>
    <cellStyle name="Normal 5 3 3 3 5 3 2" xfId="14507" xr:uid="{7784BC68-CE8A-446A-B297-3C9DB8A53DD8}"/>
    <cellStyle name="Normal 5 3 3 3 5 4" xfId="10289" xr:uid="{6B000994-57FF-47DD-A221-333C5AA663AA}"/>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AAC825A8-8CEA-4AD4-BF2D-27DF14A1E214}"/>
    <cellStyle name="Normal 5 3 3 3 6 2 3" xfId="12847" xr:uid="{A1E8BB85-2E69-46FC-8D75-39F09FEF5289}"/>
    <cellStyle name="Normal 5 3 3 3 6 3" xfId="6470" xr:uid="{00000000-0005-0000-0000-0000EA190000}"/>
    <cellStyle name="Normal 5 3 3 3 6 3 2" xfId="14920" xr:uid="{348F5819-3BD4-47CE-B7D1-AA0931C01D04}"/>
    <cellStyle name="Normal 5 3 3 3 6 4" xfId="10702" xr:uid="{FCD2DDEF-D67F-4D17-A08F-FAB99A5CE495}"/>
    <cellStyle name="Normal 5 3 3 3 7" xfId="2600" xr:uid="{00000000-0005-0000-0000-0000EB190000}"/>
    <cellStyle name="Normal 5 3 3 3 7 2" xfId="6883" xr:uid="{00000000-0005-0000-0000-0000EC190000}"/>
    <cellStyle name="Normal 5 3 3 3 7 2 2" xfId="15333" xr:uid="{B44E7C97-DFFC-4D2A-8474-3C50862A815D}"/>
    <cellStyle name="Normal 5 3 3 3 7 3" xfId="11115" xr:uid="{8573E83A-0444-4D52-9A09-C2DD7FD87C63}"/>
    <cellStyle name="Normal 5 3 3 3 8" xfId="4818" xr:uid="{00000000-0005-0000-0000-0000ED190000}"/>
    <cellStyle name="Normal 5 3 3 3 8 2" xfId="13268" xr:uid="{1F806020-E768-4056-98F3-1EE209B48B4C}"/>
    <cellStyle name="Normal 5 3 3 3 9" xfId="9050" xr:uid="{398580FE-9514-43EA-B10D-7688EF4C718D}"/>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EE296A46-7F4A-4AAF-8E72-416C5C4C0727}"/>
    <cellStyle name="Normal 5 3 3 4 2 2 3" xfId="11610" xr:uid="{D961304C-C8C6-4A44-8342-7469FB0B2FE8}"/>
    <cellStyle name="Normal 5 3 3 4 2 3" xfId="5233" xr:uid="{00000000-0005-0000-0000-0000F2190000}"/>
    <cellStyle name="Normal 5 3 3 4 2 3 2" xfId="13683" xr:uid="{0C0C1BE6-CD59-4137-854A-15ED5718BB9D}"/>
    <cellStyle name="Normal 5 3 3 4 2 4" xfId="9465" xr:uid="{E470E33E-B1AE-497E-8906-C127CD6ED8B2}"/>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4DE26CA1-BA75-4A3F-A72E-69C5F8F01506}"/>
    <cellStyle name="Normal 5 3 3 4 3 2 3" xfId="12023" xr:uid="{C3C34E09-D9B5-4EFC-827C-7A691A473BEA}"/>
    <cellStyle name="Normal 5 3 3 4 3 3" xfId="5646" xr:uid="{00000000-0005-0000-0000-0000F6190000}"/>
    <cellStyle name="Normal 5 3 3 4 3 3 2" xfId="14096" xr:uid="{876F7F7D-0264-43FA-B687-75D2144E229F}"/>
    <cellStyle name="Normal 5 3 3 4 3 4" xfId="9878" xr:uid="{C2FF58EF-644C-4E3F-8946-C5AF36C69C56}"/>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1A64E83D-38A1-4C27-93C3-C2B46A5DCB7E}"/>
    <cellStyle name="Normal 5 3 3 4 4 2 3" xfId="12436" xr:uid="{62025859-4439-47B8-86A1-9F612A362408}"/>
    <cellStyle name="Normal 5 3 3 4 4 3" xfId="6059" xr:uid="{00000000-0005-0000-0000-0000FA190000}"/>
    <cellStyle name="Normal 5 3 3 4 4 3 2" xfId="14509" xr:uid="{06D1FE61-CB17-4C28-B66F-34C1F9C6F56B}"/>
    <cellStyle name="Normal 5 3 3 4 4 4" xfId="10291" xr:uid="{3ED53B5A-4C4F-4752-B891-7A44C194FAC0}"/>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5F7272D7-96C8-4EA1-8A0E-4183EEB996A2}"/>
    <cellStyle name="Normal 5 3 3 4 5 2 3" xfId="12849" xr:uid="{FE0AA164-B671-4CE5-AF89-0829AFD1865E}"/>
    <cellStyle name="Normal 5 3 3 4 5 3" xfId="6472" xr:uid="{00000000-0005-0000-0000-0000FE190000}"/>
    <cellStyle name="Normal 5 3 3 4 5 3 2" xfId="14922" xr:uid="{CEC304AF-275A-4786-B2D4-3A7D0CF87AC0}"/>
    <cellStyle name="Normal 5 3 3 4 5 4" xfId="10704" xr:uid="{02D0DBEA-0DBA-4510-9E0C-F6FD75C612B8}"/>
    <cellStyle name="Normal 5 3 3 4 6" xfId="2602" xr:uid="{00000000-0005-0000-0000-0000FF190000}"/>
    <cellStyle name="Normal 5 3 3 4 6 2" xfId="6885" xr:uid="{00000000-0005-0000-0000-0000001A0000}"/>
    <cellStyle name="Normal 5 3 3 4 6 2 2" xfId="15335" xr:uid="{CA3B948D-3DED-4EF4-A3EF-34F17F804122}"/>
    <cellStyle name="Normal 5 3 3 4 6 3" xfId="11117" xr:uid="{5E29BFC5-F9DE-4C76-9B82-7B5153982860}"/>
    <cellStyle name="Normal 5 3 3 4 7" xfId="4820" xr:uid="{00000000-0005-0000-0000-0000011A0000}"/>
    <cellStyle name="Normal 5 3 3 4 7 2" xfId="13270" xr:uid="{B452E692-2641-4C93-B255-6B4CE8B9C6B3}"/>
    <cellStyle name="Normal 5 3 3 4 8" xfId="9052" xr:uid="{FAF1529A-51C5-48B8-9AA0-8410DA88E0DF}"/>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D73E33F6-32BD-4E9C-9EFD-031DFAF19825}"/>
    <cellStyle name="Normal 5 3 3 5 2 3" xfId="11603" xr:uid="{C96BE7BF-F47C-409B-95A0-711566554C97}"/>
    <cellStyle name="Normal 5 3 3 5 3" xfId="5226" xr:uid="{00000000-0005-0000-0000-0000051A0000}"/>
    <cellStyle name="Normal 5 3 3 5 3 2" xfId="13676" xr:uid="{220BB90B-F7E1-4FD8-980A-D6E978225AFB}"/>
    <cellStyle name="Normal 5 3 3 5 4" xfId="9458" xr:uid="{1AD49788-DAAE-4482-98DB-D0948A030519}"/>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71DCEBC4-C667-4928-BE9B-15D679D33926}"/>
    <cellStyle name="Normal 5 3 3 6 2 3" xfId="12016" xr:uid="{B698530D-F8F9-4BA8-9155-614EEB94D0AD}"/>
    <cellStyle name="Normal 5 3 3 6 3" xfId="5639" xr:uid="{00000000-0005-0000-0000-0000091A0000}"/>
    <cellStyle name="Normal 5 3 3 6 3 2" xfId="14089" xr:uid="{DE033829-9F32-4C2D-99D4-6647F256F162}"/>
    <cellStyle name="Normal 5 3 3 6 4" xfId="9871" xr:uid="{13C569BA-2A97-40F3-A832-BB0AE68FCF71}"/>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81228791-7FA4-4609-BB0F-E22ED36E02C3}"/>
    <cellStyle name="Normal 5 3 3 7 2 3" xfId="12429" xr:uid="{FF1B87BA-922D-4AC5-8F6A-9B9EEC3ED271}"/>
    <cellStyle name="Normal 5 3 3 7 3" xfId="6052" xr:uid="{00000000-0005-0000-0000-00000D1A0000}"/>
    <cellStyle name="Normal 5 3 3 7 3 2" xfId="14502" xr:uid="{CDD1F25F-402A-4853-8B1C-F36A8E78851B}"/>
    <cellStyle name="Normal 5 3 3 7 4" xfId="10284" xr:uid="{C92B3360-566E-45FD-A0D4-A8F87B692A8C}"/>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16ADB2F4-C0F6-4B47-9053-076A61FA0B37}"/>
    <cellStyle name="Normal 5 3 3 8 2 3" xfId="12842" xr:uid="{A683BC5B-A797-4A43-B8E7-619192762003}"/>
    <cellStyle name="Normal 5 3 3 8 3" xfId="6465" xr:uid="{00000000-0005-0000-0000-0000111A0000}"/>
    <cellStyle name="Normal 5 3 3 8 3 2" xfId="14915" xr:uid="{37F06728-E22E-4BBA-8EF0-B433A591DED4}"/>
    <cellStyle name="Normal 5 3 3 8 4" xfId="10697" xr:uid="{02E1A947-4E8D-4791-A0A0-C0BA8F0D6634}"/>
    <cellStyle name="Normal 5 3 3 9" xfId="2595" xr:uid="{00000000-0005-0000-0000-0000121A0000}"/>
    <cellStyle name="Normal 5 3 3 9 2" xfId="6878" xr:uid="{00000000-0005-0000-0000-0000131A0000}"/>
    <cellStyle name="Normal 5 3 3 9 2 2" xfId="15328" xr:uid="{780F8203-240F-41ED-ABD7-3256A1D591E8}"/>
    <cellStyle name="Normal 5 3 3 9 3" xfId="11110" xr:uid="{4459CD38-E54D-43ED-844A-15BA6584A9E3}"/>
    <cellStyle name="Normal 5 3 4" xfId="449" xr:uid="{00000000-0005-0000-0000-0000141A0000}"/>
    <cellStyle name="Normal 5 3 4 10" xfId="9053" xr:uid="{0106C7CA-A8DA-45EC-8590-14DCE6F2AF2D}"/>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4E6A9EDE-4D43-4133-BE92-DB10D55C7F2D}"/>
    <cellStyle name="Normal 5 3 4 2 2 2 2 3" xfId="11613" xr:uid="{11382B39-13BF-4D14-A254-E7ADDA35D98D}"/>
    <cellStyle name="Normal 5 3 4 2 2 2 3" xfId="5236" xr:uid="{00000000-0005-0000-0000-00001A1A0000}"/>
    <cellStyle name="Normal 5 3 4 2 2 2 3 2" xfId="13686" xr:uid="{3625BE24-0768-48BB-B8B6-1B041903674F}"/>
    <cellStyle name="Normal 5 3 4 2 2 2 4" xfId="9468" xr:uid="{6A4EE5ED-C513-435A-9FDA-123FC99C2C6C}"/>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4F9F5E9A-B212-4C5B-8591-CF584208FD9C}"/>
    <cellStyle name="Normal 5 3 4 2 2 3 2 3" xfId="12026" xr:uid="{87FFD242-1C34-4850-83C6-A56CCBCB675E}"/>
    <cellStyle name="Normal 5 3 4 2 2 3 3" xfId="5649" xr:uid="{00000000-0005-0000-0000-00001E1A0000}"/>
    <cellStyle name="Normal 5 3 4 2 2 3 3 2" xfId="14099" xr:uid="{A2A7F93C-DA32-4D8A-8E88-A3235A66D113}"/>
    <cellStyle name="Normal 5 3 4 2 2 3 4" xfId="9881" xr:uid="{276EEE89-3E1F-462C-8697-1EC65CC29755}"/>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73EFC3A3-9C9B-4BF3-9476-7FA71E8374A6}"/>
    <cellStyle name="Normal 5 3 4 2 2 4 2 3" xfId="12439" xr:uid="{1A14AC06-1D4A-4EA4-8C40-0A2BEA4617D2}"/>
    <cellStyle name="Normal 5 3 4 2 2 4 3" xfId="6062" xr:uid="{00000000-0005-0000-0000-0000221A0000}"/>
    <cellStyle name="Normal 5 3 4 2 2 4 3 2" xfId="14512" xr:uid="{D739B957-B2D5-42EA-94E3-D2BD8C288777}"/>
    <cellStyle name="Normal 5 3 4 2 2 4 4" xfId="10294" xr:uid="{1CD76F77-91F7-4556-AC11-AB43442F61B7}"/>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FCAF5F54-BA02-4EE9-B6AE-7CCAEA21DF77}"/>
    <cellStyle name="Normal 5 3 4 2 2 5 2 3" xfId="12852" xr:uid="{637728C8-6D04-4FF3-9466-B9DB27B5C1E1}"/>
    <cellStyle name="Normal 5 3 4 2 2 5 3" xfId="6475" xr:uid="{00000000-0005-0000-0000-0000261A0000}"/>
    <cellStyle name="Normal 5 3 4 2 2 5 3 2" xfId="14925" xr:uid="{18E941FD-A787-4D40-9EB6-0CBED1E28560}"/>
    <cellStyle name="Normal 5 3 4 2 2 5 4" xfId="10707" xr:uid="{7BAA6DC0-6D3C-4D31-A30C-4BBFA151B8AB}"/>
    <cellStyle name="Normal 5 3 4 2 2 6" xfId="2605" xr:uid="{00000000-0005-0000-0000-0000271A0000}"/>
    <cellStyle name="Normal 5 3 4 2 2 6 2" xfId="6888" xr:uid="{00000000-0005-0000-0000-0000281A0000}"/>
    <cellStyle name="Normal 5 3 4 2 2 6 2 2" xfId="15338" xr:uid="{F383F010-01A9-492E-8AB7-3DE1514FBDF8}"/>
    <cellStyle name="Normal 5 3 4 2 2 6 3" xfId="11120" xr:uid="{21C907B6-B4A9-4D83-B4D3-500796C2AA8C}"/>
    <cellStyle name="Normal 5 3 4 2 2 7" xfId="4823" xr:uid="{00000000-0005-0000-0000-0000291A0000}"/>
    <cellStyle name="Normal 5 3 4 2 2 7 2" xfId="13273" xr:uid="{2BD88509-32B0-4F85-8FA8-A1422F9F603E}"/>
    <cellStyle name="Normal 5 3 4 2 2 8" xfId="9055" xr:uid="{1B3C6E3B-25B8-4686-8DC3-81A45B13D671}"/>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427C3879-0D9C-4CB2-951E-894CDBDCBD74}"/>
    <cellStyle name="Normal 5 3 4 2 3 2 3" xfId="11612" xr:uid="{A9195072-8F23-46C8-A9E5-811A2BE6D76A}"/>
    <cellStyle name="Normal 5 3 4 2 3 3" xfId="5235" xr:uid="{00000000-0005-0000-0000-00002D1A0000}"/>
    <cellStyle name="Normal 5 3 4 2 3 3 2" xfId="13685" xr:uid="{F9535169-89AB-405B-81CE-023B1090F762}"/>
    <cellStyle name="Normal 5 3 4 2 3 4" xfId="9467" xr:uid="{2A3CB103-708B-4CE6-BD98-2497CB4750CE}"/>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5E4F75AA-D77E-4B97-8852-20C7DA9CB30B}"/>
    <cellStyle name="Normal 5 3 4 2 4 2 3" xfId="12025" xr:uid="{C96481D4-BBAD-4AE0-AF8C-7E5EBB5D31C0}"/>
    <cellStyle name="Normal 5 3 4 2 4 3" xfId="5648" xr:uid="{00000000-0005-0000-0000-0000311A0000}"/>
    <cellStyle name="Normal 5 3 4 2 4 3 2" xfId="14098" xr:uid="{78C799FB-47D0-48EB-B1DE-7E1AC65C76D6}"/>
    <cellStyle name="Normal 5 3 4 2 4 4" xfId="9880" xr:uid="{7F357606-BFF5-43EB-8C25-5A09880083C8}"/>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DB955BBA-5C63-454A-8A00-44578FEDF6D7}"/>
    <cellStyle name="Normal 5 3 4 2 5 2 3" xfId="12438" xr:uid="{416AFF4D-7163-4F98-9B34-D4889732B64C}"/>
    <cellStyle name="Normal 5 3 4 2 5 3" xfId="6061" xr:uid="{00000000-0005-0000-0000-0000351A0000}"/>
    <cellStyle name="Normal 5 3 4 2 5 3 2" xfId="14511" xr:uid="{A1E93DF2-387D-4650-B9D7-18146BE9EDF8}"/>
    <cellStyle name="Normal 5 3 4 2 5 4" xfId="10293" xr:uid="{DCBEE8BB-D4BA-47D9-8562-FAEFB15F08E2}"/>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E9BB5C36-C8C9-4BDE-B646-803B5839F26F}"/>
    <cellStyle name="Normal 5 3 4 2 6 2 3" xfId="12851" xr:uid="{64F79B30-FA98-4C71-9217-0A10F883409E}"/>
    <cellStyle name="Normal 5 3 4 2 6 3" xfId="6474" xr:uid="{00000000-0005-0000-0000-0000391A0000}"/>
    <cellStyle name="Normal 5 3 4 2 6 3 2" xfId="14924" xr:uid="{6436DE26-736A-48CD-9198-54F465B0E04A}"/>
    <cellStyle name="Normal 5 3 4 2 6 4" xfId="10706" xr:uid="{3E80C52E-225B-4F98-A781-AAB9D12C5966}"/>
    <cellStyle name="Normal 5 3 4 2 7" xfId="2604" xr:uid="{00000000-0005-0000-0000-00003A1A0000}"/>
    <cellStyle name="Normal 5 3 4 2 7 2" xfId="6887" xr:uid="{00000000-0005-0000-0000-00003B1A0000}"/>
    <cellStyle name="Normal 5 3 4 2 7 2 2" xfId="15337" xr:uid="{23ACCBAD-3489-470B-875F-A5FE8EB45014}"/>
    <cellStyle name="Normal 5 3 4 2 7 3" xfId="11119" xr:uid="{E82412DF-1DB3-4372-911F-DE36D1E97227}"/>
    <cellStyle name="Normal 5 3 4 2 8" xfId="4822" xr:uid="{00000000-0005-0000-0000-00003C1A0000}"/>
    <cellStyle name="Normal 5 3 4 2 8 2" xfId="13272" xr:uid="{CEEBA3A7-A9EF-4613-8EFA-36BEFAC2AD4B}"/>
    <cellStyle name="Normal 5 3 4 2 9" xfId="9054" xr:uid="{428DA3CC-20CD-4E5F-8704-B69F168167B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B26240B2-2CFC-4A01-B16B-A6CDCF8A01F8}"/>
    <cellStyle name="Normal 5 3 4 3 2 2 3" xfId="11614" xr:uid="{F8CC683C-BD02-4A8D-A100-F5B87148D322}"/>
    <cellStyle name="Normal 5 3 4 3 2 3" xfId="5237" xr:uid="{00000000-0005-0000-0000-0000411A0000}"/>
    <cellStyle name="Normal 5 3 4 3 2 3 2" xfId="13687" xr:uid="{8FFEC08E-E30F-43DD-B917-D2262E806106}"/>
    <cellStyle name="Normal 5 3 4 3 2 4" xfId="9469" xr:uid="{BE1399BE-7BD8-4A1A-B75F-0A277D5957A0}"/>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311E124E-1F7E-47E0-9482-437987598025}"/>
    <cellStyle name="Normal 5 3 4 3 3 2 3" xfId="12027" xr:uid="{EE2BDDE9-D4D1-41D7-A384-39CD83F72F47}"/>
    <cellStyle name="Normal 5 3 4 3 3 3" xfId="5650" xr:uid="{00000000-0005-0000-0000-0000451A0000}"/>
    <cellStyle name="Normal 5 3 4 3 3 3 2" xfId="14100" xr:uid="{39E91C62-8F49-456A-9B00-6A1B55763225}"/>
    <cellStyle name="Normal 5 3 4 3 3 4" xfId="9882" xr:uid="{E44DF424-D617-478B-8A9A-BDB2650EC058}"/>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AF350F5E-F8FB-46E5-A219-850A73E08CCD}"/>
    <cellStyle name="Normal 5 3 4 3 4 2 3" xfId="12440" xr:uid="{57A688B0-45F8-40F2-8930-8366D0B552AB}"/>
    <cellStyle name="Normal 5 3 4 3 4 3" xfId="6063" xr:uid="{00000000-0005-0000-0000-0000491A0000}"/>
    <cellStyle name="Normal 5 3 4 3 4 3 2" xfId="14513" xr:uid="{75897E4B-C712-4C8C-A637-B8CE53910363}"/>
    <cellStyle name="Normal 5 3 4 3 4 4" xfId="10295" xr:uid="{15E4E5A3-ED09-43E2-8A42-4C19F22E1697}"/>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E9824D14-1095-4769-B278-1E21EEC62921}"/>
    <cellStyle name="Normal 5 3 4 3 5 2 3" xfId="12853" xr:uid="{5613569C-1038-4F89-AB3A-EF7B8919CFD6}"/>
    <cellStyle name="Normal 5 3 4 3 5 3" xfId="6476" xr:uid="{00000000-0005-0000-0000-00004D1A0000}"/>
    <cellStyle name="Normal 5 3 4 3 5 3 2" xfId="14926" xr:uid="{A84EFC63-7280-4D89-B6EB-F249A77A43B8}"/>
    <cellStyle name="Normal 5 3 4 3 5 4" xfId="10708" xr:uid="{82142500-571A-428D-9B76-87421296E18A}"/>
    <cellStyle name="Normal 5 3 4 3 6" xfId="2606" xr:uid="{00000000-0005-0000-0000-00004E1A0000}"/>
    <cellStyle name="Normal 5 3 4 3 6 2" xfId="6889" xr:uid="{00000000-0005-0000-0000-00004F1A0000}"/>
    <cellStyle name="Normal 5 3 4 3 6 2 2" xfId="15339" xr:uid="{3391BD43-8948-47BA-80B6-323D37277A36}"/>
    <cellStyle name="Normal 5 3 4 3 6 3" xfId="11121" xr:uid="{52C5DB64-55B1-4A37-8663-C2CCD5010F99}"/>
    <cellStyle name="Normal 5 3 4 3 7" xfId="4824" xr:uid="{00000000-0005-0000-0000-0000501A0000}"/>
    <cellStyle name="Normal 5 3 4 3 7 2" xfId="13274" xr:uid="{D2058F53-49D9-4157-BB4D-0F403724B5EB}"/>
    <cellStyle name="Normal 5 3 4 3 8" xfId="9056" xr:uid="{22A595DC-E727-4B2A-8CC2-ED2CFEA93101}"/>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42D5BF1C-A869-40E0-8586-1B07EB47B2A3}"/>
    <cellStyle name="Normal 5 3 4 4 2 3" xfId="11611" xr:uid="{70654422-04DC-4622-9797-3739BECE79E0}"/>
    <cellStyle name="Normal 5 3 4 4 3" xfId="5234" xr:uid="{00000000-0005-0000-0000-0000541A0000}"/>
    <cellStyle name="Normal 5 3 4 4 3 2" xfId="13684" xr:uid="{3EB62D38-8813-4C15-8A96-C55247FC400F}"/>
    <cellStyle name="Normal 5 3 4 4 4" xfId="9466" xr:uid="{A29F19BE-B3CB-44F8-9E73-8FEFB4C920B2}"/>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C558E913-8761-459F-877E-AAAFD7E3EFE2}"/>
    <cellStyle name="Normal 5 3 4 5 2 3" xfId="12024" xr:uid="{679EADAB-3874-459D-9B7F-14CFA185BE74}"/>
    <cellStyle name="Normal 5 3 4 5 3" xfId="5647" xr:uid="{00000000-0005-0000-0000-0000581A0000}"/>
    <cellStyle name="Normal 5 3 4 5 3 2" xfId="14097" xr:uid="{7FE6D0DB-5623-4243-AFCD-FDCFFA1C4754}"/>
    <cellStyle name="Normal 5 3 4 5 4" xfId="9879" xr:uid="{2BC5C6F8-0FE5-43D3-B0A0-D611C8AA6BCC}"/>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1C6F379C-B4DD-4290-9CF6-CCC0C160A962}"/>
    <cellStyle name="Normal 5 3 4 6 2 3" xfId="12437" xr:uid="{4D26479A-277C-4E60-9F34-5BE42B576AB7}"/>
    <cellStyle name="Normal 5 3 4 6 3" xfId="6060" xr:uid="{00000000-0005-0000-0000-00005C1A0000}"/>
    <cellStyle name="Normal 5 3 4 6 3 2" xfId="14510" xr:uid="{D67BF39B-3579-4600-A452-688F98F1D688}"/>
    <cellStyle name="Normal 5 3 4 6 4" xfId="10292" xr:uid="{F46B03DA-89B3-42E1-954E-D8815FCCF91F}"/>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BB71687A-F32F-4422-89E9-3112AA9DE65D}"/>
    <cellStyle name="Normal 5 3 4 7 2 3" xfId="12850" xr:uid="{823A31F0-A6A3-4E4A-B0C9-2D51C92AFA5D}"/>
    <cellStyle name="Normal 5 3 4 7 3" xfId="6473" xr:uid="{00000000-0005-0000-0000-0000601A0000}"/>
    <cellStyle name="Normal 5 3 4 7 3 2" xfId="14923" xr:uid="{52CF845E-FFB8-40A0-91A6-318CD8DB9484}"/>
    <cellStyle name="Normal 5 3 4 7 4" xfId="10705" xr:uid="{8EBE8234-E7B0-43A0-9138-B0263C6E71CB}"/>
    <cellStyle name="Normal 5 3 4 8" xfId="2603" xr:uid="{00000000-0005-0000-0000-0000611A0000}"/>
    <cellStyle name="Normal 5 3 4 8 2" xfId="6886" xr:uid="{00000000-0005-0000-0000-0000621A0000}"/>
    <cellStyle name="Normal 5 3 4 8 2 2" xfId="15336" xr:uid="{1768D52F-AB07-428A-94A8-AF0D7C95FFF8}"/>
    <cellStyle name="Normal 5 3 4 8 3" xfId="11118" xr:uid="{AC49DDFD-EDB8-4C95-96D2-C24C003C0C2E}"/>
    <cellStyle name="Normal 5 3 4 9" xfId="4821" xr:uid="{00000000-0005-0000-0000-0000631A0000}"/>
    <cellStyle name="Normal 5 3 4 9 2" xfId="13271" xr:uid="{B2CD8871-380B-4E4C-A705-B3B3F42370C5}"/>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5CC1F5D3-03BD-4B78-80B7-84E02FFB7018}"/>
    <cellStyle name="Normal 5 3 5 2 2 2 3" xfId="11616" xr:uid="{0BBB27D8-1275-4818-BE42-6D5CB8754F57}"/>
    <cellStyle name="Normal 5 3 5 2 2 3" xfId="5239" xr:uid="{00000000-0005-0000-0000-0000691A0000}"/>
    <cellStyle name="Normal 5 3 5 2 2 3 2" xfId="13689" xr:uid="{60655CDD-7F0A-4B4A-8428-C2B29FBF1E32}"/>
    <cellStyle name="Normal 5 3 5 2 2 4" xfId="9471" xr:uid="{309E014E-AE00-43B1-BBC4-DCEAC93C7E79}"/>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DF00F78D-13CA-4439-9A9F-49FFA36187EF}"/>
    <cellStyle name="Normal 5 3 5 2 3 2 3" xfId="12029" xr:uid="{986A4C7A-30D5-487F-87FC-951AB3D3231B}"/>
    <cellStyle name="Normal 5 3 5 2 3 3" xfId="5652" xr:uid="{00000000-0005-0000-0000-00006D1A0000}"/>
    <cellStyle name="Normal 5 3 5 2 3 3 2" xfId="14102" xr:uid="{57BF98BC-B4C8-459A-A881-2318DE8CEA28}"/>
    <cellStyle name="Normal 5 3 5 2 3 4" xfId="9884" xr:uid="{FF850AC3-5E65-4CFE-A1E1-743FA809EA61}"/>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840E879A-59F3-405E-9A85-D96882D2C7A3}"/>
    <cellStyle name="Normal 5 3 5 2 4 2 3" xfId="12442" xr:uid="{A4D01E9B-90D2-4F63-A89D-422722D0943B}"/>
    <cellStyle name="Normal 5 3 5 2 4 3" xfId="6065" xr:uid="{00000000-0005-0000-0000-0000711A0000}"/>
    <cellStyle name="Normal 5 3 5 2 4 3 2" xfId="14515" xr:uid="{1D0157AA-5BB9-44DF-B22B-D7CE7388E251}"/>
    <cellStyle name="Normal 5 3 5 2 4 4" xfId="10297" xr:uid="{9E211DB6-9096-4F12-8B2E-BC424456BA62}"/>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CD52F61B-7035-483B-B6F4-604ABDEC58F2}"/>
    <cellStyle name="Normal 5 3 5 2 5 2 3" xfId="12855" xr:uid="{E26A64D6-AE13-43B2-BB1D-43DD97C9EEE3}"/>
    <cellStyle name="Normal 5 3 5 2 5 3" xfId="6478" xr:uid="{00000000-0005-0000-0000-0000751A0000}"/>
    <cellStyle name="Normal 5 3 5 2 5 3 2" xfId="14928" xr:uid="{58E87EBE-2A8F-4AF4-94D5-C0D9E2BA4FC1}"/>
    <cellStyle name="Normal 5 3 5 2 5 4" xfId="10710" xr:uid="{3EE1B706-C8A7-400F-874F-70600CA33998}"/>
    <cellStyle name="Normal 5 3 5 2 6" xfId="2608" xr:uid="{00000000-0005-0000-0000-0000761A0000}"/>
    <cellStyle name="Normal 5 3 5 2 6 2" xfId="6891" xr:uid="{00000000-0005-0000-0000-0000771A0000}"/>
    <cellStyle name="Normal 5 3 5 2 6 2 2" xfId="15341" xr:uid="{B533D316-F858-4521-8718-B6E57EEE8F38}"/>
    <cellStyle name="Normal 5 3 5 2 6 3" xfId="11123" xr:uid="{8186EAC8-77A6-4519-9DD9-22587E709E97}"/>
    <cellStyle name="Normal 5 3 5 2 7" xfId="4826" xr:uid="{00000000-0005-0000-0000-0000781A0000}"/>
    <cellStyle name="Normal 5 3 5 2 7 2" xfId="13276" xr:uid="{571C2966-F56C-42AF-ABDC-B4C8D5BD52E2}"/>
    <cellStyle name="Normal 5 3 5 2 8" xfId="9058" xr:uid="{854B15EC-79E4-42CD-AAE8-8FE4C750A2BB}"/>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2079012F-57D7-499E-8730-4C6A8355DA03}"/>
    <cellStyle name="Normal 5 3 5 3 2 3" xfId="11615" xr:uid="{DAC75427-70BA-4688-A154-715018934F19}"/>
    <cellStyle name="Normal 5 3 5 3 3" xfId="5238" xr:uid="{00000000-0005-0000-0000-00007C1A0000}"/>
    <cellStyle name="Normal 5 3 5 3 3 2" xfId="13688" xr:uid="{F73E8ED4-B358-41AA-91EC-D2E8FC3D0643}"/>
    <cellStyle name="Normal 5 3 5 3 4" xfId="9470" xr:uid="{DF026314-A78D-4679-8E62-C3EFBDE113E7}"/>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92F67FB8-2974-4B43-BB97-5390E2D07D16}"/>
    <cellStyle name="Normal 5 3 5 4 2 3" xfId="12028" xr:uid="{547C296F-50DA-42C3-95C7-40D08C81E424}"/>
    <cellStyle name="Normal 5 3 5 4 3" xfId="5651" xr:uid="{00000000-0005-0000-0000-0000801A0000}"/>
    <cellStyle name="Normal 5 3 5 4 3 2" xfId="14101" xr:uid="{D0DC1CBB-081E-42D9-A036-146952AC8ADE}"/>
    <cellStyle name="Normal 5 3 5 4 4" xfId="9883" xr:uid="{FD2122EA-5097-4586-A0A8-AC6A5391E8EB}"/>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B09CAF0E-4B01-49A6-9864-01AFF6AF0801}"/>
    <cellStyle name="Normal 5 3 5 5 2 3" xfId="12441" xr:uid="{E8E5D02E-0F6B-44E3-BF6C-C273688CAFFC}"/>
    <cellStyle name="Normal 5 3 5 5 3" xfId="6064" xr:uid="{00000000-0005-0000-0000-0000841A0000}"/>
    <cellStyle name="Normal 5 3 5 5 3 2" xfId="14514" xr:uid="{67CBED77-F26F-4F29-9B4B-D6310FF28501}"/>
    <cellStyle name="Normal 5 3 5 5 4" xfId="10296" xr:uid="{34F8650E-BC19-4D3B-B614-FA2A8221F420}"/>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685A38D0-308C-4790-BBBD-2DA9739F57F9}"/>
    <cellStyle name="Normal 5 3 5 6 2 3" xfId="12854" xr:uid="{E4CC0AC5-C565-4322-8F4D-7FCD02E07F9A}"/>
    <cellStyle name="Normal 5 3 5 6 3" xfId="6477" xr:uid="{00000000-0005-0000-0000-0000881A0000}"/>
    <cellStyle name="Normal 5 3 5 6 3 2" xfId="14927" xr:uid="{1715B027-CB84-4893-A7A8-BE19238AAB93}"/>
    <cellStyle name="Normal 5 3 5 6 4" xfId="10709" xr:uid="{1EFB57A0-96E8-415F-B60C-6E5A22C00529}"/>
    <cellStyle name="Normal 5 3 5 7" xfId="2607" xr:uid="{00000000-0005-0000-0000-0000891A0000}"/>
    <cellStyle name="Normal 5 3 5 7 2" xfId="6890" xr:uid="{00000000-0005-0000-0000-00008A1A0000}"/>
    <cellStyle name="Normal 5 3 5 7 2 2" xfId="15340" xr:uid="{A69D480E-EF93-49A4-AC85-0CE6388758D1}"/>
    <cellStyle name="Normal 5 3 5 7 3" xfId="11122" xr:uid="{2C918B99-E105-4A06-AF0A-EBCFD237BFED}"/>
    <cellStyle name="Normal 5 3 5 8" xfId="4825" xr:uid="{00000000-0005-0000-0000-00008B1A0000}"/>
    <cellStyle name="Normal 5 3 5 8 2" xfId="13275" xr:uid="{211BDAAA-D7B7-4DBF-8D86-D5B0A5C6FFA0}"/>
    <cellStyle name="Normal 5 3 5 9" xfId="9057" xr:uid="{0076B31B-7F4F-423F-B476-5EE1864A4408}"/>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DCB46221-410E-4C32-9BDE-BF6A6BAAF0F3}"/>
    <cellStyle name="Normal 5 3 6 2 2 3" xfId="11617" xr:uid="{2FA78C7D-2BB2-48A3-A83E-626135172DAD}"/>
    <cellStyle name="Normal 5 3 6 2 3" xfId="5240" xr:uid="{00000000-0005-0000-0000-0000901A0000}"/>
    <cellStyle name="Normal 5 3 6 2 3 2" xfId="13690" xr:uid="{3D60CF55-6DAA-4733-A71E-F796E497E864}"/>
    <cellStyle name="Normal 5 3 6 2 4" xfId="9472" xr:uid="{2DE0A3C2-9866-40BF-A171-B7E6CC2E44ED}"/>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0D1FEEA8-F6AB-4EC5-91A8-5251B61B027A}"/>
    <cellStyle name="Normal 5 3 6 3 2 3" xfId="12030" xr:uid="{A5C846B9-B42E-412B-ADEF-4A69ABD6BE79}"/>
    <cellStyle name="Normal 5 3 6 3 3" xfId="5653" xr:uid="{00000000-0005-0000-0000-0000941A0000}"/>
    <cellStyle name="Normal 5 3 6 3 3 2" xfId="14103" xr:uid="{D058A32E-C829-42C7-934C-9D0B2261EE0F}"/>
    <cellStyle name="Normal 5 3 6 3 4" xfId="9885" xr:uid="{47BAAFA0-896F-4F22-9014-2CEDA5A606CC}"/>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29B7DA86-B296-47EE-BE41-F6C281223280}"/>
    <cellStyle name="Normal 5 3 6 4 2 3" xfId="12443" xr:uid="{B77074E2-D236-4946-97BB-FF74B19222F5}"/>
    <cellStyle name="Normal 5 3 6 4 3" xfId="6066" xr:uid="{00000000-0005-0000-0000-0000981A0000}"/>
    <cellStyle name="Normal 5 3 6 4 3 2" xfId="14516" xr:uid="{5EFBC110-57D9-44B7-B7C5-43D2389A61FB}"/>
    <cellStyle name="Normal 5 3 6 4 4" xfId="10298" xr:uid="{44A87EB8-9C67-4B5C-BA87-0E7DC2E3470B}"/>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C01623A6-C8A6-477B-8DAC-7BECED70767D}"/>
    <cellStyle name="Normal 5 3 6 5 2 3" xfId="12856" xr:uid="{7A69FEC5-8CBC-499B-ADC4-E2D2FA00AE4A}"/>
    <cellStyle name="Normal 5 3 6 5 3" xfId="6479" xr:uid="{00000000-0005-0000-0000-00009C1A0000}"/>
    <cellStyle name="Normal 5 3 6 5 3 2" xfId="14929" xr:uid="{8609525D-4058-4A0B-A15B-68CEBE7A876D}"/>
    <cellStyle name="Normal 5 3 6 5 4" xfId="10711" xr:uid="{CE7D3796-1C28-4AD2-A2AD-AEAC3EE13041}"/>
    <cellStyle name="Normal 5 3 6 6" xfId="2609" xr:uid="{00000000-0005-0000-0000-00009D1A0000}"/>
    <cellStyle name="Normal 5 3 6 6 2" xfId="6892" xr:uid="{00000000-0005-0000-0000-00009E1A0000}"/>
    <cellStyle name="Normal 5 3 6 6 2 2" xfId="15342" xr:uid="{C6E1BCA9-3E95-4E5F-B9B9-CE3DB1D43254}"/>
    <cellStyle name="Normal 5 3 6 6 3" xfId="11124" xr:uid="{AC011260-96BE-48F0-8D5F-6172F1857B2F}"/>
    <cellStyle name="Normal 5 3 6 7" xfId="4827" xr:uid="{00000000-0005-0000-0000-00009F1A0000}"/>
    <cellStyle name="Normal 5 3 6 7 2" xfId="13277" xr:uid="{7292E170-B309-4835-B6BE-9BFFDC6DC195}"/>
    <cellStyle name="Normal 5 3 6 8" xfId="9059" xr:uid="{0CD6E519-BB46-485C-B031-232AE613D090}"/>
    <cellStyle name="Normal 5 3 7" xfId="913" xr:uid="{00000000-0005-0000-0000-0000A01A0000}"/>
    <cellStyle name="Normal 5 3 7 2" xfId="3148" xr:uid="{00000000-0005-0000-0000-0000A11A0000}"/>
    <cellStyle name="Normal 5 3 7 2 2" xfId="7370" xr:uid="{00000000-0005-0000-0000-0000A21A0000}"/>
    <cellStyle name="Normal 5 3 7 2 2 2" xfId="15820" xr:uid="{10254BF8-8DB7-429E-9F75-E9512F5D5E15}"/>
    <cellStyle name="Normal 5 3 7 2 3" xfId="11602" xr:uid="{2C19D31A-8982-495D-A2D9-7D3E0234C8A8}"/>
    <cellStyle name="Normal 5 3 7 3" xfId="5225" xr:uid="{00000000-0005-0000-0000-0000A31A0000}"/>
    <cellStyle name="Normal 5 3 7 3 2" xfId="13675" xr:uid="{5BDC2FBA-CA80-4FB6-8812-FE78AA602A71}"/>
    <cellStyle name="Normal 5 3 7 4" xfId="9457" xr:uid="{65062524-922B-4E6A-83F5-136E8CD2A335}"/>
    <cellStyle name="Normal 5 3 8" xfId="1331" xr:uid="{00000000-0005-0000-0000-0000A41A0000}"/>
    <cellStyle name="Normal 5 3 8 2" xfId="3561" xr:uid="{00000000-0005-0000-0000-0000A51A0000}"/>
    <cellStyle name="Normal 5 3 8 2 2" xfId="7783" xr:uid="{00000000-0005-0000-0000-0000A61A0000}"/>
    <cellStyle name="Normal 5 3 8 2 2 2" xfId="16233" xr:uid="{2EEF67BC-2C30-4CCC-8705-2178BB7A4A27}"/>
    <cellStyle name="Normal 5 3 8 2 3" xfId="12015" xr:uid="{5779F440-02DA-457C-A940-5F74AB922EBF}"/>
    <cellStyle name="Normal 5 3 8 3" xfId="5638" xr:uid="{00000000-0005-0000-0000-0000A71A0000}"/>
    <cellStyle name="Normal 5 3 8 3 2" xfId="14088" xr:uid="{56BDBB8E-12E5-45D1-B198-3B92330BE1A0}"/>
    <cellStyle name="Normal 5 3 8 4" xfId="9870" xr:uid="{12449BC5-E367-4EEF-B03A-8ABB72659F05}"/>
    <cellStyle name="Normal 5 3 9" xfId="1744" xr:uid="{00000000-0005-0000-0000-0000A81A0000}"/>
    <cellStyle name="Normal 5 3 9 2" xfId="3974" xr:uid="{00000000-0005-0000-0000-0000A91A0000}"/>
    <cellStyle name="Normal 5 3 9 2 2" xfId="8196" xr:uid="{00000000-0005-0000-0000-0000AA1A0000}"/>
    <cellStyle name="Normal 5 3 9 2 2 2" xfId="16646" xr:uid="{A5518793-D1D6-424C-A1F7-88E855D0A6D9}"/>
    <cellStyle name="Normal 5 3 9 2 3" xfId="12428" xr:uid="{A7111A6A-74B4-47B9-A55D-42F89C316FFE}"/>
    <cellStyle name="Normal 5 3 9 3" xfId="6051" xr:uid="{00000000-0005-0000-0000-0000AB1A0000}"/>
    <cellStyle name="Normal 5 3 9 3 2" xfId="14501" xr:uid="{374C0AAA-BD0E-48B9-BA5F-186EAD21AE63}"/>
    <cellStyle name="Normal 5 3 9 4" xfId="10283" xr:uid="{315BEF2D-4B22-4DCE-BE3C-DF65319D94D9}"/>
    <cellStyle name="Normal 5 4" xfId="456" xr:uid="{00000000-0005-0000-0000-0000AC1A0000}"/>
    <cellStyle name="Normal 5 4 10" xfId="4828" xr:uid="{00000000-0005-0000-0000-0000AD1A0000}"/>
    <cellStyle name="Normal 5 4 10 2" xfId="13278" xr:uid="{8AB04C31-E3B8-4CAD-84C4-5C357ADA1B47}"/>
    <cellStyle name="Normal 5 4 11" xfId="9060" xr:uid="{B534DA10-08B1-433E-8046-D9A48435C2B2}"/>
    <cellStyle name="Normal 5 4 2" xfId="457" xr:uid="{00000000-0005-0000-0000-0000AE1A0000}"/>
    <cellStyle name="Normal 5 4 2 10" xfId="9061" xr:uid="{CE8606DD-1B91-4027-897A-55DA1E84A79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F2840284-7683-4334-9431-ED7094A4061F}"/>
    <cellStyle name="Normal 5 4 2 2 2 2 2 3" xfId="11621" xr:uid="{6942E68A-B0AF-4446-9E4B-451697F0BC8D}"/>
    <cellStyle name="Normal 5 4 2 2 2 2 3" xfId="5244" xr:uid="{00000000-0005-0000-0000-0000B41A0000}"/>
    <cellStyle name="Normal 5 4 2 2 2 2 3 2" xfId="13694" xr:uid="{DEBB5CCE-6989-4EDA-A86C-417A83CFA69A}"/>
    <cellStyle name="Normal 5 4 2 2 2 2 4" xfId="9476" xr:uid="{540166A8-E158-4EDC-9016-B4D9857F866B}"/>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6330695E-AE78-4DA3-9D6A-2DE60E4C70CC}"/>
    <cellStyle name="Normal 5 4 2 2 2 3 2 3" xfId="12034" xr:uid="{0B30D8D9-D0DA-41EF-A543-B81C5F450926}"/>
    <cellStyle name="Normal 5 4 2 2 2 3 3" xfId="5657" xr:uid="{00000000-0005-0000-0000-0000B81A0000}"/>
    <cellStyle name="Normal 5 4 2 2 2 3 3 2" xfId="14107" xr:uid="{DA71037A-3E66-4F89-856B-48E37324B68C}"/>
    <cellStyle name="Normal 5 4 2 2 2 3 4" xfId="9889" xr:uid="{A17C8883-A2B3-458F-BCC2-32C233458BAA}"/>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CD9F7509-4625-4596-BC3D-00D5B4C3B2DF}"/>
    <cellStyle name="Normal 5 4 2 2 2 4 2 3" xfId="12447" xr:uid="{6AE2A4BB-1F17-43F8-94AA-4087145D9A4A}"/>
    <cellStyle name="Normal 5 4 2 2 2 4 3" xfId="6070" xr:uid="{00000000-0005-0000-0000-0000BC1A0000}"/>
    <cellStyle name="Normal 5 4 2 2 2 4 3 2" xfId="14520" xr:uid="{96D680AE-83BA-4FFA-969D-D25551735CD8}"/>
    <cellStyle name="Normal 5 4 2 2 2 4 4" xfId="10302" xr:uid="{8B041176-30F5-43D8-BE8F-B6AA80DA95AD}"/>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62D700C7-A133-4A01-AE89-2C74388BD1FC}"/>
    <cellStyle name="Normal 5 4 2 2 2 5 2 3" xfId="12860" xr:uid="{0781428D-995F-4F2D-8F2E-DBB6B5DD2416}"/>
    <cellStyle name="Normal 5 4 2 2 2 5 3" xfId="6483" xr:uid="{00000000-0005-0000-0000-0000C01A0000}"/>
    <cellStyle name="Normal 5 4 2 2 2 5 3 2" xfId="14933" xr:uid="{265F0D59-46E6-40C5-83FF-C4928D1B1A69}"/>
    <cellStyle name="Normal 5 4 2 2 2 5 4" xfId="10715" xr:uid="{23DD8179-7278-45FE-BFE8-4F5BE8D0B8C1}"/>
    <cellStyle name="Normal 5 4 2 2 2 6" xfId="2613" xr:uid="{00000000-0005-0000-0000-0000C11A0000}"/>
    <cellStyle name="Normal 5 4 2 2 2 6 2" xfId="6896" xr:uid="{00000000-0005-0000-0000-0000C21A0000}"/>
    <cellStyle name="Normal 5 4 2 2 2 6 2 2" xfId="15346" xr:uid="{6E238C48-C740-4309-8D3D-4C97479B17FD}"/>
    <cellStyle name="Normal 5 4 2 2 2 6 3" xfId="11128" xr:uid="{304EC420-D57C-42CB-970F-A5BCEF41AB19}"/>
    <cellStyle name="Normal 5 4 2 2 2 7" xfId="4831" xr:uid="{00000000-0005-0000-0000-0000C31A0000}"/>
    <cellStyle name="Normal 5 4 2 2 2 7 2" xfId="13281" xr:uid="{51653B8D-627E-4190-82C2-AC43F61426EF}"/>
    <cellStyle name="Normal 5 4 2 2 2 8" xfId="9063" xr:uid="{63CF68EF-AD79-4183-ABFB-B537EEBF2089}"/>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3DE44815-9C84-459F-8865-FD1EA89375A6}"/>
    <cellStyle name="Normal 5 4 2 2 3 2 3" xfId="11620" xr:uid="{825B248C-44B4-45CD-A0EE-18C278B45070}"/>
    <cellStyle name="Normal 5 4 2 2 3 3" xfId="5243" xr:uid="{00000000-0005-0000-0000-0000C71A0000}"/>
    <cellStyle name="Normal 5 4 2 2 3 3 2" xfId="13693" xr:uid="{50FDA2C9-D21E-410B-B750-CA7096DCEB89}"/>
    <cellStyle name="Normal 5 4 2 2 3 4" xfId="9475" xr:uid="{62468BD3-3815-4EE3-B927-23F2DB81FCC2}"/>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A7765E54-435C-4227-8FD9-F3EECD7C6575}"/>
    <cellStyle name="Normal 5 4 2 2 4 2 3" xfId="12033" xr:uid="{792544B9-2D20-44D4-9C48-94AA46F25A08}"/>
    <cellStyle name="Normal 5 4 2 2 4 3" xfId="5656" xr:uid="{00000000-0005-0000-0000-0000CB1A0000}"/>
    <cellStyle name="Normal 5 4 2 2 4 3 2" xfId="14106" xr:uid="{E95430EC-BBAE-4E95-867C-FB2E4DFBE266}"/>
    <cellStyle name="Normal 5 4 2 2 4 4" xfId="9888" xr:uid="{2D9AF697-8D69-4AC7-AA71-86D0DAFB3F83}"/>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16BAAFA6-A0F4-4BF6-9BC4-03C6171E61F0}"/>
    <cellStyle name="Normal 5 4 2 2 5 2 3" xfId="12446" xr:uid="{3795414C-675B-46E7-A86F-973F16EAAAC9}"/>
    <cellStyle name="Normal 5 4 2 2 5 3" xfId="6069" xr:uid="{00000000-0005-0000-0000-0000CF1A0000}"/>
    <cellStyle name="Normal 5 4 2 2 5 3 2" xfId="14519" xr:uid="{970E0F71-86B1-462C-9606-1116DCBDD6F4}"/>
    <cellStyle name="Normal 5 4 2 2 5 4" xfId="10301" xr:uid="{C7633AF9-EB33-4A77-B67D-7AE3C4055264}"/>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0ADA3A47-3A83-4FD2-8987-A80FFB9806D5}"/>
    <cellStyle name="Normal 5 4 2 2 6 2 3" xfId="12859" xr:uid="{83FAF87A-E3A4-45A3-AD51-096C4C3FB2EA}"/>
    <cellStyle name="Normal 5 4 2 2 6 3" xfId="6482" xr:uid="{00000000-0005-0000-0000-0000D31A0000}"/>
    <cellStyle name="Normal 5 4 2 2 6 3 2" xfId="14932" xr:uid="{A7DADD12-83A1-4CD3-8C43-9CC52B20BC87}"/>
    <cellStyle name="Normal 5 4 2 2 6 4" xfId="10714" xr:uid="{87F2BCA5-A4FC-4F58-9721-93962F841F0E}"/>
    <cellStyle name="Normal 5 4 2 2 7" xfId="2612" xr:uid="{00000000-0005-0000-0000-0000D41A0000}"/>
    <cellStyle name="Normal 5 4 2 2 7 2" xfId="6895" xr:uid="{00000000-0005-0000-0000-0000D51A0000}"/>
    <cellStyle name="Normal 5 4 2 2 7 2 2" xfId="15345" xr:uid="{3193BA3C-F9B4-4D49-A71E-08C637038F0F}"/>
    <cellStyle name="Normal 5 4 2 2 7 3" xfId="11127" xr:uid="{29211B67-C9E8-429D-B8AB-F039D2B27E23}"/>
    <cellStyle name="Normal 5 4 2 2 8" xfId="4830" xr:uid="{00000000-0005-0000-0000-0000D61A0000}"/>
    <cellStyle name="Normal 5 4 2 2 8 2" xfId="13280" xr:uid="{14900CCB-325B-47C7-998D-FB9A24A367C2}"/>
    <cellStyle name="Normal 5 4 2 2 9" xfId="9062" xr:uid="{26392EB8-A1F7-410B-ADCE-007006F01332}"/>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3E9993F0-1BE7-4184-83A7-5184FFD818DD}"/>
    <cellStyle name="Normal 5 4 2 3 2 2 3" xfId="11622" xr:uid="{BE075566-716D-421B-8106-0FE953E0485E}"/>
    <cellStyle name="Normal 5 4 2 3 2 3" xfId="5245" xr:uid="{00000000-0005-0000-0000-0000DB1A0000}"/>
    <cellStyle name="Normal 5 4 2 3 2 3 2" xfId="13695" xr:uid="{D5A8785A-2359-4ECD-B0BE-508CA109AFE3}"/>
    <cellStyle name="Normal 5 4 2 3 2 4" xfId="9477" xr:uid="{83D7BC15-8A2C-4B00-94AA-CAF0B2FF6A7A}"/>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F1890595-14DE-48E6-A6D8-16640595828E}"/>
    <cellStyle name="Normal 5 4 2 3 3 2 3" xfId="12035" xr:uid="{84241CF7-6B4C-4EAD-9BCB-6B10E25C2DDF}"/>
    <cellStyle name="Normal 5 4 2 3 3 3" xfId="5658" xr:uid="{00000000-0005-0000-0000-0000DF1A0000}"/>
    <cellStyle name="Normal 5 4 2 3 3 3 2" xfId="14108" xr:uid="{A6B937D2-1711-40D8-8EC4-F0D86CE68176}"/>
    <cellStyle name="Normal 5 4 2 3 3 4" xfId="9890" xr:uid="{CBEBB43A-D1B7-46FB-9EEE-94E80F7D1E35}"/>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E534BAE5-8E50-419D-9358-7751119CADA8}"/>
    <cellStyle name="Normal 5 4 2 3 4 2 3" xfId="12448" xr:uid="{C57539AB-FA53-4376-B380-5AF36E351843}"/>
    <cellStyle name="Normal 5 4 2 3 4 3" xfId="6071" xr:uid="{00000000-0005-0000-0000-0000E31A0000}"/>
    <cellStyle name="Normal 5 4 2 3 4 3 2" xfId="14521" xr:uid="{AE77380B-E612-419A-A814-7D5A90F84E8C}"/>
    <cellStyle name="Normal 5 4 2 3 4 4" xfId="10303" xr:uid="{5BC4753A-E03B-455E-A789-F302E7597906}"/>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2A8018CB-62A9-4A12-9C97-38A5399AFEAD}"/>
    <cellStyle name="Normal 5 4 2 3 5 2 3" xfId="12861" xr:uid="{1AE6B5E3-6470-4413-B506-DDA30FF8B8C7}"/>
    <cellStyle name="Normal 5 4 2 3 5 3" xfId="6484" xr:uid="{00000000-0005-0000-0000-0000E71A0000}"/>
    <cellStyle name="Normal 5 4 2 3 5 3 2" xfId="14934" xr:uid="{6B3E6718-0925-40C7-B7D0-413D79D5012A}"/>
    <cellStyle name="Normal 5 4 2 3 5 4" xfId="10716" xr:uid="{10BA732D-28C2-4EFB-9ABD-2959F123DEE3}"/>
    <cellStyle name="Normal 5 4 2 3 6" xfId="2614" xr:uid="{00000000-0005-0000-0000-0000E81A0000}"/>
    <cellStyle name="Normal 5 4 2 3 6 2" xfId="6897" xr:uid="{00000000-0005-0000-0000-0000E91A0000}"/>
    <cellStyle name="Normal 5 4 2 3 6 2 2" xfId="15347" xr:uid="{23CDEDFD-4EAD-41E0-90E8-A6B71719784A}"/>
    <cellStyle name="Normal 5 4 2 3 6 3" xfId="11129" xr:uid="{7CC1FAFA-CC67-415F-983C-721491B19642}"/>
    <cellStyle name="Normal 5 4 2 3 7" xfId="4832" xr:uid="{00000000-0005-0000-0000-0000EA1A0000}"/>
    <cellStyle name="Normal 5 4 2 3 7 2" xfId="13282" xr:uid="{2EC9CC5E-3EB6-4BE0-A737-771C5A12A081}"/>
    <cellStyle name="Normal 5 4 2 3 8" xfId="9064" xr:uid="{E93BB9A5-C7AA-4410-8F5F-866F350CE818}"/>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69F09A0F-D29E-4D45-A739-C63DCEAF280A}"/>
    <cellStyle name="Normal 5 4 2 4 2 3" xfId="11619" xr:uid="{1A4DD710-6D4B-4277-B185-F0A7D1F53511}"/>
    <cellStyle name="Normal 5 4 2 4 3" xfId="5242" xr:uid="{00000000-0005-0000-0000-0000EE1A0000}"/>
    <cellStyle name="Normal 5 4 2 4 3 2" xfId="13692" xr:uid="{BA98D744-B337-4CF3-ADFC-477D2E2FA6BF}"/>
    <cellStyle name="Normal 5 4 2 4 4" xfId="9474" xr:uid="{95DBA75B-DBE1-41B6-93FA-53B4F6EAC45F}"/>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7E9859DF-9EFB-4FED-928D-B8FD7028B980}"/>
    <cellStyle name="Normal 5 4 2 5 2 3" xfId="12032" xr:uid="{3E47E9F7-08A8-48A1-9042-EBB7FA7DCC7A}"/>
    <cellStyle name="Normal 5 4 2 5 3" xfId="5655" xr:uid="{00000000-0005-0000-0000-0000F21A0000}"/>
    <cellStyle name="Normal 5 4 2 5 3 2" xfId="14105" xr:uid="{D402A4E0-D503-4380-9F14-DB5AC5903C6E}"/>
    <cellStyle name="Normal 5 4 2 5 4" xfId="9887" xr:uid="{062F0D44-BE0E-4D61-B608-1B545759AA3E}"/>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7CE7352A-C9BD-4F35-B92D-ED22EF49B104}"/>
    <cellStyle name="Normal 5 4 2 6 2 3" xfId="12445" xr:uid="{B42C7681-BDFA-4E36-B9BA-7CC4C41C1161}"/>
    <cellStyle name="Normal 5 4 2 6 3" xfId="6068" xr:uid="{00000000-0005-0000-0000-0000F61A0000}"/>
    <cellStyle name="Normal 5 4 2 6 3 2" xfId="14518" xr:uid="{CACDA42E-4445-4DE9-A6D8-8EB5854FD5BB}"/>
    <cellStyle name="Normal 5 4 2 6 4" xfId="10300" xr:uid="{445341FA-B0E6-431E-8F77-0828413F4AB8}"/>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A0CA40CD-9EE1-41D0-813C-56CE4192AB1A}"/>
    <cellStyle name="Normal 5 4 2 7 2 3" xfId="12858" xr:uid="{B136B19A-7293-4CB7-BA7B-A4F7DE19E137}"/>
    <cellStyle name="Normal 5 4 2 7 3" xfId="6481" xr:uid="{00000000-0005-0000-0000-0000FA1A0000}"/>
    <cellStyle name="Normal 5 4 2 7 3 2" xfId="14931" xr:uid="{EFAEDC9C-EED6-4E50-9E78-AA95A8F96D76}"/>
    <cellStyle name="Normal 5 4 2 7 4" xfId="10713" xr:uid="{A9C59DB3-A592-4E86-B635-91208AAFA656}"/>
    <cellStyle name="Normal 5 4 2 8" xfId="2611" xr:uid="{00000000-0005-0000-0000-0000FB1A0000}"/>
    <cellStyle name="Normal 5 4 2 8 2" xfId="6894" xr:uid="{00000000-0005-0000-0000-0000FC1A0000}"/>
    <cellStyle name="Normal 5 4 2 8 2 2" xfId="15344" xr:uid="{26ABA8CD-FDF8-40C5-8886-23F819C4A13B}"/>
    <cellStyle name="Normal 5 4 2 8 3" xfId="11126" xr:uid="{EEC84BC9-E5A6-4319-AAA1-0BE2D5FC68E2}"/>
    <cellStyle name="Normal 5 4 2 9" xfId="4829" xr:uid="{00000000-0005-0000-0000-0000FD1A0000}"/>
    <cellStyle name="Normal 5 4 2 9 2" xfId="13279" xr:uid="{6B41E628-0201-4EE4-ADCA-304126F82ECA}"/>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2ED67812-05EC-41DD-9B22-452854AFF7E3}"/>
    <cellStyle name="Normal 5 4 3 2 2 2 3" xfId="11624" xr:uid="{EAF10593-ECE2-46B4-A215-9434D66B623F}"/>
    <cellStyle name="Normal 5 4 3 2 2 3" xfId="5247" xr:uid="{00000000-0005-0000-0000-0000031B0000}"/>
    <cellStyle name="Normal 5 4 3 2 2 3 2" xfId="13697" xr:uid="{14A07846-2875-45A9-A4EF-55B05202652F}"/>
    <cellStyle name="Normal 5 4 3 2 2 4" xfId="9479" xr:uid="{C3867769-6AE4-4CAB-9DC4-3C2271EE23FA}"/>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D02780DA-8C41-4978-A664-444742CA67A9}"/>
    <cellStyle name="Normal 5 4 3 2 3 2 3" xfId="12037" xr:uid="{300B3A1E-03EA-4188-8D6E-A4866296A245}"/>
    <cellStyle name="Normal 5 4 3 2 3 3" xfId="5660" xr:uid="{00000000-0005-0000-0000-0000071B0000}"/>
    <cellStyle name="Normal 5 4 3 2 3 3 2" xfId="14110" xr:uid="{9B38D1D2-529A-49A2-AB62-888ED48B74A1}"/>
    <cellStyle name="Normal 5 4 3 2 3 4" xfId="9892" xr:uid="{1C120E92-BC75-4939-B5A4-0BCC416EBB86}"/>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91B50ADD-8784-4440-8021-69B98E1E2A33}"/>
    <cellStyle name="Normal 5 4 3 2 4 2 3" xfId="12450" xr:uid="{83C3E6DD-1F72-4795-A7F2-1B21C32C83D8}"/>
    <cellStyle name="Normal 5 4 3 2 4 3" xfId="6073" xr:uid="{00000000-0005-0000-0000-00000B1B0000}"/>
    <cellStyle name="Normal 5 4 3 2 4 3 2" xfId="14523" xr:uid="{85281CB7-12DE-4450-A7FC-08CE9AEA0D79}"/>
    <cellStyle name="Normal 5 4 3 2 4 4" xfId="10305" xr:uid="{3B591EE0-B6B7-4D34-ACA4-6F1E72267982}"/>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DE2AB5FC-A917-4C0D-8A73-96F109B9AAC4}"/>
    <cellStyle name="Normal 5 4 3 2 5 2 3" xfId="12863" xr:uid="{A680C33C-F365-4A2E-A0F0-A2CAAA5AC2CF}"/>
    <cellStyle name="Normal 5 4 3 2 5 3" xfId="6486" xr:uid="{00000000-0005-0000-0000-00000F1B0000}"/>
    <cellStyle name="Normal 5 4 3 2 5 3 2" xfId="14936" xr:uid="{9DDCC2A2-B692-4349-9545-2D5198907CF5}"/>
    <cellStyle name="Normal 5 4 3 2 5 4" xfId="10718" xr:uid="{A862608B-04D0-41A6-A665-3FCA6B2FE0D0}"/>
    <cellStyle name="Normal 5 4 3 2 6" xfId="2616" xr:uid="{00000000-0005-0000-0000-0000101B0000}"/>
    <cellStyle name="Normal 5 4 3 2 6 2" xfId="6899" xr:uid="{00000000-0005-0000-0000-0000111B0000}"/>
    <cellStyle name="Normal 5 4 3 2 6 2 2" xfId="15349" xr:uid="{F08AE74D-8214-4A37-86FF-06566BE982D3}"/>
    <cellStyle name="Normal 5 4 3 2 6 3" xfId="11131" xr:uid="{6AB4AD92-1B76-429E-8985-297234B8414D}"/>
    <cellStyle name="Normal 5 4 3 2 7" xfId="4834" xr:uid="{00000000-0005-0000-0000-0000121B0000}"/>
    <cellStyle name="Normal 5 4 3 2 7 2" xfId="13284" xr:uid="{9275EB04-79FB-4DA4-A0F9-E1DBE80E8904}"/>
    <cellStyle name="Normal 5 4 3 2 8" xfId="9066" xr:uid="{B4A5D8A1-842B-4607-A7DB-F803AED84586}"/>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FEDE4C84-1F78-414C-9930-1D34D0D9F954}"/>
    <cellStyle name="Normal 5 4 3 3 2 3" xfId="11623" xr:uid="{EB89FDCA-8748-420F-898F-7130DD91D3ED}"/>
    <cellStyle name="Normal 5 4 3 3 3" xfId="5246" xr:uid="{00000000-0005-0000-0000-0000161B0000}"/>
    <cellStyle name="Normal 5 4 3 3 3 2" xfId="13696" xr:uid="{513AFF48-C890-4A2B-B69A-A98BDA1F47AA}"/>
    <cellStyle name="Normal 5 4 3 3 4" xfId="9478" xr:uid="{8F300300-7193-4AAE-AE74-0C610F00E04D}"/>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A9ED3ECA-9B16-483F-A9A5-B70A66C35145}"/>
    <cellStyle name="Normal 5 4 3 4 2 3" xfId="12036" xr:uid="{86477C59-9AB7-49B4-9C31-7E35042D2990}"/>
    <cellStyle name="Normal 5 4 3 4 3" xfId="5659" xr:uid="{00000000-0005-0000-0000-00001A1B0000}"/>
    <cellStyle name="Normal 5 4 3 4 3 2" xfId="14109" xr:uid="{A5294AA6-3FC8-45C2-94D0-015C3F256594}"/>
    <cellStyle name="Normal 5 4 3 4 4" xfId="9891" xr:uid="{D2B65D25-DC57-4B11-BE14-1418306683D6}"/>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1590C4BB-DD37-4A29-996E-2CD9D177024E}"/>
    <cellStyle name="Normal 5 4 3 5 2 3" xfId="12449" xr:uid="{AA3F4267-DFAE-4E2E-A72D-A73EC6C5CA67}"/>
    <cellStyle name="Normal 5 4 3 5 3" xfId="6072" xr:uid="{00000000-0005-0000-0000-00001E1B0000}"/>
    <cellStyle name="Normal 5 4 3 5 3 2" xfId="14522" xr:uid="{3C311225-BD05-4535-B417-F12069D9ED49}"/>
    <cellStyle name="Normal 5 4 3 5 4" xfId="10304" xr:uid="{59ABF006-AF01-4616-A953-B4AA67119BAF}"/>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AD69B613-45EE-4197-95AB-EB58125624D0}"/>
    <cellStyle name="Normal 5 4 3 6 2 3" xfId="12862" xr:uid="{366BF722-4B12-4C53-B05E-740ECDAF0C1A}"/>
    <cellStyle name="Normal 5 4 3 6 3" xfId="6485" xr:uid="{00000000-0005-0000-0000-0000221B0000}"/>
    <cellStyle name="Normal 5 4 3 6 3 2" xfId="14935" xr:uid="{74083B30-D096-40A7-9D98-C64DB3F84291}"/>
    <cellStyle name="Normal 5 4 3 6 4" xfId="10717" xr:uid="{7F841912-055D-42EB-9102-F1F6DAD97D76}"/>
    <cellStyle name="Normal 5 4 3 7" xfId="2615" xr:uid="{00000000-0005-0000-0000-0000231B0000}"/>
    <cellStyle name="Normal 5 4 3 7 2" xfId="6898" xr:uid="{00000000-0005-0000-0000-0000241B0000}"/>
    <cellStyle name="Normal 5 4 3 7 2 2" xfId="15348" xr:uid="{A7CA2D54-63FB-4BC0-8F07-8DAAC8C62792}"/>
    <cellStyle name="Normal 5 4 3 7 3" xfId="11130" xr:uid="{8226C545-9069-4C58-B2D0-A903497E7E32}"/>
    <cellStyle name="Normal 5 4 3 8" xfId="4833" xr:uid="{00000000-0005-0000-0000-0000251B0000}"/>
    <cellStyle name="Normal 5 4 3 8 2" xfId="13283" xr:uid="{D2A12007-4CD4-4CF7-99D8-A68321A9E680}"/>
    <cellStyle name="Normal 5 4 3 9" xfId="9065" xr:uid="{F481B9DE-4DFB-491C-9574-08890332746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B8E33497-DA8D-4A50-BAD9-364B60BB7252}"/>
    <cellStyle name="Normal 5 4 4 2 2 3" xfId="11625" xr:uid="{7F3E17ED-BB66-4E60-9B5B-86C61B3A3D8D}"/>
    <cellStyle name="Normal 5 4 4 2 3" xfId="5248" xr:uid="{00000000-0005-0000-0000-00002A1B0000}"/>
    <cellStyle name="Normal 5 4 4 2 3 2" xfId="13698" xr:uid="{4BD1BD24-E950-482F-B270-9F3F35FABDFE}"/>
    <cellStyle name="Normal 5 4 4 2 4" xfId="9480" xr:uid="{FE9BD140-FF40-450B-B738-689E4B9180A2}"/>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A428BAF3-F02D-4142-8820-745A01590165}"/>
    <cellStyle name="Normal 5 4 4 3 2 3" xfId="12038" xr:uid="{C278A8E8-A2E1-4C5E-BF74-31EEE20AEDC0}"/>
    <cellStyle name="Normal 5 4 4 3 3" xfId="5661" xr:uid="{00000000-0005-0000-0000-00002E1B0000}"/>
    <cellStyle name="Normal 5 4 4 3 3 2" xfId="14111" xr:uid="{79D5DE79-8DF9-4877-A8E0-ED4C55099718}"/>
    <cellStyle name="Normal 5 4 4 3 4" xfId="9893" xr:uid="{F2F68638-C1B6-4A3A-8CBC-E2A16258BB37}"/>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CC3F83DF-C514-4289-A6FC-55E570DE5285}"/>
    <cellStyle name="Normal 5 4 4 4 2 3" xfId="12451" xr:uid="{0EEA8B44-B18F-42CB-8653-D6191995D61A}"/>
    <cellStyle name="Normal 5 4 4 4 3" xfId="6074" xr:uid="{00000000-0005-0000-0000-0000321B0000}"/>
    <cellStyle name="Normal 5 4 4 4 3 2" xfId="14524" xr:uid="{1A11B423-60AE-4847-A773-E43EF478780B}"/>
    <cellStyle name="Normal 5 4 4 4 4" xfId="10306" xr:uid="{21A895FD-86BB-4E92-B792-2DA2F148C61E}"/>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690853CE-4FAF-46DF-94E6-2E749D58E09C}"/>
    <cellStyle name="Normal 5 4 4 5 2 3" xfId="12864" xr:uid="{ABB6E18F-8306-4E81-A73C-4A1E16FDC9AA}"/>
    <cellStyle name="Normal 5 4 4 5 3" xfId="6487" xr:uid="{00000000-0005-0000-0000-0000361B0000}"/>
    <cellStyle name="Normal 5 4 4 5 3 2" xfId="14937" xr:uid="{C0FDF057-4F11-4349-8D2B-7A68BCEE9BCD}"/>
    <cellStyle name="Normal 5 4 4 5 4" xfId="10719" xr:uid="{3F41F9DF-92E7-459F-A403-6547ADD4C573}"/>
    <cellStyle name="Normal 5 4 4 6" xfId="2617" xr:uid="{00000000-0005-0000-0000-0000371B0000}"/>
    <cellStyle name="Normal 5 4 4 6 2" xfId="6900" xr:uid="{00000000-0005-0000-0000-0000381B0000}"/>
    <cellStyle name="Normal 5 4 4 6 2 2" xfId="15350" xr:uid="{0EC0B53A-BCF7-4762-8F10-B972405BC207}"/>
    <cellStyle name="Normal 5 4 4 6 3" xfId="11132" xr:uid="{4E6D2C66-E5D9-48E2-A8BD-F4FE84F4F9D5}"/>
    <cellStyle name="Normal 5 4 4 7" xfId="4835" xr:uid="{00000000-0005-0000-0000-0000391B0000}"/>
    <cellStyle name="Normal 5 4 4 7 2" xfId="13285" xr:uid="{92BBADFE-CF47-4D42-8A19-7B21732263B9}"/>
    <cellStyle name="Normal 5 4 4 8" xfId="9067" xr:uid="{9075B6FA-BEED-4AC5-AF32-D903C8A2DA0E}"/>
    <cellStyle name="Normal 5 4 5" xfId="930" xr:uid="{00000000-0005-0000-0000-00003A1B0000}"/>
    <cellStyle name="Normal 5 4 5 2" xfId="3164" xr:uid="{00000000-0005-0000-0000-00003B1B0000}"/>
    <cellStyle name="Normal 5 4 5 2 2" xfId="7386" xr:uid="{00000000-0005-0000-0000-00003C1B0000}"/>
    <cellStyle name="Normal 5 4 5 2 2 2" xfId="15836" xr:uid="{74163517-2CD2-492D-80AD-B0E1A3B5E683}"/>
    <cellStyle name="Normal 5 4 5 2 3" xfId="11618" xr:uid="{867D59D9-E5A7-44DA-8FBD-5D3A4F885D8C}"/>
    <cellStyle name="Normal 5 4 5 3" xfId="5241" xr:uid="{00000000-0005-0000-0000-00003D1B0000}"/>
    <cellStyle name="Normal 5 4 5 3 2" xfId="13691" xr:uid="{78F67F89-ECAD-4658-B949-3B3A0166E9E0}"/>
    <cellStyle name="Normal 5 4 5 4" xfId="9473" xr:uid="{08BCD548-06D8-4E69-830C-C82BF2F20457}"/>
    <cellStyle name="Normal 5 4 6" xfId="1347" xr:uid="{00000000-0005-0000-0000-00003E1B0000}"/>
    <cellStyle name="Normal 5 4 6 2" xfId="3577" xr:uid="{00000000-0005-0000-0000-00003F1B0000}"/>
    <cellStyle name="Normal 5 4 6 2 2" xfId="7799" xr:uid="{00000000-0005-0000-0000-0000401B0000}"/>
    <cellStyle name="Normal 5 4 6 2 2 2" xfId="16249" xr:uid="{5E9953B4-593E-4AF3-8AB4-6F42330DDFB3}"/>
    <cellStyle name="Normal 5 4 6 2 3" xfId="12031" xr:uid="{42DDBB0A-58B1-4F52-BBCB-017413206EE4}"/>
    <cellStyle name="Normal 5 4 6 3" xfId="5654" xr:uid="{00000000-0005-0000-0000-0000411B0000}"/>
    <cellStyle name="Normal 5 4 6 3 2" xfId="14104" xr:uid="{F8FABCF9-71AC-4734-8E4E-1C46754F3925}"/>
    <cellStyle name="Normal 5 4 6 4" xfId="9886" xr:uid="{1AB63E27-2C95-47F8-BFBC-36F8C0AD9C21}"/>
    <cellStyle name="Normal 5 4 7" xfId="1760" xr:uid="{00000000-0005-0000-0000-0000421B0000}"/>
    <cellStyle name="Normal 5 4 7 2" xfId="3990" xr:uid="{00000000-0005-0000-0000-0000431B0000}"/>
    <cellStyle name="Normal 5 4 7 2 2" xfId="8212" xr:uid="{00000000-0005-0000-0000-0000441B0000}"/>
    <cellStyle name="Normal 5 4 7 2 2 2" xfId="16662" xr:uid="{6CF72543-89FB-4B77-8086-12ED707B5605}"/>
    <cellStyle name="Normal 5 4 7 2 3" xfId="12444" xr:uid="{90B932DE-0FBE-4019-8356-2E290260773F}"/>
    <cellStyle name="Normal 5 4 7 3" xfId="6067" xr:uid="{00000000-0005-0000-0000-0000451B0000}"/>
    <cellStyle name="Normal 5 4 7 3 2" xfId="14517" xr:uid="{6BB9E0B7-2306-4D68-9FD0-D7006B45C5C3}"/>
    <cellStyle name="Normal 5 4 7 4" xfId="10299" xr:uid="{D4835257-55E8-4CD1-9B30-02EF1765C865}"/>
    <cellStyle name="Normal 5 4 8" xfId="2174" xr:uid="{00000000-0005-0000-0000-0000461B0000}"/>
    <cellStyle name="Normal 5 4 8 2" xfId="4403" xr:uid="{00000000-0005-0000-0000-0000471B0000}"/>
    <cellStyle name="Normal 5 4 8 2 2" xfId="8625" xr:uid="{00000000-0005-0000-0000-0000481B0000}"/>
    <cellStyle name="Normal 5 4 8 2 2 2" xfId="17075" xr:uid="{6C57CF09-123A-4C39-AB8A-1E8157E9BC95}"/>
    <cellStyle name="Normal 5 4 8 2 3" xfId="12857" xr:uid="{8B79AEA9-3790-453D-A6A7-72533A384E79}"/>
    <cellStyle name="Normal 5 4 8 3" xfId="6480" xr:uid="{00000000-0005-0000-0000-0000491B0000}"/>
    <cellStyle name="Normal 5 4 8 3 2" xfId="14930" xr:uid="{9FA6B75D-13A8-492B-AD38-90E93AB2B9BF}"/>
    <cellStyle name="Normal 5 4 8 4" xfId="10712" xr:uid="{F4C4C49F-18C4-4A5C-B064-CFF9674DE817}"/>
    <cellStyle name="Normal 5 4 9" xfId="2610" xr:uid="{00000000-0005-0000-0000-00004A1B0000}"/>
    <cellStyle name="Normal 5 4 9 2" xfId="6893" xr:uid="{00000000-0005-0000-0000-00004B1B0000}"/>
    <cellStyle name="Normal 5 4 9 2 2" xfId="15343" xr:uid="{00FBE597-D65F-437C-8BD3-0DF55DDAE60D}"/>
    <cellStyle name="Normal 5 4 9 3" xfId="11125" xr:uid="{4D1ED99C-DFC3-48F1-81E7-3B1354852315}"/>
    <cellStyle name="Normal 5 5" xfId="464" xr:uid="{00000000-0005-0000-0000-00004C1B0000}"/>
    <cellStyle name="Normal 5 5 10" xfId="9068" xr:uid="{E4E9AEB4-9358-429F-87EA-406011EFE44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DA024D32-1834-4773-ACA0-91D8B03CA702}"/>
    <cellStyle name="Normal 5 5 2 2 2 2 3" xfId="11628" xr:uid="{2F32357E-84E9-4F28-BB12-9B54A59EC168}"/>
    <cellStyle name="Normal 5 5 2 2 2 3" xfId="5251" xr:uid="{00000000-0005-0000-0000-0000521B0000}"/>
    <cellStyle name="Normal 5 5 2 2 2 3 2" xfId="13701" xr:uid="{71CAFDE3-7A7C-4864-B751-C8EAAAC384D0}"/>
    <cellStyle name="Normal 5 5 2 2 2 4" xfId="9483" xr:uid="{BAA01816-9F3F-4ECC-85FA-0ED36F03EFCB}"/>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B6E3C10A-530E-4142-98EF-A30BF3D24617}"/>
    <cellStyle name="Normal 5 5 2 2 3 2 3" xfId="12041" xr:uid="{CB17A78C-0D59-4027-9C93-6401C9D80CFB}"/>
    <cellStyle name="Normal 5 5 2 2 3 3" xfId="5664" xr:uid="{00000000-0005-0000-0000-0000561B0000}"/>
    <cellStyle name="Normal 5 5 2 2 3 3 2" xfId="14114" xr:uid="{DA761AD8-C4BB-4075-A697-EC70ED6C16B6}"/>
    <cellStyle name="Normal 5 5 2 2 3 4" xfId="9896" xr:uid="{A16137E6-56C4-4020-B467-4D8D2A060541}"/>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C66AC9BE-968F-4B31-84EB-13B0DF56755B}"/>
    <cellStyle name="Normal 5 5 2 2 4 2 3" xfId="12454" xr:uid="{546B128C-8FC4-4C5C-97BD-780C5BBB90DB}"/>
    <cellStyle name="Normal 5 5 2 2 4 3" xfId="6077" xr:uid="{00000000-0005-0000-0000-00005A1B0000}"/>
    <cellStyle name="Normal 5 5 2 2 4 3 2" xfId="14527" xr:uid="{F08D9828-9090-4A49-807B-EE5BC2CB8C51}"/>
    <cellStyle name="Normal 5 5 2 2 4 4" xfId="10309" xr:uid="{B3F4B897-38D0-4B57-8E6C-910F87E34719}"/>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02A1596B-6037-4D58-9C28-3196697D5A97}"/>
    <cellStyle name="Normal 5 5 2 2 5 2 3" xfId="12867" xr:uid="{BE9AB8D5-F176-436F-B3EA-791CFFBFF16E}"/>
    <cellStyle name="Normal 5 5 2 2 5 3" xfId="6490" xr:uid="{00000000-0005-0000-0000-00005E1B0000}"/>
    <cellStyle name="Normal 5 5 2 2 5 3 2" xfId="14940" xr:uid="{F57F310C-437C-4CA2-B3C3-6F6C0A7EAA47}"/>
    <cellStyle name="Normal 5 5 2 2 5 4" xfId="10722" xr:uid="{80D698F8-AF71-46CF-BB79-B773BBF01049}"/>
    <cellStyle name="Normal 5 5 2 2 6" xfId="2620" xr:uid="{00000000-0005-0000-0000-00005F1B0000}"/>
    <cellStyle name="Normal 5 5 2 2 6 2" xfId="6903" xr:uid="{00000000-0005-0000-0000-0000601B0000}"/>
    <cellStyle name="Normal 5 5 2 2 6 2 2" xfId="15353" xr:uid="{9AABDC8D-F232-4D1A-B88F-08A7D72998E6}"/>
    <cellStyle name="Normal 5 5 2 2 6 3" xfId="11135" xr:uid="{F037913B-82AC-47A2-A80F-30DC39299CC1}"/>
    <cellStyle name="Normal 5 5 2 2 7" xfId="4838" xr:uid="{00000000-0005-0000-0000-0000611B0000}"/>
    <cellStyle name="Normal 5 5 2 2 7 2" xfId="13288" xr:uid="{FCE4BECE-D36B-4B7E-B3DA-0C9BDC2B9738}"/>
    <cellStyle name="Normal 5 5 2 2 8" xfId="9070" xr:uid="{74058CAB-0408-4165-B9E2-E82FBF6A85DB}"/>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84C954FE-2CEA-46A9-A237-B4B9B8982887}"/>
    <cellStyle name="Normal 5 5 2 3 2 3" xfId="11627" xr:uid="{20616CE7-4A6D-47D1-9903-DCB610665D5C}"/>
    <cellStyle name="Normal 5 5 2 3 3" xfId="5250" xr:uid="{00000000-0005-0000-0000-0000651B0000}"/>
    <cellStyle name="Normal 5 5 2 3 3 2" xfId="13700" xr:uid="{3671C7DC-3602-49A5-8ACC-9D1E1D43251D}"/>
    <cellStyle name="Normal 5 5 2 3 4" xfId="9482" xr:uid="{481CBC2C-4A32-4DFB-969E-537302DCF1B2}"/>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4ABB7927-E961-41A1-9D9A-167B4A38843D}"/>
    <cellStyle name="Normal 5 5 2 4 2 3" xfId="12040" xr:uid="{50B56881-0137-407C-B060-68FF0F18899F}"/>
    <cellStyle name="Normal 5 5 2 4 3" xfId="5663" xr:uid="{00000000-0005-0000-0000-0000691B0000}"/>
    <cellStyle name="Normal 5 5 2 4 3 2" xfId="14113" xr:uid="{4F0A8C66-9DDF-4C32-B67A-16C8F4CA235C}"/>
    <cellStyle name="Normal 5 5 2 4 4" xfId="9895" xr:uid="{09EDFBDF-22EA-470E-9BBF-C348FADA2CE9}"/>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0962C004-CFDF-43D5-A821-E268370CD6FA}"/>
    <cellStyle name="Normal 5 5 2 5 2 3" xfId="12453" xr:uid="{EBBEA6AC-09F9-491F-B70B-6123A7D5C038}"/>
    <cellStyle name="Normal 5 5 2 5 3" xfId="6076" xr:uid="{00000000-0005-0000-0000-00006D1B0000}"/>
    <cellStyle name="Normal 5 5 2 5 3 2" xfId="14526" xr:uid="{FD3EE283-52AC-4D00-ABCC-1AC96E521412}"/>
    <cellStyle name="Normal 5 5 2 5 4" xfId="10308" xr:uid="{54C01CB1-B2CD-4011-A757-FF1CC24E63D4}"/>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1E6CDB87-46EE-44B9-9B23-E68CC7F9452A}"/>
    <cellStyle name="Normal 5 5 2 6 2 3" xfId="12866" xr:uid="{8A729B16-3CD4-4804-A386-4CC06C12495D}"/>
    <cellStyle name="Normal 5 5 2 6 3" xfId="6489" xr:uid="{00000000-0005-0000-0000-0000711B0000}"/>
    <cellStyle name="Normal 5 5 2 6 3 2" xfId="14939" xr:uid="{1CCDD718-EAE6-4E85-9F0E-6FB1F53B3D75}"/>
    <cellStyle name="Normal 5 5 2 6 4" xfId="10721" xr:uid="{87B7D300-F66F-4CB7-8004-0F5A2B448AA9}"/>
    <cellStyle name="Normal 5 5 2 7" xfId="2619" xr:uid="{00000000-0005-0000-0000-0000721B0000}"/>
    <cellStyle name="Normal 5 5 2 7 2" xfId="6902" xr:uid="{00000000-0005-0000-0000-0000731B0000}"/>
    <cellStyle name="Normal 5 5 2 7 2 2" xfId="15352" xr:uid="{0E851406-5DB1-4F00-8540-5F2C9CF1890E}"/>
    <cellStyle name="Normal 5 5 2 7 3" xfId="11134" xr:uid="{0091FB60-62FE-40C8-ADDA-6ADD84F05118}"/>
    <cellStyle name="Normal 5 5 2 8" xfId="4837" xr:uid="{00000000-0005-0000-0000-0000741B0000}"/>
    <cellStyle name="Normal 5 5 2 8 2" xfId="13287" xr:uid="{02C978DA-9CD5-4B81-B5C3-363EB1751577}"/>
    <cellStyle name="Normal 5 5 2 9" xfId="9069" xr:uid="{DA3CE3D3-B09A-4365-B1E2-EDCD72C69285}"/>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83E247D4-9DF0-4616-92F1-E982CF408FD9}"/>
    <cellStyle name="Normal 5 5 3 2 2 3" xfId="11629" xr:uid="{67CA3B94-D13D-46A4-A03C-0A1EBDFE5647}"/>
    <cellStyle name="Normal 5 5 3 2 3" xfId="5252" xr:uid="{00000000-0005-0000-0000-0000791B0000}"/>
    <cellStyle name="Normal 5 5 3 2 3 2" xfId="13702" xr:uid="{FF5381FC-D882-4A98-86AE-4AF12736C334}"/>
    <cellStyle name="Normal 5 5 3 2 4" xfId="9484" xr:uid="{571229C5-D5B7-447D-B908-0746A0B87296}"/>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1C85706F-8289-4F81-9DE9-3DB966091D7C}"/>
    <cellStyle name="Normal 5 5 3 3 2 3" xfId="12042" xr:uid="{589808B1-2DD8-406D-AE5E-BB18AFC1534B}"/>
    <cellStyle name="Normal 5 5 3 3 3" xfId="5665" xr:uid="{00000000-0005-0000-0000-00007D1B0000}"/>
    <cellStyle name="Normal 5 5 3 3 3 2" xfId="14115" xr:uid="{73C20BC5-B774-4713-93D1-4D8CB9817251}"/>
    <cellStyle name="Normal 5 5 3 3 4" xfId="9897" xr:uid="{BCB78E50-19C8-4C92-96D4-A811F5218060}"/>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D4387716-3299-409C-9A9C-2E8E62D383DC}"/>
    <cellStyle name="Normal 5 5 3 4 2 3" xfId="12455" xr:uid="{16A62086-58ED-4FD8-86F9-44BAAF320C6D}"/>
    <cellStyle name="Normal 5 5 3 4 3" xfId="6078" xr:uid="{00000000-0005-0000-0000-0000811B0000}"/>
    <cellStyle name="Normal 5 5 3 4 3 2" xfId="14528" xr:uid="{E98D5D3D-0E87-4B26-9229-E9B0F5173878}"/>
    <cellStyle name="Normal 5 5 3 4 4" xfId="10310" xr:uid="{29A4FB09-91EE-491F-9138-C56B5A2FAE73}"/>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BFE9986D-2293-4081-AF68-EA3533149B1C}"/>
    <cellStyle name="Normal 5 5 3 5 2 3" xfId="12868" xr:uid="{56D19A5A-E99D-46C8-B94E-B09E568A5779}"/>
    <cellStyle name="Normal 5 5 3 5 3" xfId="6491" xr:uid="{00000000-0005-0000-0000-0000851B0000}"/>
    <cellStyle name="Normal 5 5 3 5 3 2" xfId="14941" xr:uid="{39FC5B17-B8E2-4F2D-8CCB-5BBA9B848A01}"/>
    <cellStyle name="Normal 5 5 3 5 4" xfId="10723" xr:uid="{D51E7C96-A870-46E7-81D9-B9A4D50F4271}"/>
    <cellStyle name="Normal 5 5 3 6" xfId="2621" xr:uid="{00000000-0005-0000-0000-0000861B0000}"/>
    <cellStyle name="Normal 5 5 3 6 2" xfId="6904" xr:uid="{00000000-0005-0000-0000-0000871B0000}"/>
    <cellStyle name="Normal 5 5 3 6 2 2" xfId="15354" xr:uid="{D714DB51-D68E-46F8-AE03-96BB165281B7}"/>
    <cellStyle name="Normal 5 5 3 6 3" xfId="11136" xr:uid="{A42224E5-1DFA-4BEC-AD8D-EA1875924EBA}"/>
    <cellStyle name="Normal 5 5 3 7" xfId="4839" xr:uid="{00000000-0005-0000-0000-0000881B0000}"/>
    <cellStyle name="Normal 5 5 3 7 2" xfId="13289" xr:uid="{F5A383E4-BC1D-446B-A693-E15ADC5BCC41}"/>
    <cellStyle name="Normal 5 5 3 8" xfId="9071" xr:uid="{0E2D0284-2DD6-418D-9F20-5C5A1D0920AD}"/>
    <cellStyle name="Normal 5 5 4" xfId="938" xr:uid="{00000000-0005-0000-0000-0000891B0000}"/>
    <cellStyle name="Normal 5 5 4 2" xfId="3172" xr:uid="{00000000-0005-0000-0000-00008A1B0000}"/>
    <cellStyle name="Normal 5 5 4 2 2" xfId="7394" xr:uid="{00000000-0005-0000-0000-00008B1B0000}"/>
    <cellStyle name="Normal 5 5 4 2 2 2" xfId="15844" xr:uid="{E866D5C7-D1BE-43D9-B861-D2C48E749185}"/>
    <cellStyle name="Normal 5 5 4 2 3" xfId="11626" xr:uid="{49677D46-2EDF-4A38-8625-CBD5353A9E64}"/>
    <cellStyle name="Normal 5 5 4 3" xfId="5249" xr:uid="{00000000-0005-0000-0000-00008C1B0000}"/>
    <cellStyle name="Normal 5 5 4 3 2" xfId="13699" xr:uid="{B0728C61-E4A4-4213-9278-BC1B24918F0D}"/>
    <cellStyle name="Normal 5 5 4 4" xfId="9481" xr:uid="{FC8463B4-BFFD-4125-8010-B252E983385C}"/>
    <cellStyle name="Normal 5 5 5" xfId="1355" xr:uid="{00000000-0005-0000-0000-00008D1B0000}"/>
    <cellStyle name="Normal 5 5 5 2" xfId="3585" xr:uid="{00000000-0005-0000-0000-00008E1B0000}"/>
    <cellStyle name="Normal 5 5 5 2 2" xfId="7807" xr:uid="{00000000-0005-0000-0000-00008F1B0000}"/>
    <cellStyle name="Normal 5 5 5 2 2 2" xfId="16257" xr:uid="{4CD2A008-389A-479B-908C-A76861171D30}"/>
    <cellStyle name="Normal 5 5 5 2 3" xfId="12039" xr:uid="{D9C126AE-F80A-428E-A9CD-56DAB6A511A3}"/>
    <cellStyle name="Normal 5 5 5 3" xfId="5662" xr:uid="{00000000-0005-0000-0000-0000901B0000}"/>
    <cellStyle name="Normal 5 5 5 3 2" xfId="14112" xr:uid="{51814936-9CF3-4750-BC76-EB3C652E96C3}"/>
    <cellStyle name="Normal 5 5 5 4" xfId="9894" xr:uid="{2D4B3170-2FFC-446E-A2A4-50F6038209F2}"/>
    <cellStyle name="Normal 5 5 6" xfId="1768" xr:uid="{00000000-0005-0000-0000-0000911B0000}"/>
    <cellStyle name="Normal 5 5 6 2" xfId="3998" xr:uid="{00000000-0005-0000-0000-0000921B0000}"/>
    <cellStyle name="Normal 5 5 6 2 2" xfId="8220" xr:uid="{00000000-0005-0000-0000-0000931B0000}"/>
    <cellStyle name="Normal 5 5 6 2 2 2" xfId="16670" xr:uid="{15997DF2-ED9C-4D26-9676-4A8C78220EAE}"/>
    <cellStyle name="Normal 5 5 6 2 3" xfId="12452" xr:uid="{DD2D50E4-18DD-4C87-912C-289071467513}"/>
    <cellStyle name="Normal 5 5 6 3" xfId="6075" xr:uid="{00000000-0005-0000-0000-0000941B0000}"/>
    <cellStyle name="Normal 5 5 6 3 2" xfId="14525" xr:uid="{9DB48130-1A9C-4813-9FB8-D9DA8D505796}"/>
    <cellStyle name="Normal 5 5 6 4" xfId="10307" xr:uid="{8DFE2F66-C3A0-4552-A051-ED07D7F62A4C}"/>
    <cellStyle name="Normal 5 5 7" xfId="2182" xr:uid="{00000000-0005-0000-0000-0000951B0000}"/>
    <cellStyle name="Normal 5 5 7 2" xfId="4411" xr:uid="{00000000-0005-0000-0000-0000961B0000}"/>
    <cellStyle name="Normal 5 5 7 2 2" xfId="8633" xr:uid="{00000000-0005-0000-0000-0000971B0000}"/>
    <cellStyle name="Normal 5 5 7 2 2 2" xfId="17083" xr:uid="{37A3E23F-B7B3-48F7-9719-13A494A1CC6F}"/>
    <cellStyle name="Normal 5 5 7 2 3" xfId="12865" xr:uid="{47B6C3DE-3FD1-42A4-BF6F-695162EDF420}"/>
    <cellStyle name="Normal 5 5 7 3" xfId="6488" xr:uid="{00000000-0005-0000-0000-0000981B0000}"/>
    <cellStyle name="Normal 5 5 7 3 2" xfId="14938" xr:uid="{91ADBC1A-04F6-465E-8434-AD47403C40D7}"/>
    <cellStyle name="Normal 5 5 7 4" xfId="10720" xr:uid="{47B0E0F0-7E59-45AC-8AF2-6CE6D0151F72}"/>
    <cellStyle name="Normal 5 5 8" xfId="2618" xr:uid="{00000000-0005-0000-0000-0000991B0000}"/>
    <cellStyle name="Normal 5 5 8 2" xfId="6901" xr:uid="{00000000-0005-0000-0000-00009A1B0000}"/>
    <cellStyle name="Normal 5 5 8 2 2" xfId="15351" xr:uid="{2710A460-E657-4601-9A99-4C477FDB90F2}"/>
    <cellStyle name="Normal 5 5 8 3" xfId="11133" xr:uid="{CB529B8A-5D55-4139-B004-EAE4BED38CAC}"/>
    <cellStyle name="Normal 5 5 9" xfId="4836" xr:uid="{00000000-0005-0000-0000-00009B1B0000}"/>
    <cellStyle name="Normal 5 5 9 2" xfId="13286" xr:uid="{10FCE213-08B1-4760-BC0D-629AD7ECFDBA}"/>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FEE299A7-F51D-456E-88BA-3E61CEF12C70}"/>
    <cellStyle name="Normal 5 6 2 2 2 3" xfId="11631" xr:uid="{E0E233FD-757F-4F95-B273-C30208EEB1C9}"/>
    <cellStyle name="Normal 5 6 2 2 3" xfId="5254" xr:uid="{00000000-0005-0000-0000-0000A11B0000}"/>
    <cellStyle name="Normal 5 6 2 2 3 2" xfId="13704" xr:uid="{F7D03AC0-B0D4-4A3D-8679-DF9335EE8A29}"/>
    <cellStyle name="Normal 5 6 2 2 4" xfId="9486" xr:uid="{E4F6E725-A76D-4F55-9402-B33E44DE89A0}"/>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BF81AD35-4A6D-4068-A338-0EB308232ED1}"/>
    <cellStyle name="Normal 5 6 2 3 2 3" xfId="12044" xr:uid="{4241AD65-4752-452F-A872-1F6FE61E96EB}"/>
    <cellStyle name="Normal 5 6 2 3 3" xfId="5667" xr:uid="{00000000-0005-0000-0000-0000A51B0000}"/>
    <cellStyle name="Normal 5 6 2 3 3 2" xfId="14117" xr:uid="{F34C01F6-B4E6-44F8-87BC-68C8A5613D69}"/>
    <cellStyle name="Normal 5 6 2 3 4" xfId="9899" xr:uid="{A0DA9E79-03EC-406B-9C51-71C29E501CEE}"/>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D363727E-9A4B-4A54-AF97-922659D98D4C}"/>
    <cellStyle name="Normal 5 6 2 4 2 3" xfId="12457" xr:uid="{EA998C8C-25F2-44D2-ACF6-987D89A120B6}"/>
    <cellStyle name="Normal 5 6 2 4 3" xfId="6080" xr:uid="{00000000-0005-0000-0000-0000A91B0000}"/>
    <cellStyle name="Normal 5 6 2 4 3 2" xfId="14530" xr:uid="{25949891-34F2-43C2-A2E7-5AD871AC32F2}"/>
    <cellStyle name="Normal 5 6 2 4 4" xfId="10312" xr:uid="{83B5FD96-A5CD-4ED2-B643-A9C807F31745}"/>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4BC20AA1-35D9-4F6D-ADD6-03A23DEE5D48}"/>
    <cellStyle name="Normal 5 6 2 5 2 3" xfId="12870" xr:uid="{A9B2F65B-9FEB-4597-A3F1-63D16E23CF34}"/>
    <cellStyle name="Normal 5 6 2 5 3" xfId="6493" xr:uid="{00000000-0005-0000-0000-0000AD1B0000}"/>
    <cellStyle name="Normal 5 6 2 5 3 2" xfId="14943" xr:uid="{CB450DED-AFF6-4CAE-ABA2-73B746036248}"/>
    <cellStyle name="Normal 5 6 2 5 4" xfId="10725" xr:uid="{7B107A84-7D9F-44A4-97D3-EA671FBAF3EE}"/>
    <cellStyle name="Normal 5 6 2 6" xfId="2623" xr:uid="{00000000-0005-0000-0000-0000AE1B0000}"/>
    <cellStyle name="Normal 5 6 2 6 2" xfId="6906" xr:uid="{00000000-0005-0000-0000-0000AF1B0000}"/>
    <cellStyle name="Normal 5 6 2 6 2 2" xfId="15356" xr:uid="{320E108B-36B9-4895-8C05-2CD14AA77079}"/>
    <cellStyle name="Normal 5 6 2 6 3" xfId="11138" xr:uid="{5FCF5F5A-6548-49CD-AB9C-7BC2B1B3F3B2}"/>
    <cellStyle name="Normal 5 6 2 7" xfId="4841" xr:uid="{00000000-0005-0000-0000-0000B01B0000}"/>
    <cellStyle name="Normal 5 6 2 7 2" xfId="13291" xr:uid="{FBA13535-50DF-463F-82EE-7518C819CC29}"/>
    <cellStyle name="Normal 5 6 2 8" xfId="9073" xr:uid="{14598B41-97ED-4B44-B663-FA2969E4D4E4}"/>
    <cellStyle name="Normal 5 6 3" xfId="942" xr:uid="{00000000-0005-0000-0000-0000B11B0000}"/>
    <cellStyle name="Normal 5 6 3 2" xfId="3176" xr:uid="{00000000-0005-0000-0000-0000B21B0000}"/>
    <cellStyle name="Normal 5 6 3 2 2" xfId="7398" xr:uid="{00000000-0005-0000-0000-0000B31B0000}"/>
    <cellStyle name="Normal 5 6 3 2 2 2" xfId="15848" xr:uid="{F81E9582-C365-4416-AEE8-6B90348A913B}"/>
    <cellStyle name="Normal 5 6 3 2 3" xfId="11630" xr:uid="{042316DE-A0C5-4B3C-B560-5B051AF57E51}"/>
    <cellStyle name="Normal 5 6 3 3" xfId="5253" xr:uid="{00000000-0005-0000-0000-0000B41B0000}"/>
    <cellStyle name="Normal 5 6 3 3 2" xfId="13703" xr:uid="{61E943EB-F7CC-43DF-8E2F-BA5AF35EDFAD}"/>
    <cellStyle name="Normal 5 6 3 4" xfId="9485" xr:uid="{5B33B7A1-F4A1-454D-A559-DB842FF6F24C}"/>
    <cellStyle name="Normal 5 6 4" xfId="1359" xr:uid="{00000000-0005-0000-0000-0000B51B0000}"/>
    <cellStyle name="Normal 5 6 4 2" xfId="3589" xr:uid="{00000000-0005-0000-0000-0000B61B0000}"/>
    <cellStyle name="Normal 5 6 4 2 2" xfId="7811" xr:uid="{00000000-0005-0000-0000-0000B71B0000}"/>
    <cellStyle name="Normal 5 6 4 2 2 2" xfId="16261" xr:uid="{0AD8D123-5213-41DB-A847-3E357FB64B9E}"/>
    <cellStyle name="Normal 5 6 4 2 3" xfId="12043" xr:uid="{39CDCA84-E40F-4643-A489-C94A0C6FC998}"/>
    <cellStyle name="Normal 5 6 4 3" xfId="5666" xr:uid="{00000000-0005-0000-0000-0000B81B0000}"/>
    <cellStyle name="Normal 5 6 4 3 2" xfId="14116" xr:uid="{1F63C513-C341-4473-B5DB-334EE59E46A1}"/>
    <cellStyle name="Normal 5 6 4 4" xfId="9898" xr:uid="{97A10D53-B2A2-436C-AC9D-E62FB95DBCDB}"/>
    <cellStyle name="Normal 5 6 5" xfId="1772" xr:uid="{00000000-0005-0000-0000-0000B91B0000}"/>
    <cellStyle name="Normal 5 6 5 2" xfId="4002" xr:uid="{00000000-0005-0000-0000-0000BA1B0000}"/>
    <cellStyle name="Normal 5 6 5 2 2" xfId="8224" xr:uid="{00000000-0005-0000-0000-0000BB1B0000}"/>
    <cellStyle name="Normal 5 6 5 2 2 2" xfId="16674" xr:uid="{6932CEA7-C9EB-42A8-819D-6F37BD7F5692}"/>
    <cellStyle name="Normal 5 6 5 2 3" xfId="12456" xr:uid="{A7527752-6C4E-40CE-A3C0-1F8ACE2ED379}"/>
    <cellStyle name="Normal 5 6 5 3" xfId="6079" xr:uid="{00000000-0005-0000-0000-0000BC1B0000}"/>
    <cellStyle name="Normal 5 6 5 3 2" xfId="14529" xr:uid="{3C15B369-61FA-4DD3-AE02-035C91536156}"/>
    <cellStyle name="Normal 5 6 5 4" xfId="10311" xr:uid="{536CC6E5-3B01-4578-B270-A8514E959B4B}"/>
    <cellStyle name="Normal 5 6 6" xfId="2186" xr:uid="{00000000-0005-0000-0000-0000BD1B0000}"/>
    <cellStyle name="Normal 5 6 6 2" xfId="4415" xr:uid="{00000000-0005-0000-0000-0000BE1B0000}"/>
    <cellStyle name="Normal 5 6 6 2 2" xfId="8637" xr:uid="{00000000-0005-0000-0000-0000BF1B0000}"/>
    <cellStyle name="Normal 5 6 6 2 2 2" xfId="17087" xr:uid="{6DED753B-A6F4-4B97-814D-4D59424F8651}"/>
    <cellStyle name="Normal 5 6 6 2 3" xfId="12869" xr:uid="{EB680F1F-D505-4E71-827A-63F048BC4FD0}"/>
    <cellStyle name="Normal 5 6 6 3" xfId="6492" xr:uid="{00000000-0005-0000-0000-0000C01B0000}"/>
    <cellStyle name="Normal 5 6 6 3 2" xfId="14942" xr:uid="{D1908856-E70D-4133-8506-6A73C29B011D}"/>
    <cellStyle name="Normal 5 6 6 4" xfId="10724" xr:uid="{118CE93F-BF9C-4504-8798-F09EB1530FCD}"/>
    <cellStyle name="Normal 5 6 7" xfId="2622" xr:uid="{00000000-0005-0000-0000-0000C11B0000}"/>
    <cellStyle name="Normal 5 6 7 2" xfId="6905" xr:uid="{00000000-0005-0000-0000-0000C21B0000}"/>
    <cellStyle name="Normal 5 6 7 2 2" xfId="15355" xr:uid="{C270B242-F785-4F97-ADB6-728CA4A105B6}"/>
    <cellStyle name="Normal 5 6 7 3" xfId="11137" xr:uid="{98255FB7-4CCB-4D5C-9E55-30B77555E47C}"/>
    <cellStyle name="Normal 5 6 8" xfId="4840" xr:uid="{00000000-0005-0000-0000-0000C31B0000}"/>
    <cellStyle name="Normal 5 6 8 2" xfId="13290" xr:uid="{B94E0E66-AE54-43E5-83E0-94AF6947608F}"/>
    <cellStyle name="Normal 5 6 9" xfId="9072" xr:uid="{A87ED7DF-EB4D-4398-BB84-8AD52DB57522}"/>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F466E77B-E57B-45C8-9BF8-508A462E9835}"/>
    <cellStyle name="Normal 5 7 2 2 3" xfId="11632" xr:uid="{4184DDA3-6006-453D-8B30-F1F46D1452C7}"/>
    <cellStyle name="Normal 5 7 2 3" xfId="5255" xr:uid="{00000000-0005-0000-0000-0000C81B0000}"/>
    <cellStyle name="Normal 5 7 2 3 2" xfId="13705" xr:uid="{FC0D61CA-85B5-4A52-AD26-515DB403D032}"/>
    <cellStyle name="Normal 5 7 2 4" xfId="9487" xr:uid="{48A3634F-0387-4353-BE22-F579FAD83994}"/>
    <cellStyle name="Normal 5 7 3" xfId="1361" xr:uid="{00000000-0005-0000-0000-0000C91B0000}"/>
    <cellStyle name="Normal 5 7 3 2" xfId="3591" xr:uid="{00000000-0005-0000-0000-0000CA1B0000}"/>
    <cellStyle name="Normal 5 7 3 2 2" xfId="7813" xr:uid="{00000000-0005-0000-0000-0000CB1B0000}"/>
    <cellStyle name="Normal 5 7 3 2 2 2" xfId="16263" xr:uid="{36EA2962-C4AE-4F90-B62A-69D6D9296817}"/>
    <cellStyle name="Normal 5 7 3 2 3" xfId="12045" xr:uid="{614DDB1F-CBCE-4360-845E-D293FCC4A80F}"/>
    <cellStyle name="Normal 5 7 3 3" xfId="5668" xr:uid="{00000000-0005-0000-0000-0000CC1B0000}"/>
    <cellStyle name="Normal 5 7 3 3 2" xfId="14118" xr:uid="{099A6AAC-7B9A-4509-9EA4-E523424B954D}"/>
    <cellStyle name="Normal 5 7 3 4" xfId="9900" xr:uid="{0EB73CB4-2086-43A5-ACCB-D765D217866E}"/>
    <cellStyle name="Normal 5 7 4" xfId="1774" xr:uid="{00000000-0005-0000-0000-0000CD1B0000}"/>
    <cellStyle name="Normal 5 7 4 2" xfId="4004" xr:uid="{00000000-0005-0000-0000-0000CE1B0000}"/>
    <cellStyle name="Normal 5 7 4 2 2" xfId="8226" xr:uid="{00000000-0005-0000-0000-0000CF1B0000}"/>
    <cellStyle name="Normal 5 7 4 2 2 2" xfId="16676" xr:uid="{A373D2EA-0B53-464D-845F-6C6BAA293ADF}"/>
    <cellStyle name="Normal 5 7 4 2 3" xfId="12458" xr:uid="{60A85266-F811-478A-A1E2-F7B84CE1FDB8}"/>
    <cellStyle name="Normal 5 7 4 3" xfId="6081" xr:uid="{00000000-0005-0000-0000-0000D01B0000}"/>
    <cellStyle name="Normal 5 7 4 3 2" xfId="14531" xr:uid="{9D03AEC4-655E-40E3-8400-1D3B9216DDFF}"/>
    <cellStyle name="Normal 5 7 4 4" xfId="10313" xr:uid="{69191DAE-DB4A-42F9-B690-0A54CF404DEB}"/>
    <cellStyle name="Normal 5 7 5" xfId="2188" xr:uid="{00000000-0005-0000-0000-0000D11B0000}"/>
    <cellStyle name="Normal 5 7 5 2" xfId="4417" xr:uid="{00000000-0005-0000-0000-0000D21B0000}"/>
    <cellStyle name="Normal 5 7 5 2 2" xfId="8639" xr:uid="{00000000-0005-0000-0000-0000D31B0000}"/>
    <cellStyle name="Normal 5 7 5 2 2 2" xfId="17089" xr:uid="{11A48C2A-5702-4D26-9B21-0201DF018C56}"/>
    <cellStyle name="Normal 5 7 5 2 3" xfId="12871" xr:uid="{0B4E1B13-CB36-4D2E-9D8E-5A1DEB0F0EC1}"/>
    <cellStyle name="Normal 5 7 5 3" xfId="6494" xr:uid="{00000000-0005-0000-0000-0000D41B0000}"/>
    <cellStyle name="Normal 5 7 5 3 2" xfId="14944" xr:uid="{0477B620-FD91-466B-ACE7-1D0265488220}"/>
    <cellStyle name="Normal 5 7 5 4" xfId="10726" xr:uid="{543B1FC4-AF22-428E-86E4-210AB9DCF568}"/>
    <cellStyle name="Normal 5 7 6" xfId="2624" xr:uid="{00000000-0005-0000-0000-0000D51B0000}"/>
    <cellStyle name="Normal 5 7 6 2" xfId="6907" xr:uid="{00000000-0005-0000-0000-0000D61B0000}"/>
    <cellStyle name="Normal 5 7 6 2 2" xfId="15357" xr:uid="{0140B80A-1651-48F9-8D36-1B6CAD85D27B}"/>
    <cellStyle name="Normal 5 7 6 3" xfId="11139" xr:uid="{B463ECF1-7CC2-47E6-B5AC-DBFFB78B9F26}"/>
    <cellStyle name="Normal 5 7 7" xfId="4842" xr:uid="{00000000-0005-0000-0000-0000D71B0000}"/>
    <cellStyle name="Normal 5 7 7 2" xfId="13292" xr:uid="{DE1D3568-CE43-42D3-BDEF-11E94808B517}"/>
    <cellStyle name="Normal 5 7 8" xfId="9074" xr:uid="{B8BA23D9-3A5D-4DAD-94BF-98E20283AC1C}"/>
    <cellStyle name="Normal 5 8" xfId="880" xr:uid="{00000000-0005-0000-0000-0000D81B0000}"/>
    <cellStyle name="Normal 5 8 2" xfId="3115" xr:uid="{00000000-0005-0000-0000-0000D91B0000}"/>
    <cellStyle name="Normal 5 8 2 2" xfId="7337" xr:uid="{00000000-0005-0000-0000-0000DA1B0000}"/>
    <cellStyle name="Normal 5 8 2 2 2" xfId="15787" xr:uid="{B8F1AAB3-10D7-47F7-A83D-C1F108533A8E}"/>
    <cellStyle name="Normal 5 8 2 3" xfId="11569" xr:uid="{E2303359-6584-4238-8D99-E7C005FDA26E}"/>
    <cellStyle name="Normal 5 8 3" xfId="5192" xr:uid="{00000000-0005-0000-0000-0000DB1B0000}"/>
    <cellStyle name="Normal 5 8 3 2" xfId="13642" xr:uid="{65DBFB92-FA54-4D4B-98D3-95856342346D}"/>
    <cellStyle name="Normal 5 8 4" xfId="9424" xr:uid="{1E559F6F-A362-4517-9267-F31DDFB35FE5}"/>
    <cellStyle name="Normal 5 9" xfId="1298" xr:uid="{00000000-0005-0000-0000-0000DC1B0000}"/>
    <cellStyle name="Normal 5 9 2" xfId="3528" xr:uid="{00000000-0005-0000-0000-0000DD1B0000}"/>
    <cellStyle name="Normal 5 9 2 2" xfId="7750" xr:uid="{00000000-0005-0000-0000-0000DE1B0000}"/>
    <cellStyle name="Normal 5 9 2 2 2" xfId="16200" xr:uid="{2555C0B0-4C61-4CEE-8D08-2D75810CD4FB}"/>
    <cellStyle name="Normal 5 9 2 3" xfId="11982" xr:uid="{C3D27D0E-2C13-4EE0-ACF9-6EC4BC949E84}"/>
    <cellStyle name="Normal 5 9 3" xfId="5605" xr:uid="{00000000-0005-0000-0000-0000DF1B0000}"/>
    <cellStyle name="Normal 5 9 3 2" xfId="14055" xr:uid="{1684A604-B1E0-49B8-8723-F1E42513CE85}"/>
    <cellStyle name="Normal 5 9 4" xfId="9837" xr:uid="{64678C47-15B1-4275-B596-DC748494139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5CF804BD-042F-4FA9-9D9F-6B98155133BD}"/>
    <cellStyle name="Normal 8 10 2 3" xfId="12872" xr:uid="{7490684C-90AB-4149-A78D-16BBA6BBBB73}"/>
    <cellStyle name="Normal 8 10 3" xfId="6495" xr:uid="{00000000-0005-0000-0000-0000EB1B0000}"/>
    <cellStyle name="Normal 8 10 3 2" xfId="14945" xr:uid="{404E4A98-E803-43F4-9129-9AA871531CB0}"/>
    <cellStyle name="Normal 8 10 4" xfId="10727" xr:uid="{FC17E0CF-7388-43D0-8AF6-064C7019C971}"/>
    <cellStyle name="Normal 8 11" xfId="2625" xr:uid="{00000000-0005-0000-0000-0000EC1B0000}"/>
    <cellStyle name="Normal 8 11 2" xfId="6908" xr:uid="{00000000-0005-0000-0000-0000ED1B0000}"/>
    <cellStyle name="Normal 8 11 2 2" xfId="15358" xr:uid="{2F6B36F2-EBBA-4A82-9D4B-3F8E266B7FAF}"/>
    <cellStyle name="Normal 8 11 3" xfId="11140" xr:uid="{2AA16297-C52B-4433-A7C2-BE1C4667C6DD}"/>
    <cellStyle name="Normal 8 12" xfId="4843" xr:uid="{00000000-0005-0000-0000-0000EE1B0000}"/>
    <cellStyle name="Normal 8 12 2" xfId="13293" xr:uid="{B328407C-6553-4E1C-B4F5-5206D822FE8A}"/>
    <cellStyle name="Normal 8 13" xfId="9075" xr:uid="{70834DDC-89EF-43DC-97B0-32EBB78BA237}"/>
    <cellStyle name="Normal 8 2" xfId="479" xr:uid="{00000000-0005-0000-0000-0000EF1B0000}"/>
    <cellStyle name="Normal 8 2 10" xfId="2626" xr:uid="{00000000-0005-0000-0000-0000F01B0000}"/>
    <cellStyle name="Normal 8 2 10 2" xfId="6909" xr:uid="{00000000-0005-0000-0000-0000F11B0000}"/>
    <cellStyle name="Normal 8 2 10 2 2" xfId="15359" xr:uid="{CEE9BB64-CF5D-4A4A-A5FE-91DBD9D08AB2}"/>
    <cellStyle name="Normal 8 2 10 3" xfId="11141" xr:uid="{F10FA5BF-A88A-4511-8667-60D0AA803171}"/>
    <cellStyle name="Normal 8 2 11" xfId="4844" xr:uid="{00000000-0005-0000-0000-0000F21B0000}"/>
    <cellStyle name="Normal 8 2 11 2" xfId="13294" xr:uid="{2A77495E-563C-491F-9BED-E75DF21462B0}"/>
    <cellStyle name="Normal 8 2 12" xfId="9076" xr:uid="{4EEC8704-4B06-4B19-9A45-9B8C7A787105}"/>
    <cellStyle name="Normal 8 2 2" xfId="480" xr:uid="{00000000-0005-0000-0000-0000F31B0000}"/>
    <cellStyle name="Normal 8 2 2 10" xfId="4845" xr:uid="{00000000-0005-0000-0000-0000F41B0000}"/>
    <cellStyle name="Normal 8 2 2 10 2" xfId="13295" xr:uid="{AD5BF024-5A9B-495F-9988-48295041FC57}"/>
    <cellStyle name="Normal 8 2 2 11" xfId="9077" xr:uid="{8C58DE96-4A0B-4F35-B2B2-D35EEE99FF65}"/>
    <cellStyle name="Normal 8 2 2 2" xfId="481" xr:uid="{00000000-0005-0000-0000-0000F51B0000}"/>
    <cellStyle name="Normal 8 2 2 2 10" xfId="9078" xr:uid="{59EDC565-2E14-4694-A2E3-0E204B5906BD}"/>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FF915554-9253-44F5-81A1-17169B8DFE62}"/>
    <cellStyle name="Normal 8 2 2 2 2 2 2 2 3" xfId="11638" xr:uid="{B40DED97-DB15-4271-BBBC-11147D47DEBD}"/>
    <cellStyle name="Normal 8 2 2 2 2 2 2 3" xfId="5261" xr:uid="{00000000-0005-0000-0000-0000FB1B0000}"/>
    <cellStyle name="Normal 8 2 2 2 2 2 2 3 2" xfId="13711" xr:uid="{03C2232D-B4AB-4FD7-9CEC-5EF5C2B86D2F}"/>
    <cellStyle name="Normal 8 2 2 2 2 2 2 4" xfId="9493" xr:uid="{526F64AE-5B71-4284-826F-C93169CBD71E}"/>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5D99747F-36BD-4403-A9CB-C5C68FB30BD7}"/>
    <cellStyle name="Normal 8 2 2 2 2 2 3 2 3" xfId="12051" xr:uid="{656E9CB3-A35F-4E1D-95D5-682A36120048}"/>
    <cellStyle name="Normal 8 2 2 2 2 2 3 3" xfId="5674" xr:uid="{00000000-0005-0000-0000-0000FF1B0000}"/>
    <cellStyle name="Normal 8 2 2 2 2 2 3 3 2" xfId="14124" xr:uid="{BFE0B848-26BA-46DC-8DD7-FDBE6C93E01B}"/>
    <cellStyle name="Normal 8 2 2 2 2 2 3 4" xfId="9906" xr:uid="{578CDFDC-9480-448E-A4A8-F25477EEAA7E}"/>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E8E983A0-C025-442C-9F03-BFA2CF30E2F3}"/>
    <cellStyle name="Normal 8 2 2 2 2 2 4 2 3" xfId="12464" xr:uid="{64912711-C447-4DEF-8537-D1EA644338D7}"/>
    <cellStyle name="Normal 8 2 2 2 2 2 4 3" xfId="6087" xr:uid="{00000000-0005-0000-0000-0000031C0000}"/>
    <cellStyle name="Normal 8 2 2 2 2 2 4 3 2" xfId="14537" xr:uid="{D3BDEA31-9945-4384-B002-308B9F4C56B7}"/>
    <cellStyle name="Normal 8 2 2 2 2 2 4 4" xfId="10319" xr:uid="{730D2604-21ED-4FDE-92A0-800223817D11}"/>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25E617EF-5A9C-461B-86DE-821B465DC23E}"/>
    <cellStyle name="Normal 8 2 2 2 2 2 5 2 3" xfId="12877" xr:uid="{B3E9B565-64F6-487F-8C0D-871D06B92B7D}"/>
    <cellStyle name="Normal 8 2 2 2 2 2 5 3" xfId="6500" xr:uid="{00000000-0005-0000-0000-0000071C0000}"/>
    <cellStyle name="Normal 8 2 2 2 2 2 5 3 2" xfId="14950" xr:uid="{98F3F198-F306-494F-9B8D-488C645A76E3}"/>
    <cellStyle name="Normal 8 2 2 2 2 2 5 4" xfId="10732" xr:uid="{F4B0029D-4A3C-4384-A493-69CB00FACFCB}"/>
    <cellStyle name="Normal 8 2 2 2 2 2 6" xfId="2630" xr:uid="{00000000-0005-0000-0000-0000081C0000}"/>
    <cellStyle name="Normal 8 2 2 2 2 2 6 2" xfId="6913" xr:uid="{00000000-0005-0000-0000-0000091C0000}"/>
    <cellStyle name="Normal 8 2 2 2 2 2 6 2 2" xfId="15363" xr:uid="{CDB1747E-5BD3-459B-A9F2-79E62F840D97}"/>
    <cellStyle name="Normal 8 2 2 2 2 2 6 3" xfId="11145" xr:uid="{E1B90BF9-1559-4CE4-A590-B28AC46FE1A1}"/>
    <cellStyle name="Normal 8 2 2 2 2 2 7" xfId="4848" xr:uid="{00000000-0005-0000-0000-00000A1C0000}"/>
    <cellStyle name="Normal 8 2 2 2 2 2 7 2" xfId="13298" xr:uid="{35D7E186-50CA-4CDE-938D-684EE6B79658}"/>
    <cellStyle name="Normal 8 2 2 2 2 2 8" xfId="9080" xr:uid="{9B17C6E8-A75B-418E-91CF-32B8CDAAFC59}"/>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0B9B3A12-AE09-4D4A-A25E-BC25CF4CCF78}"/>
    <cellStyle name="Normal 8 2 2 2 2 3 2 3" xfId="11637" xr:uid="{3F7533EF-E2B8-4F5F-8067-D08D156277B0}"/>
    <cellStyle name="Normal 8 2 2 2 2 3 3" xfId="5260" xr:uid="{00000000-0005-0000-0000-00000E1C0000}"/>
    <cellStyle name="Normal 8 2 2 2 2 3 3 2" xfId="13710" xr:uid="{909CF46A-357C-4A60-823E-AB30EC7301F7}"/>
    <cellStyle name="Normal 8 2 2 2 2 3 4" xfId="9492" xr:uid="{9E4F333E-31CF-4EE2-BEC3-055BE44B16AA}"/>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06CB5251-5F6D-4504-B759-0E7350476B19}"/>
    <cellStyle name="Normal 8 2 2 2 2 4 2 3" xfId="12050" xr:uid="{7BAAD9E0-CF51-47D1-BC6C-5453FBECA4A3}"/>
    <cellStyle name="Normal 8 2 2 2 2 4 3" xfId="5673" xr:uid="{00000000-0005-0000-0000-0000121C0000}"/>
    <cellStyle name="Normal 8 2 2 2 2 4 3 2" xfId="14123" xr:uid="{FF7DD156-2DAE-4D68-92CB-85B1FCEA54E6}"/>
    <cellStyle name="Normal 8 2 2 2 2 4 4" xfId="9905" xr:uid="{40927B32-3FCD-4979-A06D-5DEAE1998914}"/>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B4EED209-3A7F-4031-9414-B51D04E41B87}"/>
    <cellStyle name="Normal 8 2 2 2 2 5 2 3" xfId="12463" xr:uid="{280358C9-EC0B-4574-AA33-C4C465F9F4B5}"/>
    <cellStyle name="Normal 8 2 2 2 2 5 3" xfId="6086" xr:uid="{00000000-0005-0000-0000-0000161C0000}"/>
    <cellStyle name="Normal 8 2 2 2 2 5 3 2" xfId="14536" xr:uid="{ED82DBBA-41C4-46AD-B47E-D88C3F6C2D92}"/>
    <cellStyle name="Normal 8 2 2 2 2 5 4" xfId="10318" xr:uid="{F143ACDD-C4B9-4EEA-B6F5-F075189746E9}"/>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F4FC7B6E-858D-4CAC-BCF1-713AB2F17878}"/>
    <cellStyle name="Normal 8 2 2 2 2 6 2 3" xfId="12876" xr:uid="{84077B15-4439-4C80-ACDC-55C053D94BA6}"/>
    <cellStyle name="Normal 8 2 2 2 2 6 3" xfId="6499" xr:uid="{00000000-0005-0000-0000-00001A1C0000}"/>
    <cellStyle name="Normal 8 2 2 2 2 6 3 2" xfId="14949" xr:uid="{1B7FB26A-46EA-4B5C-B782-2F1B5F968C50}"/>
    <cellStyle name="Normal 8 2 2 2 2 6 4" xfId="10731" xr:uid="{DF6617E4-D5CA-4087-A3A5-13917D35015D}"/>
    <cellStyle name="Normal 8 2 2 2 2 7" xfId="2629" xr:uid="{00000000-0005-0000-0000-00001B1C0000}"/>
    <cellStyle name="Normal 8 2 2 2 2 7 2" xfId="6912" xr:uid="{00000000-0005-0000-0000-00001C1C0000}"/>
    <cellStyle name="Normal 8 2 2 2 2 7 2 2" xfId="15362" xr:uid="{CA22BAEB-AA98-4646-BBC3-67288280EC69}"/>
    <cellStyle name="Normal 8 2 2 2 2 7 3" xfId="11144" xr:uid="{46558C6D-95A9-4AE0-BEC2-1E81E496938A}"/>
    <cellStyle name="Normal 8 2 2 2 2 8" xfId="4847" xr:uid="{00000000-0005-0000-0000-00001D1C0000}"/>
    <cellStyle name="Normal 8 2 2 2 2 8 2" xfId="13297" xr:uid="{2CA8B0DC-7EEA-440B-BC1C-0303BD175E9D}"/>
    <cellStyle name="Normal 8 2 2 2 2 9" xfId="9079" xr:uid="{BC27C8C5-4A9B-4A16-9779-AA5A9B032909}"/>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B3EFF504-B7B9-4417-94AE-FFE36DB67488}"/>
    <cellStyle name="Normal 8 2 2 2 3 2 2 3" xfId="11639" xr:uid="{B39507CE-3E26-4A2F-ACCC-595410437120}"/>
    <cellStyle name="Normal 8 2 2 2 3 2 3" xfId="5262" xr:uid="{00000000-0005-0000-0000-0000221C0000}"/>
    <cellStyle name="Normal 8 2 2 2 3 2 3 2" xfId="13712" xr:uid="{F02171B2-10C4-421A-9166-A76BA5A41C8E}"/>
    <cellStyle name="Normal 8 2 2 2 3 2 4" xfId="9494" xr:uid="{F5779B06-34C0-4A83-B9FD-C1C46DABD79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311A506D-5C42-4D25-A66E-5DA4DFC1ACA4}"/>
    <cellStyle name="Normal 8 2 2 2 3 3 2 3" xfId="12052" xr:uid="{CDCB5682-FAF6-4D7B-9955-31333807C5A3}"/>
    <cellStyle name="Normal 8 2 2 2 3 3 3" xfId="5675" xr:uid="{00000000-0005-0000-0000-0000261C0000}"/>
    <cellStyle name="Normal 8 2 2 2 3 3 3 2" xfId="14125" xr:uid="{BC093708-C39D-4233-B003-AAB7A3522F45}"/>
    <cellStyle name="Normal 8 2 2 2 3 3 4" xfId="9907" xr:uid="{7F6B21B9-8F6B-4CAD-932E-E3CD1E934171}"/>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F4DA8390-F97C-4A6A-8EC4-FA36B6511FD4}"/>
    <cellStyle name="Normal 8 2 2 2 3 4 2 3" xfId="12465" xr:uid="{DE8587AF-EC50-4B56-A90F-A14E15DD6B05}"/>
    <cellStyle name="Normal 8 2 2 2 3 4 3" xfId="6088" xr:uid="{00000000-0005-0000-0000-00002A1C0000}"/>
    <cellStyle name="Normal 8 2 2 2 3 4 3 2" xfId="14538" xr:uid="{4858DA6F-2340-4042-9A0D-FDA74946527B}"/>
    <cellStyle name="Normal 8 2 2 2 3 4 4" xfId="10320" xr:uid="{81B08FCE-CFE0-4530-93A7-5B50B08771D8}"/>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F57CEA3C-C182-40DA-9F16-8C657E3E8EB4}"/>
    <cellStyle name="Normal 8 2 2 2 3 5 2 3" xfId="12878" xr:uid="{7672B027-6C73-422C-B857-96E994C5465E}"/>
    <cellStyle name="Normal 8 2 2 2 3 5 3" xfId="6501" xr:uid="{00000000-0005-0000-0000-00002E1C0000}"/>
    <cellStyle name="Normal 8 2 2 2 3 5 3 2" xfId="14951" xr:uid="{A002A7B2-AAC1-4923-9EAC-2DD22D092627}"/>
    <cellStyle name="Normal 8 2 2 2 3 5 4" xfId="10733" xr:uid="{A1ED1AA5-85FB-4E01-8E50-0B7AC277B95E}"/>
    <cellStyle name="Normal 8 2 2 2 3 6" xfId="2631" xr:uid="{00000000-0005-0000-0000-00002F1C0000}"/>
    <cellStyle name="Normal 8 2 2 2 3 6 2" xfId="6914" xr:uid="{00000000-0005-0000-0000-0000301C0000}"/>
    <cellStyle name="Normal 8 2 2 2 3 6 2 2" xfId="15364" xr:uid="{132E4A57-BFB8-430D-9EA6-305BD66DFF8B}"/>
    <cellStyle name="Normal 8 2 2 2 3 6 3" xfId="11146" xr:uid="{AACD46DE-4132-49FC-AD11-14B696346C13}"/>
    <cellStyle name="Normal 8 2 2 2 3 7" xfId="4849" xr:uid="{00000000-0005-0000-0000-0000311C0000}"/>
    <cellStyle name="Normal 8 2 2 2 3 7 2" xfId="13299" xr:uid="{8B88188B-CB8E-41CB-B77F-CA2DE41EA887}"/>
    <cellStyle name="Normal 8 2 2 2 3 8" xfId="9081" xr:uid="{E7AAECD7-DD9F-4985-83A5-619C30444D49}"/>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0E9288E1-F3D6-44C7-82D9-2DAA4243801E}"/>
    <cellStyle name="Normal 8 2 2 2 4 2 3" xfId="11636" xr:uid="{DC3C86E8-5277-4E35-BA16-0B4668532BC9}"/>
    <cellStyle name="Normal 8 2 2 2 4 3" xfId="5259" xr:uid="{00000000-0005-0000-0000-0000351C0000}"/>
    <cellStyle name="Normal 8 2 2 2 4 3 2" xfId="13709" xr:uid="{03BDD06E-FA4F-40D1-BB5A-3D7FE2D4418D}"/>
    <cellStyle name="Normal 8 2 2 2 4 4" xfId="9491" xr:uid="{985FF47C-89E3-437B-B0BF-7559131D10CB}"/>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CA6B6F37-EE72-4B2A-8942-5A22698D5255}"/>
    <cellStyle name="Normal 8 2 2 2 5 2 3" xfId="12049" xr:uid="{3470BB20-18F8-4A20-BE2E-15557EA7DF96}"/>
    <cellStyle name="Normal 8 2 2 2 5 3" xfId="5672" xr:uid="{00000000-0005-0000-0000-0000391C0000}"/>
    <cellStyle name="Normal 8 2 2 2 5 3 2" xfId="14122" xr:uid="{0DDA12AC-6AF6-4F84-9346-BD8B205DA622}"/>
    <cellStyle name="Normal 8 2 2 2 5 4" xfId="9904" xr:uid="{A3395480-FE5B-40C5-A173-1DE2D3C0C1A4}"/>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4C9CC87E-8C3B-4A61-AEA6-14C4A1C19D3B}"/>
    <cellStyle name="Normal 8 2 2 2 6 2 3" xfId="12462" xr:uid="{6EA9112C-86D9-41DD-AEA3-C6F9BCE53B17}"/>
    <cellStyle name="Normal 8 2 2 2 6 3" xfId="6085" xr:uid="{00000000-0005-0000-0000-00003D1C0000}"/>
    <cellStyle name="Normal 8 2 2 2 6 3 2" xfId="14535" xr:uid="{F460D30E-F83F-4C1C-BD23-2F047557FAB1}"/>
    <cellStyle name="Normal 8 2 2 2 6 4" xfId="10317" xr:uid="{58EED6CA-507B-452D-84D0-880A1B4E3A95}"/>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EC2971F9-EAE8-44B8-8498-2EBBE5BA0739}"/>
    <cellStyle name="Normal 8 2 2 2 7 2 3" xfId="12875" xr:uid="{8097D67D-E3F9-4259-8F10-71EAED7B7048}"/>
    <cellStyle name="Normal 8 2 2 2 7 3" xfId="6498" xr:uid="{00000000-0005-0000-0000-0000411C0000}"/>
    <cellStyle name="Normal 8 2 2 2 7 3 2" xfId="14948" xr:uid="{FBE1AE2A-0E15-450E-8C3D-C75BF3F0C65F}"/>
    <cellStyle name="Normal 8 2 2 2 7 4" xfId="10730" xr:uid="{2279ACD7-7F71-4144-9C93-8A28140C6029}"/>
    <cellStyle name="Normal 8 2 2 2 8" xfId="2628" xr:uid="{00000000-0005-0000-0000-0000421C0000}"/>
    <cellStyle name="Normal 8 2 2 2 8 2" xfId="6911" xr:uid="{00000000-0005-0000-0000-0000431C0000}"/>
    <cellStyle name="Normal 8 2 2 2 8 2 2" xfId="15361" xr:uid="{C5EB8FC6-D9A6-4EE1-9424-3EBAF23EDF14}"/>
    <cellStyle name="Normal 8 2 2 2 8 3" xfId="11143" xr:uid="{B8F00EF6-C042-4BC4-A2C8-C6172C3F57EA}"/>
    <cellStyle name="Normal 8 2 2 2 9" xfId="4846" xr:uid="{00000000-0005-0000-0000-0000441C0000}"/>
    <cellStyle name="Normal 8 2 2 2 9 2" xfId="13296" xr:uid="{10EC128A-F6F6-445E-A4F2-5CDB9D40D4D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085D8FFB-0E90-4EBF-8935-EB9A1205B928}"/>
    <cellStyle name="Normal 8 2 2 3 2 2 2 3" xfId="11641" xr:uid="{9BE3F589-1486-4C65-99A9-F9AC17D80FCE}"/>
    <cellStyle name="Normal 8 2 2 3 2 2 3" xfId="5264" xr:uid="{00000000-0005-0000-0000-00004A1C0000}"/>
    <cellStyle name="Normal 8 2 2 3 2 2 3 2" xfId="13714" xr:uid="{AFA589ED-24A2-4320-BF8E-162A1594485A}"/>
    <cellStyle name="Normal 8 2 2 3 2 2 4" xfId="9496" xr:uid="{EF8D0E4F-7A2D-46E9-964C-2720DE890B6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AF5E2448-CC59-475B-A20A-FB3A08C8B1B5}"/>
    <cellStyle name="Normal 8 2 2 3 2 3 2 3" xfId="12054" xr:uid="{01F998E8-EE7F-46CA-BB39-425330CE08A6}"/>
    <cellStyle name="Normal 8 2 2 3 2 3 3" xfId="5677" xr:uid="{00000000-0005-0000-0000-00004E1C0000}"/>
    <cellStyle name="Normal 8 2 2 3 2 3 3 2" xfId="14127" xr:uid="{8885CA4E-C222-46DC-B640-A4CC5D0F0FB2}"/>
    <cellStyle name="Normal 8 2 2 3 2 3 4" xfId="9909" xr:uid="{5827DCC3-9236-4840-8FD9-ABEB54CA4C43}"/>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A0C3A6D8-29A9-4B77-9180-DA93A57FA9B4}"/>
    <cellStyle name="Normal 8 2 2 3 2 4 2 3" xfId="12467" xr:uid="{C67097E9-8733-4A9F-94F6-7D8E1B4936D5}"/>
    <cellStyle name="Normal 8 2 2 3 2 4 3" xfId="6090" xr:uid="{00000000-0005-0000-0000-0000521C0000}"/>
    <cellStyle name="Normal 8 2 2 3 2 4 3 2" xfId="14540" xr:uid="{3CC65E27-7CB6-468A-B568-F976B28F5E85}"/>
    <cellStyle name="Normal 8 2 2 3 2 4 4" xfId="10322" xr:uid="{D283D261-9AAB-479E-8EF2-7492D36E7BEC}"/>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B210476E-A8E7-499B-BDF3-A6E58A0F0782}"/>
    <cellStyle name="Normal 8 2 2 3 2 5 2 3" xfId="12880" xr:uid="{AAABBC92-7438-4396-BE20-F548B6EF175E}"/>
    <cellStyle name="Normal 8 2 2 3 2 5 3" xfId="6503" xr:uid="{00000000-0005-0000-0000-0000561C0000}"/>
    <cellStyle name="Normal 8 2 2 3 2 5 3 2" xfId="14953" xr:uid="{7587E7BD-2B2B-41EB-A358-83AF22D778EA}"/>
    <cellStyle name="Normal 8 2 2 3 2 5 4" xfId="10735" xr:uid="{5DEB7DB6-0734-4C4A-8B0A-53228ECF4B7C}"/>
    <cellStyle name="Normal 8 2 2 3 2 6" xfId="2633" xr:uid="{00000000-0005-0000-0000-0000571C0000}"/>
    <cellStyle name="Normal 8 2 2 3 2 6 2" xfId="6916" xr:uid="{00000000-0005-0000-0000-0000581C0000}"/>
    <cellStyle name="Normal 8 2 2 3 2 6 2 2" xfId="15366" xr:uid="{5AA49D96-3A83-4088-9383-84BC5AA9D4EB}"/>
    <cellStyle name="Normal 8 2 2 3 2 6 3" xfId="11148" xr:uid="{6EFDAD7F-F826-4138-910A-B3427C81A42B}"/>
    <cellStyle name="Normal 8 2 2 3 2 7" xfId="4851" xr:uid="{00000000-0005-0000-0000-0000591C0000}"/>
    <cellStyle name="Normal 8 2 2 3 2 7 2" xfId="13301" xr:uid="{BEF74F55-5533-42B8-AFB4-3DAB9D1037EE}"/>
    <cellStyle name="Normal 8 2 2 3 2 8" xfId="9083" xr:uid="{4B187748-3F6F-4F86-8DDF-8F5EB864A607}"/>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D89F2CDC-3D3C-4E12-B773-41E62F78E142}"/>
    <cellStyle name="Normal 8 2 2 3 3 2 3" xfId="11640" xr:uid="{C5062FD3-3D09-49E9-B60F-1A055BDAD769}"/>
    <cellStyle name="Normal 8 2 2 3 3 3" xfId="5263" xr:uid="{00000000-0005-0000-0000-00005D1C0000}"/>
    <cellStyle name="Normal 8 2 2 3 3 3 2" xfId="13713" xr:uid="{BE2DB81B-C745-49F6-803D-A8212BD88583}"/>
    <cellStyle name="Normal 8 2 2 3 3 4" xfId="9495" xr:uid="{4E50AA56-5B4D-4364-810F-FE47A707EEC2}"/>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27D7D541-4A16-4226-9F2C-2E05DBB703AB}"/>
    <cellStyle name="Normal 8 2 2 3 4 2 3" xfId="12053" xr:uid="{1B9F9899-76E2-4A50-9651-74F0689E549E}"/>
    <cellStyle name="Normal 8 2 2 3 4 3" xfId="5676" xr:uid="{00000000-0005-0000-0000-0000611C0000}"/>
    <cellStyle name="Normal 8 2 2 3 4 3 2" xfId="14126" xr:uid="{38DE5620-5D38-49ED-9A3F-2B379A65769F}"/>
    <cellStyle name="Normal 8 2 2 3 4 4" xfId="9908" xr:uid="{A257374B-FFE2-4962-B1C9-0E167622A27C}"/>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84CEEC1E-8313-4F94-9435-74B8F84E3056}"/>
    <cellStyle name="Normal 8 2 2 3 5 2 3" xfId="12466" xr:uid="{E9499AE6-A6CB-4869-AA77-BC76A9FB1EAE}"/>
    <cellStyle name="Normal 8 2 2 3 5 3" xfId="6089" xr:uid="{00000000-0005-0000-0000-0000651C0000}"/>
    <cellStyle name="Normal 8 2 2 3 5 3 2" xfId="14539" xr:uid="{5ED28452-72FE-43F5-86EA-BABE8B6AC12E}"/>
    <cellStyle name="Normal 8 2 2 3 5 4" xfId="10321" xr:uid="{98FA3FBE-596D-4F3E-9F0B-CF2B9290768D}"/>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A26BE4CB-33E9-4F7C-B216-FE4655BC5281}"/>
    <cellStyle name="Normal 8 2 2 3 6 2 3" xfId="12879" xr:uid="{74642412-EB02-4A3F-A793-09D4388EB59D}"/>
    <cellStyle name="Normal 8 2 2 3 6 3" xfId="6502" xr:uid="{00000000-0005-0000-0000-0000691C0000}"/>
    <cellStyle name="Normal 8 2 2 3 6 3 2" xfId="14952" xr:uid="{17CF7A08-7E83-4AB3-BEA1-7966E5616E55}"/>
    <cellStyle name="Normal 8 2 2 3 6 4" xfId="10734" xr:uid="{C503A8B9-5ABB-4817-83DD-E45BDE529CC5}"/>
    <cellStyle name="Normal 8 2 2 3 7" xfId="2632" xr:uid="{00000000-0005-0000-0000-00006A1C0000}"/>
    <cellStyle name="Normal 8 2 2 3 7 2" xfId="6915" xr:uid="{00000000-0005-0000-0000-00006B1C0000}"/>
    <cellStyle name="Normal 8 2 2 3 7 2 2" xfId="15365" xr:uid="{B3CFACD8-B331-4E98-BDAA-2D701E678439}"/>
    <cellStyle name="Normal 8 2 2 3 7 3" xfId="11147" xr:uid="{BB3B13F7-F7A5-417D-B74D-EBF4C31FD23A}"/>
    <cellStyle name="Normal 8 2 2 3 8" xfId="4850" xr:uid="{00000000-0005-0000-0000-00006C1C0000}"/>
    <cellStyle name="Normal 8 2 2 3 8 2" xfId="13300" xr:uid="{9DAF8552-6CB6-48C5-981A-CC95FBBE70BD}"/>
    <cellStyle name="Normal 8 2 2 3 9" xfId="9082" xr:uid="{8391CE33-AF4F-40B9-BF4A-6BDFF765C649}"/>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FF9B58D3-1514-4906-A891-F30F4663CF2F}"/>
    <cellStyle name="Normal 8 2 2 4 2 2 3" xfId="11642" xr:uid="{E5756CE3-B5EB-4E4B-8FE0-4EC016310FC2}"/>
    <cellStyle name="Normal 8 2 2 4 2 3" xfId="5265" xr:uid="{00000000-0005-0000-0000-0000711C0000}"/>
    <cellStyle name="Normal 8 2 2 4 2 3 2" xfId="13715" xr:uid="{729132ED-0BD4-46B6-A472-74AEA198E5FD}"/>
    <cellStyle name="Normal 8 2 2 4 2 4" xfId="9497" xr:uid="{12931EF3-64B3-4CF6-8E18-77FEC31F46F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36912DBB-7F69-4EF7-9AD4-1F401AF9F42A}"/>
    <cellStyle name="Normal 8 2 2 4 3 2 3" xfId="12055" xr:uid="{1F661B36-A8C6-4124-9DA1-9A5375FF0CA6}"/>
    <cellStyle name="Normal 8 2 2 4 3 3" xfId="5678" xr:uid="{00000000-0005-0000-0000-0000751C0000}"/>
    <cellStyle name="Normal 8 2 2 4 3 3 2" xfId="14128" xr:uid="{767CEC25-FC55-47DB-8E11-96CC057EC977}"/>
    <cellStyle name="Normal 8 2 2 4 3 4" xfId="9910" xr:uid="{9E9933A6-6AC1-4158-A8C8-E4AEA1473F38}"/>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33502608-5DBC-4D81-B629-0AB2769E652C}"/>
    <cellStyle name="Normal 8 2 2 4 4 2 3" xfId="12468" xr:uid="{0509FF0E-D117-46FD-B7BE-A706B2CDC8CF}"/>
    <cellStyle name="Normal 8 2 2 4 4 3" xfId="6091" xr:uid="{00000000-0005-0000-0000-0000791C0000}"/>
    <cellStyle name="Normal 8 2 2 4 4 3 2" xfId="14541" xr:uid="{8BDB3BD6-A2D0-47D8-B493-092B66892AC6}"/>
    <cellStyle name="Normal 8 2 2 4 4 4" xfId="10323" xr:uid="{43D86DC6-CBD2-40BB-BB0D-F3D714693670}"/>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80285095-AA4B-4A6C-B00F-2056F3D3996E}"/>
    <cellStyle name="Normal 8 2 2 4 5 2 3" xfId="12881" xr:uid="{97863A8F-4C4E-4204-BCE5-F7DB59DA5D60}"/>
    <cellStyle name="Normal 8 2 2 4 5 3" xfId="6504" xr:uid="{00000000-0005-0000-0000-00007D1C0000}"/>
    <cellStyle name="Normal 8 2 2 4 5 3 2" xfId="14954" xr:uid="{BB40B149-5AFB-4FD7-8F3C-AEED36383975}"/>
    <cellStyle name="Normal 8 2 2 4 5 4" xfId="10736" xr:uid="{C6FA323A-875F-47C2-A3BF-774AB57B29FD}"/>
    <cellStyle name="Normal 8 2 2 4 6" xfId="2634" xr:uid="{00000000-0005-0000-0000-00007E1C0000}"/>
    <cellStyle name="Normal 8 2 2 4 6 2" xfId="6917" xr:uid="{00000000-0005-0000-0000-00007F1C0000}"/>
    <cellStyle name="Normal 8 2 2 4 6 2 2" xfId="15367" xr:uid="{34336CC1-F45E-4E06-829F-C2CAB44319F2}"/>
    <cellStyle name="Normal 8 2 2 4 6 3" xfId="11149" xr:uid="{BC6E32E2-3C86-499E-BDB1-B19B575F5DE7}"/>
    <cellStyle name="Normal 8 2 2 4 7" xfId="4852" xr:uid="{00000000-0005-0000-0000-0000801C0000}"/>
    <cellStyle name="Normal 8 2 2 4 7 2" xfId="13302" xr:uid="{57B1E740-0928-406E-8E1C-1CF64CDBDD8C}"/>
    <cellStyle name="Normal 8 2 2 4 8" xfId="9084" xr:uid="{F85C56E8-B702-414F-A550-50145F2D771D}"/>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1ABEDFE2-797A-4E76-AA3F-DBD510B462C5}"/>
    <cellStyle name="Normal 8 2 2 5 2 3" xfId="11635" xr:uid="{66DD5E61-A4C2-45BC-A837-C396C027E324}"/>
    <cellStyle name="Normal 8 2 2 5 3" xfId="5258" xr:uid="{00000000-0005-0000-0000-0000841C0000}"/>
    <cellStyle name="Normal 8 2 2 5 3 2" xfId="13708" xr:uid="{B125C7EA-D006-4785-B984-DEFE1043FDDB}"/>
    <cellStyle name="Normal 8 2 2 5 4" xfId="9490" xr:uid="{F829AC2E-8140-45B9-A2CC-6385BFFDBB18}"/>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137E5A88-B1A0-4A44-AFE2-C35439835822}"/>
    <cellStyle name="Normal 8 2 2 6 2 3" xfId="12048" xr:uid="{57B0424D-8138-4B7A-8752-3A58336D5B73}"/>
    <cellStyle name="Normal 8 2 2 6 3" xfId="5671" xr:uid="{00000000-0005-0000-0000-0000881C0000}"/>
    <cellStyle name="Normal 8 2 2 6 3 2" xfId="14121" xr:uid="{507661F6-56A5-41BF-84F8-CE731CCCB411}"/>
    <cellStyle name="Normal 8 2 2 6 4" xfId="9903" xr:uid="{162E6D6E-B260-4D50-8D5D-9C19DBCFA378}"/>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AD55844D-9EC6-4CCA-BE23-73CAD691798B}"/>
    <cellStyle name="Normal 8 2 2 7 2 3" xfId="12461" xr:uid="{E26DB041-A0A4-4FD6-A23F-66D76AC8F635}"/>
    <cellStyle name="Normal 8 2 2 7 3" xfId="6084" xr:uid="{00000000-0005-0000-0000-00008C1C0000}"/>
    <cellStyle name="Normal 8 2 2 7 3 2" xfId="14534" xr:uid="{43BE5AD4-5BB2-4EF1-8799-9E65F824C544}"/>
    <cellStyle name="Normal 8 2 2 7 4" xfId="10316" xr:uid="{C1B16A3E-9EF6-4867-A584-81D98FA63E5E}"/>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9195B44D-5477-4F11-9149-18FC957834CC}"/>
    <cellStyle name="Normal 8 2 2 8 2 3" xfId="12874" xr:uid="{97A58861-8AA7-4A96-89C1-016E8880FF17}"/>
    <cellStyle name="Normal 8 2 2 8 3" xfId="6497" xr:uid="{00000000-0005-0000-0000-0000901C0000}"/>
    <cellStyle name="Normal 8 2 2 8 3 2" xfId="14947" xr:uid="{6D6D38B3-D049-4063-B0A3-91BF971DBBBD}"/>
    <cellStyle name="Normal 8 2 2 8 4" xfId="10729" xr:uid="{1AEF01AB-BD04-469E-A8A4-8C28B5513EF8}"/>
    <cellStyle name="Normal 8 2 2 9" xfId="2627" xr:uid="{00000000-0005-0000-0000-0000911C0000}"/>
    <cellStyle name="Normal 8 2 2 9 2" xfId="6910" xr:uid="{00000000-0005-0000-0000-0000921C0000}"/>
    <cellStyle name="Normal 8 2 2 9 2 2" xfId="15360" xr:uid="{C0EB5B2B-F23B-41FB-BB64-0A3441309ABD}"/>
    <cellStyle name="Normal 8 2 2 9 3" xfId="11142" xr:uid="{542AC2CA-F2F4-4D3F-B6B3-68E017E7ADA4}"/>
    <cellStyle name="Normal 8 2 3" xfId="488" xr:uid="{00000000-0005-0000-0000-0000931C0000}"/>
    <cellStyle name="Normal 8 2 3 10" xfId="9085" xr:uid="{31BA947F-A4DE-468E-8BEC-01798BB4F44E}"/>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922A84D6-A008-4DAB-84AC-A63D19929FB6}"/>
    <cellStyle name="Normal 8 2 3 2 2 2 2 3" xfId="11645" xr:uid="{292C69EA-0430-4F4F-BA91-B285090B10AA}"/>
    <cellStyle name="Normal 8 2 3 2 2 2 3" xfId="5268" xr:uid="{00000000-0005-0000-0000-0000991C0000}"/>
    <cellStyle name="Normal 8 2 3 2 2 2 3 2" xfId="13718" xr:uid="{EE358435-2F47-46E9-9586-7E01A01D45EA}"/>
    <cellStyle name="Normal 8 2 3 2 2 2 4" xfId="9500" xr:uid="{FBD3B56F-41FA-4F04-8824-190FA96C64F1}"/>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ACF3DCB5-B668-4981-999D-5E1D8B7AA80F}"/>
    <cellStyle name="Normal 8 2 3 2 2 3 2 3" xfId="12058" xr:uid="{D4E3EF4E-33E7-41D5-B4F0-9AE095BFD54D}"/>
    <cellStyle name="Normal 8 2 3 2 2 3 3" xfId="5681" xr:uid="{00000000-0005-0000-0000-00009D1C0000}"/>
    <cellStyle name="Normal 8 2 3 2 2 3 3 2" xfId="14131" xr:uid="{CA9A23C2-5D98-4EE5-9038-299020CACB96}"/>
    <cellStyle name="Normal 8 2 3 2 2 3 4" xfId="9913" xr:uid="{05A804C3-A692-44CC-B71C-47B008623248}"/>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E8E088C4-48A2-4B2E-9F97-CA2A6D55E91C}"/>
    <cellStyle name="Normal 8 2 3 2 2 4 2 3" xfId="12471" xr:uid="{7EB4FA0F-1CA0-46E2-A4C1-214FB432E575}"/>
    <cellStyle name="Normal 8 2 3 2 2 4 3" xfId="6094" xr:uid="{00000000-0005-0000-0000-0000A11C0000}"/>
    <cellStyle name="Normal 8 2 3 2 2 4 3 2" xfId="14544" xr:uid="{8C4BFCDC-F70C-48A4-A035-0B577C2F5181}"/>
    <cellStyle name="Normal 8 2 3 2 2 4 4" xfId="10326" xr:uid="{6D91A483-F9EB-4797-82E0-9A44B9D03553}"/>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F85B6421-4B3A-4048-886A-8D6FF81ED1B3}"/>
    <cellStyle name="Normal 8 2 3 2 2 5 2 3" xfId="12884" xr:uid="{F5018E66-A9C8-4262-8E26-05BAB9B78963}"/>
    <cellStyle name="Normal 8 2 3 2 2 5 3" xfId="6507" xr:uid="{00000000-0005-0000-0000-0000A51C0000}"/>
    <cellStyle name="Normal 8 2 3 2 2 5 3 2" xfId="14957" xr:uid="{1BCDD040-9180-46D6-AB42-701E2EC6172C}"/>
    <cellStyle name="Normal 8 2 3 2 2 5 4" xfId="10739" xr:uid="{DD2813E7-6378-47BD-838E-06DA184A8DA6}"/>
    <cellStyle name="Normal 8 2 3 2 2 6" xfId="2637" xr:uid="{00000000-0005-0000-0000-0000A61C0000}"/>
    <cellStyle name="Normal 8 2 3 2 2 6 2" xfId="6920" xr:uid="{00000000-0005-0000-0000-0000A71C0000}"/>
    <cellStyle name="Normal 8 2 3 2 2 6 2 2" xfId="15370" xr:uid="{EA58BC30-511B-41BE-994F-33265D74FCA4}"/>
    <cellStyle name="Normal 8 2 3 2 2 6 3" xfId="11152" xr:uid="{6E021EC8-736A-44B4-B850-C5945CBE376B}"/>
    <cellStyle name="Normal 8 2 3 2 2 7" xfId="4855" xr:uid="{00000000-0005-0000-0000-0000A81C0000}"/>
    <cellStyle name="Normal 8 2 3 2 2 7 2" xfId="13305" xr:uid="{3B34EBEB-50A5-42E0-8BF7-A73B4D81553F}"/>
    <cellStyle name="Normal 8 2 3 2 2 8" xfId="9087" xr:uid="{EAED19CB-9AB9-4C8C-B429-CDE1AB3F6C3A}"/>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5F273B2C-385A-4809-BDAB-BA1DF93BD35F}"/>
    <cellStyle name="Normal 8 2 3 2 3 2 3" xfId="11644" xr:uid="{BC38CF75-769D-47F7-B4AD-37519EE9CCA8}"/>
    <cellStyle name="Normal 8 2 3 2 3 3" xfId="5267" xr:uid="{00000000-0005-0000-0000-0000AC1C0000}"/>
    <cellStyle name="Normal 8 2 3 2 3 3 2" xfId="13717" xr:uid="{FE188B6F-8A00-4857-8926-D2E6E0334854}"/>
    <cellStyle name="Normal 8 2 3 2 3 4" xfId="9499" xr:uid="{B23C3BB3-4C24-4B24-A653-2C9B523B293C}"/>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5E0185A1-DE8F-4AE6-96AE-1000BC4D669C}"/>
    <cellStyle name="Normal 8 2 3 2 4 2 3" xfId="12057" xr:uid="{880AD7C7-3B19-456C-9212-776618377271}"/>
    <cellStyle name="Normal 8 2 3 2 4 3" xfId="5680" xr:uid="{00000000-0005-0000-0000-0000B01C0000}"/>
    <cellStyle name="Normal 8 2 3 2 4 3 2" xfId="14130" xr:uid="{E271D0E5-D95E-4E86-8214-99AB552C6ED9}"/>
    <cellStyle name="Normal 8 2 3 2 4 4" xfId="9912" xr:uid="{A56F28D7-A676-4247-BD0D-1BAF6E4D47DE}"/>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E9E0EC9C-100F-4B00-AA69-C35BF5FA0A79}"/>
    <cellStyle name="Normal 8 2 3 2 5 2 3" xfId="12470" xr:uid="{A0EBFF35-2DC5-4AAB-AD03-C7FCBDDF74F8}"/>
    <cellStyle name="Normal 8 2 3 2 5 3" xfId="6093" xr:uid="{00000000-0005-0000-0000-0000B41C0000}"/>
    <cellStyle name="Normal 8 2 3 2 5 3 2" xfId="14543" xr:uid="{C96F3D96-3E9F-41C6-A660-ADA2A67C01E1}"/>
    <cellStyle name="Normal 8 2 3 2 5 4" xfId="10325" xr:uid="{B3CC77DF-3931-4566-928E-065E51822198}"/>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4A6135F0-623A-4D74-875B-ECB4BA87A504}"/>
    <cellStyle name="Normal 8 2 3 2 6 2 3" xfId="12883" xr:uid="{5AD8BF9A-61E0-4A8E-A004-2118E6891B06}"/>
    <cellStyle name="Normal 8 2 3 2 6 3" xfId="6506" xr:uid="{00000000-0005-0000-0000-0000B81C0000}"/>
    <cellStyle name="Normal 8 2 3 2 6 3 2" xfId="14956" xr:uid="{F6E517F4-FE92-4275-A94A-A5A250B583A5}"/>
    <cellStyle name="Normal 8 2 3 2 6 4" xfId="10738" xr:uid="{8365E400-CB95-4EC5-B499-A2578C60ADAD}"/>
    <cellStyle name="Normal 8 2 3 2 7" xfId="2636" xr:uid="{00000000-0005-0000-0000-0000B91C0000}"/>
    <cellStyle name="Normal 8 2 3 2 7 2" xfId="6919" xr:uid="{00000000-0005-0000-0000-0000BA1C0000}"/>
    <cellStyle name="Normal 8 2 3 2 7 2 2" xfId="15369" xr:uid="{E70BEAAC-F032-425C-99BA-D7CE7B1B2073}"/>
    <cellStyle name="Normal 8 2 3 2 7 3" xfId="11151" xr:uid="{423D2D78-2693-4B8D-997A-E848C303394E}"/>
    <cellStyle name="Normal 8 2 3 2 8" xfId="4854" xr:uid="{00000000-0005-0000-0000-0000BB1C0000}"/>
    <cellStyle name="Normal 8 2 3 2 8 2" xfId="13304" xr:uid="{16C4F5B5-E26B-43BE-8BFD-F5EE9BF60E82}"/>
    <cellStyle name="Normal 8 2 3 2 9" xfId="9086" xr:uid="{12C17588-950D-4A87-A130-559F6E8BDBA4}"/>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8F626407-8C6A-4398-8701-5C1D0B3ABA2A}"/>
    <cellStyle name="Normal 8 2 3 3 2 2 3" xfId="11646" xr:uid="{2332C652-20C7-4FD4-967C-9C7EAD852E8A}"/>
    <cellStyle name="Normal 8 2 3 3 2 3" xfId="5269" xr:uid="{00000000-0005-0000-0000-0000C01C0000}"/>
    <cellStyle name="Normal 8 2 3 3 2 3 2" xfId="13719" xr:uid="{FA886EF2-619C-438C-BEC4-8BCE2DD25E12}"/>
    <cellStyle name="Normal 8 2 3 3 2 4" xfId="9501" xr:uid="{2B35C151-36E1-45ED-942F-083F55F3B09B}"/>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44FD53B5-201E-4E3D-B364-1115877F7808}"/>
    <cellStyle name="Normal 8 2 3 3 3 2 3" xfId="12059" xr:uid="{AA7062FF-4404-446C-A98D-8C1C543232EA}"/>
    <cellStyle name="Normal 8 2 3 3 3 3" xfId="5682" xr:uid="{00000000-0005-0000-0000-0000C41C0000}"/>
    <cellStyle name="Normal 8 2 3 3 3 3 2" xfId="14132" xr:uid="{63C1984F-0A46-4553-B0E6-B2C9025E3A1D}"/>
    <cellStyle name="Normal 8 2 3 3 3 4" xfId="9914" xr:uid="{A5D62679-D426-412B-9135-7F64BD91ACA4}"/>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A39E39DD-4114-48B9-93FD-B997F5B6B50A}"/>
    <cellStyle name="Normal 8 2 3 3 4 2 3" xfId="12472" xr:uid="{1FEFFEAD-7F99-4BEE-9898-C365E92D20C0}"/>
    <cellStyle name="Normal 8 2 3 3 4 3" xfId="6095" xr:uid="{00000000-0005-0000-0000-0000C81C0000}"/>
    <cellStyle name="Normal 8 2 3 3 4 3 2" xfId="14545" xr:uid="{873F0CF9-B0F7-436F-A9CB-930D97F29905}"/>
    <cellStyle name="Normal 8 2 3 3 4 4" xfId="10327" xr:uid="{0C832E2E-DBB5-4F83-97F5-F2833CF5C94A}"/>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2BA2628E-85AD-4871-BF40-B590BE558DB5}"/>
    <cellStyle name="Normal 8 2 3 3 5 2 3" xfId="12885" xr:uid="{97FB16D2-4FC3-4BB7-85EF-1E907BD6D6F1}"/>
    <cellStyle name="Normal 8 2 3 3 5 3" xfId="6508" xr:uid="{00000000-0005-0000-0000-0000CC1C0000}"/>
    <cellStyle name="Normal 8 2 3 3 5 3 2" xfId="14958" xr:uid="{35D520B5-0AE7-4274-9131-3193E96DB363}"/>
    <cellStyle name="Normal 8 2 3 3 5 4" xfId="10740" xr:uid="{7F87A20B-A15D-490E-8631-E64196FDD8BE}"/>
    <cellStyle name="Normal 8 2 3 3 6" xfId="2638" xr:uid="{00000000-0005-0000-0000-0000CD1C0000}"/>
    <cellStyle name="Normal 8 2 3 3 6 2" xfId="6921" xr:uid="{00000000-0005-0000-0000-0000CE1C0000}"/>
    <cellStyle name="Normal 8 2 3 3 6 2 2" xfId="15371" xr:uid="{C25BABD1-C7C9-4F36-ABB0-CC714528F24A}"/>
    <cellStyle name="Normal 8 2 3 3 6 3" xfId="11153" xr:uid="{46752D69-3B54-4FD5-8F66-23D2515B6C07}"/>
    <cellStyle name="Normal 8 2 3 3 7" xfId="4856" xr:uid="{00000000-0005-0000-0000-0000CF1C0000}"/>
    <cellStyle name="Normal 8 2 3 3 7 2" xfId="13306" xr:uid="{D675A82A-2FBE-4E1E-B7E7-D4F4E4951B0B}"/>
    <cellStyle name="Normal 8 2 3 3 8" xfId="9088" xr:uid="{4F21FB90-0E20-41A1-95D0-D6D47B4362D3}"/>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E7B9C376-C534-4443-BF4A-89BA41A9FB09}"/>
    <cellStyle name="Normal 8 2 3 4 2 3" xfId="11643" xr:uid="{337FBA81-3BD3-4F00-86EA-C70FB5B29E1F}"/>
    <cellStyle name="Normal 8 2 3 4 3" xfId="5266" xr:uid="{00000000-0005-0000-0000-0000D31C0000}"/>
    <cellStyle name="Normal 8 2 3 4 3 2" xfId="13716" xr:uid="{B12392A3-7B5C-4378-A63F-B9A4A182A732}"/>
    <cellStyle name="Normal 8 2 3 4 4" xfId="9498" xr:uid="{7D4F47B9-5168-4663-9E95-D50785F94338}"/>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829D7E13-1743-4D0A-898D-E64CFE715E9A}"/>
    <cellStyle name="Normal 8 2 3 5 2 3" xfId="12056" xr:uid="{AB5008E5-8AC4-46A8-B05D-A836BF3549E5}"/>
    <cellStyle name="Normal 8 2 3 5 3" xfId="5679" xr:uid="{00000000-0005-0000-0000-0000D71C0000}"/>
    <cellStyle name="Normal 8 2 3 5 3 2" xfId="14129" xr:uid="{B790767F-9797-4A38-8418-030211B0389E}"/>
    <cellStyle name="Normal 8 2 3 5 4" xfId="9911" xr:uid="{17D9D9BB-5215-4E92-BC56-EF5953D83601}"/>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27FE8A25-6ABC-4B30-8CC9-DD1BBBDEA8EF}"/>
    <cellStyle name="Normal 8 2 3 6 2 3" xfId="12469" xr:uid="{75397721-BA78-43EC-BD11-4A8377155C9B}"/>
    <cellStyle name="Normal 8 2 3 6 3" xfId="6092" xr:uid="{00000000-0005-0000-0000-0000DB1C0000}"/>
    <cellStyle name="Normal 8 2 3 6 3 2" xfId="14542" xr:uid="{12015C56-0D5B-431B-A6E4-816ACDB715D0}"/>
    <cellStyle name="Normal 8 2 3 6 4" xfId="10324" xr:uid="{AC34C97D-DB4C-4F3F-AACE-94DD200611A2}"/>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86F1361B-8EAC-4B21-9EBB-42EA15ADDFF1}"/>
    <cellStyle name="Normal 8 2 3 7 2 3" xfId="12882" xr:uid="{48A881D8-89E2-4E5C-9B4A-2E7022045B81}"/>
    <cellStyle name="Normal 8 2 3 7 3" xfId="6505" xr:uid="{00000000-0005-0000-0000-0000DF1C0000}"/>
    <cellStyle name="Normal 8 2 3 7 3 2" xfId="14955" xr:uid="{7D90A77A-3A89-424C-80AA-E59E5D690CA3}"/>
    <cellStyle name="Normal 8 2 3 7 4" xfId="10737" xr:uid="{171A6637-CB73-4747-89C8-713B58B65926}"/>
    <cellStyle name="Normal 8 2 3 8" xfId="2635" xr:uid="{00000000-0005-0000-0000-0000E01C0000}"/>
    <cellStyle name="Normal 8 2 3 8 2" xfId="6918" xr:uid="{00000000-0005-0000-0000-0000E11C0000}"/>
    <cellStyle name="Normal 8 2 3 8 2 2" xfId="15368" xr:uid="{442A6831-C270-4E20-9D2C-30F82F0DAFC0}"/>
    <cellStyle name="Normal 8 2 3 8 3" xfId="11150" xr:uid="{2FD22A32-88F9-4010-BD65-EBF979C1A4E6}"/>
    <cellStyle name="Normal 8 2 3 9" xfId="4853" xr:uid="{00000000-0005-0000-0000-0000E21C0000}"/>
    <cellStyle name="Normal 8 2 3 9 2" xfId="13303" xr:uid="{E9619969-1DFF-4C04-90EE-621D98876D68}"/>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649EA16B-C167-445E-9566-F02557102B20}"/>
    <cellStyle name="Normal 8 2 4 2 2 2 3" xfId="11648" xr:uid="{2ED49375-98DE-445D-A066-231A6D840B0D}"/>
    <cellStyle name="Normal 8 2 4 2 2 3" xfId="5271" xr:uid="{00000000-0005-0000-0000-0000E81C0000}"/>
    <cellStyle name="Normal 8 2 4 2 2 3 2" xfId="13721" xr:uid="{8D0676CB-9F99-4BB6-B361-749A9C9460DC}"/>
    <cellStyle name="Normal 8 2 4 2 2 4" xfId="9503" xr:uid="{6FB7C851-E978-48AD-94C5-21F803BC11F7}"/>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AAD32516-E127-4594-802A-77B90A406356}"/>
    <cellStyle name="Normal 8 2 4 2 3 2 3" xfId="12061" xr:uid="{9221E238-5786-43DB-8755-B63A3AD2EA67}"/>
    <cellStyle name="Normal 8 2 4 2 3 3" xfId="5684" xr:uid="{00000000-0005-0000-0000-0000EC1C0000}"/>
    <cellStyle name="Normal 8 2 4 2 3 3 2" xfId="14134" xr:uid="{15C15FB3-6B48-43DA-969B-22441022B99F}"/>
    <cellStyle name="Normal 8 2 4 2 3 4" xfId="9916" xr:uid="{B1BC5F9A-4483-4A22-8EC9-16636BBAE331}"/>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36C923E8-736A-477E-8B38-3DE400D09F53}"/>
    <cellStyle name="Normal 8 2 4 2 4 2 3" xfId="12474" xr:uid="{C181248B-8B83-471C-8339-3C823E093F4A}"/>
    <cellStyle name="Normal 8 2 4 2 4 3" xfId="6097" xr:uid="{00000000-0005-0000-0000-0000F01C0000}"/>
    <cellStyle name="Normal 8 2 4 2 4 3 2" xfId="14547" xr:uid="{1706DBD7-ECD6-4B94-BD94-BCDBDAFC5943}"/>
    <cellStyle name="Normal 8 2 4 2 4 4" xfId="10329" xr:uid="{53C87E18-465E-45D1-B4B4-BBE6BF20B909}"/>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C9539620-09AB-44D9-ADF7-879D1FFED41C}"/>
    <cellStyle name="Normal 8 2 4 2 5 2 3" xfId="12887" xr:uid="{81B6C6D3-0122-419A-8679-953635CE4EF0}"/>
    <cellStyle name="Normal 8 2 4 2 5 3" xfId="6510" xr:uid="{00000000-0005-0000-0000-0000F41C0000}"/>
    <cellStyle name="Normal 8 2 4 2 5 3 2" xfId="14960" xr:uid="{D7F5F611-D579-4046-91EA-B3A19BE2CB97}"/>
    <cellStyle name="Normal 8 2 4 2 5 4" xfId="10742" xr:uid="{4EC979F7-C633-4DD2-85B7-3E280E12E1BA}"/>
    <cellStyle name="Normal 8 2 4 2 6" xfId="2640" xr:uid="{00000000-0005-0000-0000-0000F51C0000}"/>
    <cellStyle name="Normal 8 2 4 2 6 2" xfId="6923" xr:uid="{00000000-0005-0000-0000-0000F61C0000}"/>
    <cellStyle name="Normal 8 2 4 2 6 2 2" xfId="15373" xr:uid="{2037D39C-B93B-4FF3-ABC9-8A15E40E4058}"/>
    <cellStyle name="Normal 8 2 4 2 6 3" xfId="11155" xr:uid="{43E5068F-D4EF-43A3-93BD-9B0ACE771550}"/>
    <cellStyle name="Normal 8 2 4 2 7" xfId="4858" xr:uid="{00000000-0005-0000-0000-0000F71C0000}"/>
    <cellStyle name="Normal 8 2 4 2 7 2" xfId="13308" xr:uid="{1FCCABBE-2595-4D32-B672-80D4048180E9}"/>
    <cellStyle name="Normal 8 2 4 2 8" xfId="9090" xr:uid="{AAB6938C-58CB-47AC-9BE7-65FA57D17ADB}"/>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9C55C9DA-9B7B-40D1-8DBA-9F3F093D1567}"/>
    <cellStyle name="Normal 8 2 4 3 2 3" xfId="11647" xr:uid="{00763B7E-F504-44B0-A699-272B6AA56165}"/>
    <cellStyle name="Normal 8 2 4 3 3" xfId="5270" xr:uid="{00000000-0005-0000-0000-0000FB1C0000}"/>
    <cellStyle name="Normal 8 2 4 3 3 2" xfId="13720" xr:uid="{050203C4-A4DC-44D2-A127-8A44576E38BA}"/>
    <cellStyle name="Normal 8 2 4 3 4" xfId="9502" xr:uid="{32451471-6374-4D52-8CF1-9465F0E8D7B5}"/>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FEB1E909-5E73-48FD-9A84-158524B960E8}"/>
    <cellStyle name="Normal 8 2 4 4 2 3" xfId="12060" xr:uid="{2B0D059A-A29D-4837-AB33-BE88084C6F3D}"/>
    <cellStyle name="Normal 8 2 4 4 3" xfId="5683" xr:uid="{00000000-0005-0000-0000-0000FF1C0000}"/>
    <cellStyle name="Normal 8 2 4 4 3 2" xfId="14133" xr:uid="{61C57D08-6358-4787-B000-E0024DD4755A}"/>
    <cellStyle name="Normal 8 2 4 4 4" xfId="9915" xr:uid="{D20186B6-205C-4FD0-87A2-1433DD047915}"/>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971BCFCE-6647-4DD0-A24C-8DDAA1D3D53E}"/>
    <cellStyle name="Normal 8 2 4 5 2 3" xfId="12473" xr:uid="{453A202D-86CD-4952-8D24-901A89784D1F}"/>
    <cellStyle name="Normal 8 2 4 5 3" xfId="6096" xr:uid="{00000000-0005-0000-0000-0000031D0000}"/>
    <cellStyle name="Normal 8 2 4 5 3 2" xfId="14546" xr:uid="{8F91303A-243B-4A47-8017-15598F3A1F1A}"/>
    <cellStyle name="Normal 8 2 4 5 4" xfId="10328" xr:uid="{51E02764-9717-451E-903A-B4AF1BB981E1}"/>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C25237F0-095D-451B-81D4-07454FAF3A71}"/>
    <cellStyle name="Normal 8 2 4 6 2 3" xfId="12886" xr:uid="{F83A7D41-7215-46A3-AA8B-27A3F5BA19D1}"/>
    <cellStyle name="Normal 8 2 4 6 3" xfId="6509" xr:uid="{00000000-0005-0000-0000-0000071D0000}"/>
    <cellStyle name="Normal 8 2 4 6 3 2" xfId="14959" xr:uid="{99533143-3FE9-4511-965A-2ABCE37C8E06}"/>
    <cellStyle name="Normal 8 2 4 6 4" xfId="10741" xr:uid="{74A41232-2EC5-4AB5-A8B2-4F8E394E7018}"/>
    <cellStyle name="Normal 8 2 4 7" xfId="2639" xr:uid="{00000000-0005-0000-0000-0000081D0000}"/>
    <cellStyle name="Normal 8 2 4 7 2" xfId="6922" xr:uid="{00000000-0005-0000-0000-0000091D0000}"/>
    <cellStyle name="Normal 8 2 4 7 2 2" xfId="15372" xr:uid="{E15C943E-2C8C-4933-8D06-2C05AC5E67BC}"/>
    <cellStyle name="Normal 8 2 4 7 3" xfId="11154" xr:uid="{FC3127CE-5A16-4681-9759-D78BE74CF565}"/>
    <cellStyle name="Normal 8 2 4 8" xfId="4857" xr:uid="{00000000-0005-0000-0000-00000A1D0000}"/>
    <cellStyle name="Normal 8 2 4 8 2" xfId="13307" xr:uid="{1691F5C5-F22B-454B-AA99-0C28895DB5DA}"/>
    <cellStyle name="Normal 8 2 4 9" xfId="9089" xr:uid="{F5AF578E-E788-4E04-8501-3FA20B2CE175}"/>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D8B76AD0-BA21-4C2A-9306-1F29E3BC502F}"/>
    <cellStyle name="Normal 8 2 5 2 2 3" xfId="11649" xr:uid="{AE54B5D1-7631-4F65-BB99-687D2CF0BE2F}"/>
    <cellStyle name="Normal 8 2 5 2 3" xfId="5272" xr:uid="{00000000-0005-0000-0000-00000F1D0000}"/>
    <cellStyle name="Normal 8 2 5 2 3 2" xfId="13722" xr:uid="{CDA7286D-7EBF-4B68-A747-9F749345C413}"/>
    <cellStyle name="Normal 8 2 5 2 4" xfId="9504" xr:uid="{FEAA860A-ED7C-4FDE-8566-E6321AEB88BF}"/>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07806A03-1928-448E-A977-9AE7CF980927}"/>
    <cellStyle name="Normal 8 2 5 3 2 3" xfId="12062" xr:uid="{4D615145-FAA2-4975-A6A9-61DB356AEF5B}"/>
    <cellStyle name="Normal 8 2 5 3 3" xfId="5685" xr:uid="{00000000-0005-0000-0000-0000131D0000}"/>
    <cellStyle name="Normal 8 2 5 3 3 2" xfId="14135" xr:uid="{BC00C0F4-6C27-464B-808E-23E6E7E80C56}"/>
    <cellStyle name="Normal 8 2 5 3 4" xfId="9917" xr:uid="{728A3E5D-9121-4DA9-A302-ACAE04763014}"/>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1B9B0B77-8992-4424-95F6-0D57065A0D80}"/>
    <cellStyle name="Normal 8 2 5 4 2 3" xfId="12475" xr:uid="{07B5EB31-4AE2-424D-9A76-B81EAAD69CEF}"/>
    <cellStyle name="Normal 8 2 5 4 3" xfId="6098" xr:uid="{00000000-0005-0000-0000-0000171D0000}"/>
    <cellStyle name="Normal 8 2 5 4 3 2" xfId="14548" xr:uid="{64E88242-1356-48E4-8CC9-622B48E21D0C}"/>
    <cellStyle name="Normal 8 2 5 4 4" xfId="10330" xr:uid="{32D06F88-80D3-427D-BBFA-B8E491DBD1DC}"/>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5C85885E-9566-4036-8C8B-40723F422402}"/>
    <cellStyle name="Normal 8 2 5 5 2 3" xfId="12888" xr:uid="{CD07DA65-8F98-4317-BE22-17C404CE32C2}"/>
    <cellStyle name="Normal 8 2 5 5 3" xfId="6511" xr:uid="{00000000-0005-0000-0000-00001B1D0000}"/>
    <cellStyle name="Normal 8 2 5 5 3 2" xfId="14961" xr:uid="{3CBDF46B-DA03-4D94-946D-B657DC20304A}"/>
    <cellStyle name="Normal 8 2 5 5 4" xfId="10743" xr:uid="{B1C4DDCF-EEC2-4C8E-9396-19F456FC6800}"/>
    <cellStyle name="Normal 8 2 5 6" xfId="2641" xr:uid="{00000000-0005-0000-0000-00001C1D0000}"/>
    <cellStyle name="Normal 8 2 5 6 2" xfId="6924" xr:uid="{00000000-0005-0000-0000-00001D1D0000}"/>
    <cellStyle name="Normal 8 2 5 6 2 2" xfId="15374" xr:uid="{6725E227-434C-460C-8E78-16E85A4EC1D2}"/>
    <cellStyle name="Normal 8 2 5 6 3" xfId="11156" xr:uid="{9F86DA74-3867-4845-A4CC-523EA50F8355}"/>
    <cellStyle name="Normal 8 2 5 7" xfId="4859" xr:uid="{00000000-0005-0000-0000-00001E1D0000}"/>
    <cellStyle name="Normal 8 2 5 7 2" xfId="13309" xr:uid="{FBBDAC59-4F06-434E-8090-EED14F368394}"/>
    <cellStyle name="Normal 8 2 5 8" xfId="9091" xr:uid="{59F650DE-DA2D-4D96-B1DF-10372B43E15A}"/>
    <cellStyle name="Normal 8 2 6" xfId="946" xr:uid="{00000000-0005-0000-0000-00001F1D0000}"/>
    <cellStyle name="Normal 8 2 6 2" xfId="3180" xr:uid="{00000000-0005-0000-0000-0000201D0000}"/>
    <cellStyle name="Normal 8 2 6 2 2" xfId="7402" xr:uid="{00000000-0005-0000-0000-0000211D0000}"/>
    <cellStyle name="Normal 8 2 6 2 2 2" xfId="15852" xr:uid="{8C5FE6DC-FA13-4963-818C-07FBE151CF5F}"/>
    <cellStyle name="Normal 8 2 6 2 3" xfId="11634" xr:uid="{4BEAD6F7-4532-40D7-ADB6-7B0E3ECE2008}"/>
    <cellStyle name="Normal 8 2 6 3" xfId="5257" xr:uid="{00000000-0005-0000-0000-0000221D0000}"/>
    <cellStyle name="Normal 8 2 6 3 2" xfId="13707" xr:uid="{D8AE3551-98C6-497F-A8AC-84AE665A5E69}"/>
    <cellStyle name="Normal 8 2 6 4" xfId="9489" xr:uid="{7947CA51-5F08-4565-B4B0-849756A4460B}"/>
    <cellStyle name="Normal 8 2 7" xfId="1363" xr:uid="{00000000-0005-0000-0000-0000231D0000}"/>
    <cellStyle name="Normal 8 2 7 2" xfId="3593" xr:uid="{00000000-0005-0000-0000-0000241D0000}"/>
    <cellStyle name="Normal 8 2 7 2 2" xfId="7815" xr:uid="{00000000-0005-0000-0000-0000251D0000}"/>
    <cellStyle name="Normal 8 2 7 2 2 2" xfId="16265" xr:uid="{9AF28315-7372-44B4-8CA0-CC9A683B054F}"/>
    <cellStyle name="Normal 8 2 7 2 3" xfId="12047" xr:uid="{DB8AD472-1C65-441A-8F56-2283E5B9D982}"/>
    <cellStyle name="Normal 8 2 7 3" xfId="5670" xr:uid="{00000000-0005-0000-0000-0000261D0000}"/>
    <cellStyle name="Normal 8 2 7 3 2" xfId="14120" xr:uid="{AADF357D-00C6-41A0-814B-02CA3F060C8E}"/>
    <cellStyle name="Normal 8 2 7 4" xfId="9902" xr:uid="{D6D6E855-3C93-4566-9EF1-2466D1A2D2D0}"/>
    <cellStyle name="Normal 8 2 8" xfId="1776" xr:uid="{00000000-0005-0000-0000-0000271D0000}"/>
    <cellStyle name="Normal 8 2 8 2" xfId="4006" xr:uid="{00000000-0005-0000-0000-0000281D0000}"/>
    <cellStyle name="Normal 8 2 8 2 2" xfId="8228" xr:uid="{00000000-0005-0000-0000-0000291D0000}"/>
    <cellStyle name="Normal 8 2 8 2 2 2" xfId="16678" xr:uid="{7DCF7DEE-E41D-401E-9FD3-1BEC53281C5A}"/>
    <cellStyle name="Normal 8 2 8 2 3" xfId="12460" xr:uid="{A21663E2-3A8D-4AC3-91E9-BE82F3C202D4}"/>
    <cellStyle name="Normal 8 2 8 3" xfId="6083" xr:uid="{00000000-0005-0000-0000-00002A1D0000}"/>
    <cellStyle name="Normal 8 2 8 3 2" xfId="14533" xr:uid="{BAB0DFE8-18CB-46F0-8300-50C8B5F74962}"/>
    <cellStyle name="Normal 8 2 8 4" xfId="10315" xr:uid="{8070D86C-C1B7-41B2-A40A-371B21238F4B}"/>
    <cellStyle name="Normal 8 2 9" xfId="2190" xr:uid="{00000000-0005-0000-0000-00002B1D0000}"/>
    <cellStyle name="Normal 8 2 9 2" xfId="4419" xr:uid="{00000000-0005-0000-0000-00002C1D0000}"/>
    <cellStyle name="Normal 8 2 9 2 2" xfId="8641" xr:uid="{00000000-0005-0000-0000-00002D1D0000}"/>
    <cellStyle name="Normal 8 2 9 2 2 2" xfId="17091" xr:uid="{32588CAE-639A-4BAB-9EB8-33F828B7EE30}"/>
    <cellStyle name="Normal 8 2 9 2 3" xfId="12873" xr:uid="{EAA0C7F6-24AC-4287-9AD2-357C39C3D469}"/>
    <cellStyle name="Normal 8 2 9 3" xfId="6496" xr:uid="{00000000-0005-0000-0000-00002E1D0000}"/>
    <cellStyle name="Normal 8 2 9 3 2" xfId="14946" xr:uid="{0CEAAA74-842C-4058-A6B2-004812B3EEA6}"/>
    <cellStyle name="Normal 8 2 9 4" xfId="10728" xr:uid="{A6179B9B-8769-4F2D-B798-930B4605CBEA}"/>
    <cellStyle name="Normal 8 3" xfId="495" xr:uid="{00000000-0005-0000-0000-00002F1D0000}"/>
    <cellStyle name="Normal 8 3 10" xfId="4860" xr:uid="{00000000-0005-0000-0000-0000301D0000}"/>
    <cellStyle name="Normal 8 3 10 2" xfId="13310" xr:uid="{D1DC9007-C24B-4F6A-B858-A6DFC9393B41}"/>
    <cellStyle name="Normal 8 3 11" xfId="9092" xr:uid="{969A1175-BA40-4F89-9F17-A1CFA996EE2A}"/>
    <cellStyle name="Normal 8 3 2" xfId="496" xr:uid="{00000000-0005-0000-0000-0000311D0000}"/>
    <cellStyle name="Normal 8 3 2 10" xfId="9093" xr:uid="{50EA4D94-F0FD-461F-8E70-66879461B5F7}"/>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EB9095C3-0342-4A74-BAA2-A84FDD7DF3EF}"/>
    <cellStyle name="Normal 8 3 2 2 2 2 2 3" xfId="11653" xr:uid="{555F0404-0EB8-43D3-8AC6-7E52E6EF6E57}"/>
    <cellStyle name="Normal 8 3 2 2 2 2 3" xfId="5276" xr:uid="{00000000-0005-0000-0000-0000371D0000}"/>
    <cellStyle name="Normal 8 3 2 2 2 2 3 2" xfId="13726" xr:uid="{85191477-C120-4FBA-84FD-0EE636333894}"/>
    <cellStyle name="Normal 8 3 2 2 2 2 4" xfId="9508" xr:uid="{DFFBB6B8-9664-4E2B-9BCD-48BE3B39A4DF}"/>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E602BAF5-666F-4E62-B802-FC59A0B80991}"/>
    <cellStyle name="Normal 8 3 2 2 2 3 2 3" xfId="12066" xr:uid="{352321CB-3F1E-4A99-BC95-92BFE87AF064}"/>
    <cellStyle name="Normal 8 3 2 2 2 3 3" xfId="5689" xr:uid="{00000000-0005-0000-0000-00003B1D0000}"/>
    <cellStyle name="Normal 8 3 2 2 2 3 3 2" xfId="14139" xr:uid="{49C7AEF7-6B8C-4CA2-859E-79FBDA07B6CD}"/>
    <cellStyle name="Normal 8 3 2 2 2 3 4" xfId="9921" xr:uid="{35866AC0-8598-4ACD-BDEB-88473F44A048}"/>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14FF9945-68B6-4030-BBAE-164BC17492E8}"/>
    <cellStyle name="Normal 8 3 2 2 2 4 2 3" xfId="12479" xr:uid="{3C8745CC-9C1B-4674-AFD5-ED0569677520}"/>
    <cellStyle name="Normal 8 3 2 2 2 4 3" xfId="6102" xr:uid="{00000000-0005-0000-0000-00003F1D0000}"/>
    <cellStyle name="Normal 8 3 2 2 2 4 3 2" xfId="14552" xr:uid="{BA2CD74E-82B3-4072-83CC-D812D50CA777}"/>
    <cellStyle name="Normal 8 3 2 2 2 4 4" xfId="10334" xr:uid="{A827E0EA-11A0-4670-810A-3D595A9C14FD}"/>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CDFC89FA-2887-4333-B8A9-6010C32F8A7D}"/>
    <cellStyle name="Normal 8 3 2 2 2 5 2 3" xfId="12892" xr:uid="{044F21BC-11E2-463D-BA6E-F5E0462017F5}"/>
    <cellStyle name="Normal 8 3 2 2 2 5 3" xfId="6515" xr:uid="{00000000-0005-0000-0000-0000431D0000}"/>
    <cellStyle name="Normal 8 3 2 2 2 5 3 2" xfId="14965" xr:uid="{9E2D8AB9-3E7E-4B5F-8622-47AEC266E4CD}"/>
    <cellStyle name="Normal 8 3 2 2 2 5 4" xfId="10747" xr:uid="{721A1992-D433-49CD-BD79-A202B08AE3A9}"/>
    <cellStyle name="Normal 8 3 2 2 2 6" xfId="2645" xr:uid="{00000000-0005-0000-0000-0000441D0000}"/>
    <cellStyle name="Normal 8 3 2 2 2 6 2" xfId="6928" xr:uid="{00000000-0005-0000-0000-0000451D0000}"/>
    <cellStyle name="Normal 8 3 2 2 2 6 2 2" xfId="15378" xr:uid="{9CBACD7F-5E66-4104-9E6A-3858F722453A}"/>
    <cellStyle name="Normal 8 3 2 2 2 6 3" xfId="11160" xr:uid="{7E3B3169-B666-48B4-B0CE-B92261EE2AC0}"/>
    <cellStyle name="Normal 8 3 2 2 2 7" xfId="4863" xr:uid="{00000000-0005-0000-0000-0000461D0000}"/>
    <cellStyle name="Normal 8 3 2 2 2 7 2" xfId="13313" xr:uid="{6D6A2CFF-C588-45D8-85CD-BD6AEEEDF757}"/>
    <cellStyle name="Normal 8 3 2 2 2 8" xfId="9095" xr:uid="{33D668FA-C5ED-411F-B0CA-2931B957ACD3}"/>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DDE5D03E-E21B-49B3-8A3C-66C7B5E4AC65}"/>
    <cellStyle name="Normal 8 3 2 2 3 2 3" xfId="11652" xr:uid="{FB5EB1F2-DA24-451F-8D6C-ACB0A92C8B6E}"/>
    <cellStyle name="Normal 8 3 2 2 3 3" xfId="5275" xr:uid="{00000000-0005-0000-0000-00004A1D0000}"/>
    <cellStyle name="Normal 8 3 2 2 3 3 2" xfId="13725" xr:uid="{37FEE5E9-AA7A-4C0D-8950-D7DB4A5016E3}"/>
    <cellStyle name="Normal 8 3 2 2 3 4" xfId="9507" xr:uid="{9999E36D-42FA-48B2-B687-5BDAAB75D5BD}"/>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3308059D-9F41-49F5-ADDA-E9C2CC071A11}"/>
    <cellStyle name="Normal 8 3 2 2 4 2 3" xfId="12065" xr:uid="{C63CA32F-9F94-4635-A3D0-1E23E557F666}"/>
    <cellStyle name="Normal 8 3 2 2 4 3" xfId="5688" xr:uid="{00000000-0005-0000-0000-00004E1D0000}"/>
    <cellStyle name="Normal 8 3 2 2 4 3 2" xfId="14138" xr:uid="{7282D6D1-C8F5-480F-B01B-AA1870883C78}"/>
    <cellStyle name="Normal 8 3 2 2 4 4" xfId="9920" xr:uid="{06CEE0BB-336B-4807-9D07-3EA33514EA74}"/>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63402700-9BE3-442A-8017-AA19E762CB6D}"/>
    <cellStyle name="Normal 8 3 2 2 5 2 3" xfId="12478" xr:uid="{28BDFD3C-69CC-4D03-AE0F-F4DD0408EFDA}"/>
    <cellStyle name="Normal 8 3 2 2 5 3" xfId="6101" xr:uid="{00000000-0005-0000-0000-0000521D0000}"/>
    <cellStyle name="Normal 8 3 2 2 5 3 2" xfId="14551" xr:uid="{F8316189-06F1-4424-AAFC-6A6B1D52B526}"/>
    <cellStyle name="Normal 8 3 2 2 5 4" xfId="10333" xr:uid="{7BEF0C83-4B08-4BEC-B1B1-DFE89C0C0D3A}"/>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A55DD26C-2B40-4D2A-99C6-CB529B9C907F}"/>
    <cellStyle name="Normal 8 3 2 2 6 2 3" xfId="12891" xr:uid="{7C49AD76-5976-4CCC-A2C6-52B1E18436F2}"/>
    <cellStyle name="Normal 8 3 2 2 6 3" xfId="6514" xr:uid="{00000000-0005-0000-0000-0000561D0000}"/>
    <cellStyle name="Normal 8 3 2 2 6 3 2" xfId="14964" xr:uid="{A386D1DE-9F08-45B4-A84F-B159F83347F6}"/>
    <cellStyle name="Normal 8 3 2 2 6 4" xfId="10746" xr:uid="{9E664843-BDC1-40C9-AC4F-576CBD9B1C79}"/>
    <cellStyle name="Normal 8 3 2 2 7" xfId="2644" xr:uid="{00000000-0005-0000-0000-0000571D0000}"/>
    <cellStyle name="Normal 8 3 2 2 7 2" xfId="6927" xr:uid="{00000000-0005-0000-0000-0000581D0000}"/>
    <cellStyle name="Normal 8 3 2 2 7 2 2" xfId="15377" xr:uid="{E3E4D99E-922A-4FB5-A824-7895AFAFDE0B}"/>
    <cellStyle name="Normal 8 3 2 2 7 3" xfId="11159" xr:uid="{A5828BB3-6508-4BC1-A330-464D0B73B185}"/>
    <cellStyle name="Normal 8 3 2 2 8" xfId="4862" xr:uid="{00000000-0005-0000-0000-0000591D0000}"/>
    <cellStyle name="Normal 8 3 2 2 8 2" xfId="13312" xr:uid="{4CEBE562-308F-4C53-B319-36FAD4F46D0C}"/>
    <cellStyle name="Normal 8 3 2 2 9" xfId="9094" xr:uid="{52D4C21A-864A-4B97-8693-38E59405EA28}"/>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B6E357E8-D519-4EAA-AE2E-23884BF56D8F}"/>
    <cellStyle name="Normal 8 3 2 3 2 2 3" xfId="11654" xr:uid="{DA882ABD-48D8-4C54-878B-B5BC8D0BB7F4}"/>
    <cellStyle name="Normal 8 3 2 3 2 3" xfId="5277" xr:uid="{00000000-0005-0000-0000-00005E1D0000}"/>
    <cellStyle name="Normal 8 3 2 3 2 3 2" xfId="13727" xr:uid="{2E67841D-760D-44F6-AC18-BA3D53C4DB1B}"/>
    <cellStyle name="Normal 8 3 2 3 2 4" xfId="9509" xr:uid="{D68ECA9E-B2AD-413B-8BCB-5BDB9E6E6A26}"/>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69D0EDF2-610E-4C73-83C8-6C60F94E2E09}"/>
    <cellStyle name="Normal 8 3 2 3 3 2 3" xfId="12067" xr:uid="{7D478E6E-1461-4354-AB2E-E9A8BEF01EB2}"/>
    <cellStyle name="Normal 8 3 2 3 3 3" xfId="5690" xr:uid="{00000000-0005-0000-0000-0000621D0000}"/>
    <cellStyle name="Normal 8 3 2 3 3 3 2" xfId="14140" xr:uid="{BFC5E7CA-0DCB-496B-8FBD-9F8278186A2E}"/>
    <cellStyle name="Normal 8 3 2 3 3 4" xfId="9922" xr:uid="{0BD8C2EA-8ED6-4D09-9C9D-40467EAFC501}"/>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6B0BA1AE-CB78-417B-AA62-8BDEC4220202}"/>
    <cellStyle name="Normal 8 3 2 3 4 2 3" xfId="12480" xr:uid="{08DC73BD-EFFC-4CB4-9F3E-9C800224F1EC}"/>
    <cellStyle name="Normal 8 3 2 3 4 3" xfId="6103" xr:uid="{00000000-0005-0000-0000-0000661D0000}"/>
    <cellStyle name="Normal 8 3 2 3 4 3 2" xfId="14553" xr:uid="{D3A950FC-1E46-45C6-B0B3-8E6E15897CC6}"/>
    <cellStyle name="Normal 8 3 2 3 4 4" xfId="10335" xr:uid="{40DF9B6F-7A21-4F75-BBCF-5A8CE85B1E08}"/>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68C88171-6C35-4C58-822C-8DAE60859940}"/>
    <cellStyle name="Normal 8 3 2 3 5 2 3" xfId="12893" xr:uid="{A22FF7C5-300A-49AF-AD85-B5D73E4B0855}"/>
    <cellStyle name="Normal 8 3 2 3 5 3" xfId="6516" xr:uid="{00000000-0005-0000-0000-00006A1D0000}"/>
    <cellStyle name="Normal 8 3 2 3 5 3 2" xfId="14966" xr:uid="{C689915A-895E-4E3E-A404-47FB554904A0}"/>
    <cellStyle name="Normal 8 3 2 3 5 4" xfId="10748" xr:uid="{61513E68-3D7F-4718-845E-A8029B6BE150}"/>
    <cellStyle name="Normal 8 3 2 3 6" xfId="2646" xr:uid="{00000000-0005-0000-0000-00006B1D0000}"/>
    <cellStyle name="Normal 8 3 2 3 6 2" xfId="6929" xr:uid="{00000000-0005-0000-0000-00006C1D0000}"/>
    <cellStyle name="Normal 8 3 2 3 6 2 2" xfId="15379" xr:uid="{92C1F3BD-A5A9-4E8C-9206-E2B8D3DAD321}"/>
    <cellStyle name="Normal 8 3 2 3 6 3" xfId="11161" xr:uid="{E9FDCE81-DDFF-4F36-B929-3A56BE84BE41}"/>
    <cellStyle name="Normal 8 3 2 3 7" xfId="4864" xr:uid="{00000000-0005-0000-0000-00006D1D0000}"/>
    <cellStyle name="Normal 8 3 2 3 7 2" xfId="13314" xr:uid="{AB7CAAE8-9F9C-475E-AC0A-30250E9EEA57}"/>
    <cellStyle name="Normal 8 3 2 3 8" xfId="9096" xr:uid="{B0AEDD82-A4FB-41CB-9721-0EE3016B6522}"/>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7F50AD05-1A3C-4689-8EE1-328D3F5464A6}"/>
    <cellStyle name="Normal 8 3 2 4 2 3" xfId="11651" xr:uid="{1591D991-4A54-4409-93E4-9B78670DAA4F}"/>
    <cellStyle name="Normal 8 3 2 4 3" xfId="5274" xr:uid="{00000000-0005-0000-0000-0000711D0000}"/>
    <cellStyle name="Normal 8 3 2 4 3 2" xfId="13724" xr:uid="{B3F3C6E3-E03A-4172-91C9-2DB12E858FA1}"/>
    <cellStyle name="Normal 8 3 2 4 4" xfId="9506" xr:uid="{69E32BBD-1F17-400A-A8C4-1129256CAEBD}"/>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0E62C884-A893-4188-A216-DB9D8A4B162C}"/>
    <cellStyle name="Normal 8 3 2 5 2 3" xfId="12064" xr:uid="{2CB0EEFD-379B-4F08-A0BC-14F62CB739EE}"/>
    <cellStyle name="Normal 8 3 2 5 3" xfId="5687" xr:uid="{00000000-0005-0000-0000-0000751D0000}"/>
    <cellStyle name="Normal 8 3 2 5 3 2" xfId="14137" xr:uid="{3DB82BA9-409A-4629-90EF-26A743F2EEAA}"/>
    <cellStyle name="Normal 8 3 2 5 4" xfId="9919" xr:uid="{6C650342-3951-427A-97D3-ACC61D235A3C}"/>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69CF5BF0-DEBF-4470-AB5E-4206B31CF460}"/>
    <cellStyle name="Normal 8 3 2 6 2 3" xfId="12477" xr:uid="{816A617B-26AA-4A76-A5AE-F139040E9DA3}"/>
    <cellStyle name="Normal 8 3 2 6 3" xfId="6100" xr:uid="{00000000-0005-0000-0000-0000791D0000}"/>
    <cellStyle name="Normal 8 3 2 6 3 2" xfId="14550" xr:uid="{D5E1147B-98A4-47E2-9DBB-121F9F090FA9}"/>
    <cellStyle name="Normal 8 3 2 6 4" xfId="10332" xr:uid="{D14230C4-E409-4A9D-BE79-0E403D3AEC71}"/>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1FDF2E96-CB0D-403D-BA88-1B8BABF73EED}"/>
    <cellStyle name="Normal 8 3 2 7 2 3" xfId="12890" xr:uid="{CA73F2FC-5E6F-4D10-A0E1-7C270C6C098A}"/>
    <cellStyle name="Normal 8 3 2 7 3" xfId="6513" xr:uid="{00000000-0005-0000-0000-00007D1D0000}"/>
    <cellStyle name="Normal 8 3 2 7 3 2" xfId="14963" xr:uid="{3B1E7BED-8F53-4C80-BC34-A92A2F91A4B9}"/>
    <cellStyle name="Normal 8 3 2 7 4" xfId="10745" xr:uid="{584D4FB2-2F18-4941-99C1-C266200BEA6F}"/>
    <cellStyle name="Normal 8 3 2 8" xfId="2643" xr:uid="{00000000-0005-0000-0000-00007E1D0000}"/>
    <cellStyle name="Normal 8 3 2 8 2" xfId="6926" xr:uid="{00000000-0005-0000-0000-00007F1D0000}"/>
    <cellStyle name="Normal 8 3 2 8 2 2" xfId="15376" xr:uid="{B3EECE9F-1B45-4CFA-BAF6-BDA0EC134884}"/>
    <cellStyle name="Normal 8 3 2 8 3" xfId="11158" xr:uid="{BD564E10-F4AE-4376-82A1-66C7E55E4125}"/>
    <cellStyle name="Normal 8 3 2 9" xfId="4861" xr:uid="{00000000-0005-0000-0000-0000801D0000}"/>
    <cellStyle name="Normal 8 3 2 9 2" xfId="13311" xr:uid="{11F4464F-1F91-41F9-9055-24567C4B28C5}"/>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EDF8D6F0-DB96-4322-8034-7F66D52A7EB1}"/>
    <cellStyle name="Normal 8 3 3 2 2 2 3" xfId="11656" xr:uid="{B3CB3C2A-5594-474B-A6FF-BC6A758DE16C}"/>
    <cellStyle name="Normal 8 3 3 2 2 3" xfId="5279" xr:uid="{00000000-0005-0000-0000-0000861D0000}"/>
    <cellStyle name="Normal 8 3 3 2 2 3 2" xfId="13729" xr:uid="{548FED9D-8B4C-4D57-8078-F49096DC7196}"/>
    <cellStyle name="Normal 8 3 3 2 2 4" xfId="9511" xr:uid="{FB34C4A5-D54C-480F-A730-4F88202E0834}"/>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1A92067D-F011-46F8-B403-153A5B2FF656}"/>
    <cellStyle name="Normal 8 3 3 2 3 2 3" xfId="12069" xr:uid="{323A17E1-795D-4E7D-A18B-A1E7A1B31E88}"/>
    <cellStyle name="Normal 8 3 3 2 3 3" xfId="5692" xr:uid="{00000000-0005-0000-0000-00008A1D0000}"/>
    <cellStyle name="Normal 8 3 3 2 3 3 2" xfId="14142" xr:uid="{A2CCC669-82C5-4892-BB67-C4D1DD18DA57}"/>
    <cellStyle name="Normal 8 3 3 2 3 4" xfId="9924" xr:uid="{7E4F95E6-07D3-429E-9BFB-6403ACF1BB5A}"/>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5C5A84D1-256F-4886-921F-9B77C4642E44}"/>
    <cellStyle name="Normal 8 3 3 2 4 2 3" xfId="12482" xr:uid="{F3E22363-DDD5-4AA9-A486-AAFC4A5F7492}"/>
    <cellStyle name="Normal 8 3 3 2 4 3" xfId="6105" xr:uid="{00000000-0005-0000-0000-00008E1D0000}"/>
    <cellStyle name="Normal 8 3 3 2 4 3 2" xfId="14555" xr:uid="{9FC7CB27-8969-46F3-9B47-A3B156FBC555}"/>
    <cellStyle name="Normal 8 3 3 2 4 4" xfId="10337" xr:uid="{37227A0C-BD81-4768-9BE2-D5E912703E2B}"/>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F171D7D6-7CAF-4A57-BA3F-84FFC8934047}"/>
    <cellStyle name="Normal 8 3 3 2 5 2 3" xfId="12895" xr:uid="{C0737366-2902-44EC-87C9-FFF97C3C2FCA}"/>
    <cellStyle name="Normal 8 3 3 2 5 3" xfId="6518" xr:uid="{00000000-0005-0000-0000-0000921D0000}"/>
    <cellStyle name="Normal 8 3 3 2 5 3 2" xfId="14968" xr:uid="{F1D85FF9-3E5F-4BBB-9ABC-EEC6FA8B7FF1}"/>
    <cellStyle name="Normal 8 3 3 2 5 4" xfId="10750" xr:uid="{CC50844F-B616-466C-84D2-FFBB44ED4795}"/>
    <cellStyle name="Normal 8 3 3 2 6" xfId="2648" xr:uid="{00000000-0005-0000-0000-0000931D0000}"/>
    <cellStyle name="Normal 8 3 3 2 6 2" xfId="6931" xr:uid="{00000000-0005-0000-0000-0000941D0000}"/>
    <cellStyle name="Normal 8 3 3 2 6 2 2" xfId="15381" xr:uid="{A42DC8F9-6781-4849-BFC6-DD48AD8951E0}"/>
    <cellStyle name="Normal 8 3 3 2 6 3" xfId="11163" xr:uid="{97A85713-1E92-4E7F-9308-2120ABFB2344}"/>
    <cellStyle name="Normal 8 3 3 2 7" xfId="4866" xr:uid="{00000000-0005-0000-0000-0000951D0000}"/>
    <cellStyle name="Normal 8 3 3 2 7 2" xfId="13316" xr:uid="{7D7BDBDD-248D-4D80-8AF3-BEEE6844E1DC}"/>
    <cellStyle name="Normal 8 3 3 2 8" xfId="9098" xr:uid="{0423BC2A-3482-404D-AF12-2A5DB394F776}"/>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28A5ECD4-3375-40BD-B1E5-8FEC5BAA8E96}"/>
    <cellStyle name="Normal 8 3 3 3 2 3" xfId="11655" xr:uid="{5C8D1A41-C08C-4BC0-B12E-6266B61418CE}"/>
    <cellStyle name="Normal 8 3 3 3 3" xfId="5278" xr:uid="{00000000-0005-0000-0000-0000991D0000}"/>
    <cellStyle name="Normal 8 3 3 3 3 2" xfId="13728" xr:uid="{D42AB444-65F2-484A-BF58-7BBDC88A6572}"/>
    <cellStyle name="Normal 8 3 3 3 4" xfId="9510" xr:uid="{91D977D5-43E3-4E3C-9675-D0963D9D3B26}"/>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04B9AC76-E3C1-4A0C-A61D-2DDA306C5E7E}"/>
    <cellStyle name="Normal 8 3 3 4 2 3" xfId="12068" xr:uid="{D6C96B34-12EF-4EEC-A0FA-1BDEE6F1E055}"/>
    <cellStyle name="Normal 8 3 3 4 3" xfId="5691" xr:uid="{00000000-0005-0000-0000-00009D1D0000}"/>
    <cellStyle name="Normal 8 3 3 4 3 2" xfId="14141" xr:uid="{853C8A6E-1F62-4BB5-84B3-2F91706ECABF}"/>
    <cellStyle name="Normal 8 3 3 4 4" xfId="9923" xr:uid="{15395415-2E2D-4CA3-B59E-78C4BD53267D}"/>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A25A7C63-8229-4BC7-B137-589DB96B3246}"/>
    <cellStyle name="Normal 8 3 3 5 2 3" xfId="12481" xr:uid="{05C76CC5-11D7-488A-8AB0-9E8C325AA467}"/>
    <cellStyle name="Normal 8 3 3 5 3" xfId="6104" xr:uid="{00000000-0005-0000-0000-0000A11D0000}"/>
    <cellStyle name="Normal 8 3 3 5 3 2" xfId="14554" xr:uid="{E86DA806-B61F-4A7E-9914-8F4D1920BD10}"/>
    <cellStyle name="Normal 8 3 3 5 4" xfId="10336" xr:uid="{A20966BA-F400-4785-83E2-79AF95C1E492}"/>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B50E6609-7BD3-435B-9414-598526C94CED}"/>
    <cellStyle name="Normal 8 3 3 6 2 3" xfId="12894" xr:uid="{1C55DB76-0E34-4718-A791-CE0C14468004}"/>
    <cellStyle name="Normal 8 3 3 6 3" xfId="6517" xr:uid="{00000000-0005-0000-0000-0000A51D0000}"/>
    <cellStyle name="Normal 8 3 3 6 3 2" xfId="14967" xr:uid="{E8096D6D-40F4-433A-95D1-CC3F4CE9F185}"/>
    <cellStyle name="Normal 8 3 3 6 4" xfId="10749" xr:uid="{9C47F5E9-D39A-4686-A0BB-0A606EBD1F1B}"/>
    <cellStyle name="Normal 8 3 3 7" xfId="2647" xr:uid="{00000000-0005-0000-0000-0000A61D0000}"/>
    <cellStyle name="Normal 8 3 3 7 2" xfId="6930" xr:uid="{00000000-0005-0000-0000-0000A71D0000}"/>
    <cellStyle name="Normal 8 3 3 7 2 2" xfId="15380" xr:uid="{B442999A-D4D2-47E3-806D-109259973BEC}"/>
    <cellStyle name="Normal 8 3 3 7 3" xfId="11162" xr:uid="{9106949A-3DF7-41E9-833E-761965CBCB86}"/>
    <cellStyle name="Normal 8 3 3 8" xfId="4865" xr:uid="{00000000-0005-0000-0000-0000A81D0000}"/>
    <cellStyle name="Normal 8 3 3 8 2" xfId="13315" xr:uid="{74767F0F-707F-432C-9D32-C64864E765A7}"/>
    <cellStyle name="Normal 8 3 3 9" xfId="9097" xr:uid="{670CB2E0-E4F0-48AB-B746-D71AFF427269}"/>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CA3AC97F-0E65-4AC8-9333-021374303094}"/>
    <cellStyle name="Normal 8 3 4 2 2 3" xfId="11657" xr:uid="{8F7F5A40-11E7-4D39-8A44-5D9EA089F614}"/>
    <cellStyle name="Normal 8 3 4 2 3" xfId="5280" xr:uid="{00000000-0005-0000-0000-0000AD1D0000}"/>
    <cellStyle name="Normal 8 3 4 2 3 2" xfId="13730" xr:uid="{B13D5A61-2063-4550-967C-F22F33D72CC5}"/>
    <cellStyle name="Normal 8 3 4 2 4" xfId="9512" xr:uid="{AF966065-1DF5-44AD-B0B5-D6D9F197D144}"/>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0A34DEF2-F20C-4826-B796-3ED299296592}"/>
    <cellStyle name="Normal 8 3 4 3 2 3" xfId="12070" xr:uid="{7367BC38-8D5D-4A56-98C9-A9076C6908BF}"/>
    <cellStyle name="Normal 8 3 4 3 3" xfId="5693" xr:uid="{00000000-0005-0000-0000-0000B11D0000}"/>
    <cellStyle name="Normal 8 3 4 3 3 2" xfId="14143" xr:uid="{C31E0606-4B34-4516-A161-8628DDE61ABA}"/>
    <cellStyle name="Normal 8 3 4 3 4" xfId="9925" xr:uid="{E0C9E2B4-097A-4B44-AA46-0ADA70B683B0}"/>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5D0E7F3B-FA0F-4550-96E9-3606E46992E4}"/>
    <cellStyle name="Normal 8 3 4 4 2 3" xfId="12483" xr:uid="{04C37D23-755E-4388-8817-9B81988B06FF}"/>
    <cellStyle name="Normal 8 3 4 4 3" xfId="6106" xr:uid="{00000000-0005-0000-0000-0000B51D0000}"/>
    <cellStyle name="Normal 8 3 4 4 3 2" xfId="14556" xr:uid="{C9E3727E-B2C8-413F-B5FB-1FA76786838C}"/>
    <cellStyle name="Normal 8 3 4 4 4" xfId="10338" xr:uid="{829D0980-5111-4183-B689-B731DD64D17E}"/>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FF3AA10F-0F6A-40B9-A56E-95F585F2BF86}"/>
    <cellStyle name="Normal 8 3 4 5 2 3" xfId="12896" xr:uid="{136B569D-6CBD-4FE7-B261-8BC3F3FC50F8}"/>
    <cellStyle name="Normal 8 3 4 5 3" xfId="6519" xr:uid="{00000000-0005-0000-0000-0000B91D0000}"/>
    <cellStyle name="Normal 8 3 4 5 3 2" xfId="14969" xr:uid="{CBC56736-0BC0-4505-A147-6EE7A9FDF081}"/>
    <cellStyle name="Normal 8 3 4 5 4" xfId="10751" xr:uid="{524A7B25-C955-41F0-BA17-AE84FBFBA742}"/>
    <cellStyle name="Normal 8 3 4 6" xfId="2649" xr:uid="{00000000-0005-0000-0000-0000BA1D0000}"/>
    <cellStyle name="Normal 8 3 4 6 2" xfId="6932" xr:uid="{00000000-0005-0000-0000-0000BB1D0000}"/>
    <cellStyle name="Normal 8 3 4 6 2 2" xfId="15382" xr:uid="{37809D73-E117-48A6-8A34-F05EAA28CABB}"/>
    <cellStyle name="Normal 8 3 4 6 3" xfId="11164" xr:uid="{DF096A0A-8CC5-4931-836B-5F3351420690}"/>
    <cellStyle name="Normal 8 3 4 7" xfId="4867" xr:uid="{00000000-0005-0000-0000-0000BC1D0000}"/>
    <cellStyle name="Normal 8 3 4 7 2" xfId="13317" xr:uid="{4A41619E-B6CA-4362-9795-35A2D30E4BA5}"/>
    <cellStyle name="Normal 8 3 4 8" xfId="9099" xr:uid="{ADF317C3-B45C-4B8F-B5D4-61BA597321A3}"/>
    <cellStyle name="Normal 8 3 5" xfId="962" xr:uid="{00000000-0005-0000-0000-0000BD1D0000}"/>
    <cellStyle name="Normal 8 3 5 2" xfId="3196" xr:uid="{00000000-0005-0000-0000-0000BE1D0000}"/>
    <cellStyle name="Normal 8 3 5 2 2" xfId="7418" xr:uid="{00000000-0005-0000-0000-0000BF1D0000}"/>
    <cellStyle name="Normal 8 3 5 2 2 2" xfId="15868" xr:uid="{7C573A23-D29B-4552-B519-DAA78364CDFD}"/>
    <cellStyle name="Normal 8 3 5 2 3" xfId="11650" xr:uid="{3A68A388-9BCC-428C-9F19-B867EACC9444}"/>
    <cellStyle name="Normal 8 3 5 3" xfId="5273" xr:uid="{00000000-0005-0000-0000-0000C01D0000}"/>
    <cellStyle name="Normal 8 3 5 3 2" xfId="13723" xr:uid="{D7A0EA1A-B539-43BA-8B14-BA04F620ED8D}"/>
    <cellStyle name="Normal 8 3 5 4" xfId="9505" xr:uid="{5A90AD16-AE17-4986-AD17-1238FDC15107}"/>
    <cellStyle name="Normal 8 3 6" xfId="1379" xr:uid="{00000000-0005-0000-0000-0000C11D0000}"/>
    <cellStyle name="Normal 8 3 6 2" xfId="3609" xr:uid="{00000000-0005-0000-0000-0000C21D0000}"/>
    <cellStyle name="Normal 8 3 6 2 2" xfId="7831" xr:uid="{00000000-0005-0000-0000-0000C31D0000}"/>
    <cellStyle name="Normal 8 3 6 2 2 2" xfId="16281" xr:uid="{325732FB-83E1-4ACD-A502-0D532219EFEA}"/>
    <cellStyle name="Normal 8 3 6 2 3" xfId="12063" xr:uid="{9CB6765D-FA5C-4A76-AEFC-FA4D82929E7A}"/>
    <cellStyle name="Normal 8 3 6 3" xfId="5686" xr:uid="{00000000-0005-0000-0000-0000C41D0000}"/>
    <cellStyle name="Normal 8 3 6 3 2" xfId="14136" xr:uid="{33533C14-3A34-44D2-9A93-7023163BE4FE}"/>
    <cellStyle name="Normal 8 3 6 4" xfId="9918" xr:uid="{63070803-E8FF-4D48-BDA7-6F1008989133}"/>
    <cellStyle name="Normal 8 3 7" xfId="1792" xr:uid="{00000000-0005-0000-0000-0000C51D0000}"/>
    <cellStyle name="Normal 8 3 7 2" xfId="4022" xr:uid="{00000000-0005-0000-0000-0000C61D0000}"/>
    <cellStyle name="Normal 8 3 7 2 2" xfId="8244" xr:uid="{00000000-0005-0000-0000-0000C71D0000}"/>
    <cellStyle name="Normal 8 3 7 2 2 2" xfId="16694" xr:uid="{72FAD16F-FF2F-482E-BA56-565DE517A8C9}"/>
    <cellStyle name="Normal 8 3 7 2 3" xfId="12476" xr:uid="{97CF4C9B-DBB2-4ECA-84C9-FC934C534696}"/>
    <cellStyle name="Normal 8 3 7 3" xfId="6099" xr:uid="{00000000-0005-0000-0000-0000C81D0000}"/>
    <cellStyle name="Normal 8 3 7 3 2" xfId="14549" xr:uid="{9565ED9A-C6AF-470D-8142-7A56B846BB3B}"/>
    <cellStyle name="Normal 8 3 7 4" xfId="10331" xr:uid="{79B04201-AACA-4B57-BECA-A8E681A0F69D}"/>
    <cellStyle name="Normal 8 3 8" xfId="2206" xr:uid="{00000000-0005-0000-0000-0000C91D0000}"/>
    <cellStyle name="Normal 8 3 8 2" xfId="4435" xr:uid="{00000000-0005-0000-0000-0000CA1D0000}"/>
    <cellStyle name="Normal 8 3 8 2 2" xfId="8657" xr:uid="{00000000-0005-0000-0000-0000CB1D0000}"/>
    <cellStyle name="Normal 8 3 8 2 2 2" xfId="17107" xr:uid="{8E733F17-DD01-4ED5-8099-73DAE2C3ECEA}"/>
    <cellStyle name="Normal 8 3 8 2 3" xfId="12889" xr:uid="{15E5D2E2-25F1-4A91-83A5-16E47AFA5EA7}"/>
    <cellStyle name="Normal 8 3 8 3" xfId="6512" xr:uid="{00000000-0005-0000-0000-0000CC1D0000}"/>
    <cellStyle name="Normal 8 3 8 3 2" xfId="14962" xr:uid="{B1287915-56CF-4427-87EC-671742D37CEE}"/>
    <cellStyle name="Normal 8 3 8 4" xfId="10744" xr:uid="{BF46C2BD-481E-4233-8F6F-3EBCB0ADAB77}"/>
    <cellStyle name="Normal 8 3 9" xfId="2642" xr:uid="{00000000-0005-0000-0000-0000CD1D0000}"/>
    <cellStyle name="Normal 8 3 9 2" xfId="6925" xr:uid="{00000000-0005-0000-0000-0000CE1D0000}"/>
    <cellStyle name="Normal 8 3 9 2 2" xfId="15375" xr:uid="{378126C6-83CD-4257-8DA0-4F8FE2AD5ADE}"/>
    <cellStyle name="Normal 8 3 9 3" xfId="11157" xr:uid="{44D1BFBE-7AFD-4FFD-B37D-D9527FEF2F21}"/>
    <cellStyle name="Normal 8 4" xfId="503" xr:uid="{00000000-0005-0000-0000-0000CF1D0000}"/>
    <cellStyle name="Normal 8 4 10" xfId="9100" xr:uid="{C38E4F4E-0BFD-43BE-85D7-BEA042A28845}"/>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FD4C6AF7-96FC-4C42-B813-018864CC8D72}"/>
    <cellStyle name="Normal 8 4 2 2 2 2 3" xfId="11660" xr:uid="{2DE33AF8-CE2E-49D8-BD44-37DE89D43660}"/>
    <cellStyle name="Normal 8 4 2 2 2 3" xfId="5283" xr:uid="{00000000-0005-0000-0000-0000D51D0000}"/>
    <cellStyle name="Normal 8 4 2 2 2 3 2" xfId="13733" xr:uid="{768A58C2-ACCC-4952-8309-6C81F45EE3A5}"/>
    <cellStyle name="Normal 8 4 2 2 2 4" xfId="9515" xr:uid="{5D7C4326-7936-4FA6-BF93-CC05BC8C5E6C}"/>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940CA1EE-6C2C-45A5-9AFA-21334E3FCF67}"/>
    <cellStyle name="Normal 8 4 2 2 3 2 3" xfId="12073" xr:uid="{9D54EAFB-FFEB-4A69-BDCF-AAD299CCF00F}"/>
    <cellStyle name="Normal 8 4 2 2 3 3" xfId="5696" xr:uid="{00000000-0005-0000-0000-0000D91D0000}"/>
    <cellStyle name="Normal 8 4 2 2 3 3 2" xfId="14146" xr:uid="{45B55CA4-4076-431D-9D4E-3D79809B32F2}"/>
    <cellStyle name="Normal 8 4 2 2 3 4" xfId="9928" xr:uid="{1E5C2129-C1CB-4D9F-AE46-1A61EF3A651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FF53A390-2E7B-44E1-B2A7-52F42773852F}"/>
    <cellStyle name="Normal 8 4 2 2 4 2 3" xfId="12486" xr:uid="{389CD7B3-3D89-4DEA-812F-1A1CEDBB122B}"/>
    <cellStyle name="Normal 8 4 2 2 4 3" xfId="6109" xr:uid="{00000000-0005-0000-0000-0000DD1D0000}"/>
    <cellStyle name="Normal 8 4 2 2 4 3 2" xfId="14559" xr:uid="{3930D5FB-D0A8-487C-BE89-C7C7C6689F49}"/>
    <cellStyle name="Normal 8 4 2 2 4 4" xfId="10341" xr:uid="{42A53766-1CAB-4FB2-A546-739E25CA04A6}"/>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ABA9E5B4-E03F-45A1-B40F-24D68A5C538B}"/>
    <cellStyle name="Normal 8 4 2 2 5 2 3" xfId="12899" xr:uid="{7C602077-01D9-4C74-89CE-F6A4D9DBD192}"/>
    <cellStyle name="Normal 8 4 2 2 5 3" xfId="6522" xr:uid="{00000000-0005-0000-0000-0000E11D0000}"/>
    <cellStyle name="Normal 8 4 2 2 5 3 2" xfId="14972" xr:uid="{0DA6AA63-10EE-4CF1-8640-97D43944472B}"/>
    <cellStyle name="Normal 8 4 2 2 5 4" xfId="10754" xr:uid="{E2B8E579-25C8-4FD0-AC15-D428A2A1BA3D}"/>
    <cellStyle name="Normal 8 4 2 2 6" xfId="2652" xr:uid="{00000000-0005-0000-0000-0000E21D0000}"/>
    <cellStyle name="Normal 8 4 2 2 6 2" xfId="6935" xr:uid="{00000000-0005-0000-0000-0000E31D0000}"/>
    <cellStyle name="Normal 8 4 2 2 6 2 2" xfId="15385" xr:uid="{7774DD2D-BB5C-497C-A600-0D35811CC876}"/>
    <cellStyle name="Normal 8 4 2 2 6 3" xfId="11167" xr:uid="{2BCB3345-426A-4288-8270-786430858A25}"/>
    <cellStyle name="Normal 8 4 2 2 7" xfId="4870" xr:uid="{00000000-0005-0000-0000-0000E41D0000}"/>
    <cellStyle name="Normal 8 4 2 2 7 2" xfId="13320" xr:uid="{7288C10F-69C9-4CBF-A72D-5F2862471E73}"/>
    <cellStyle name="Normal 8 4 2 2 8" xfId="9102" xr:uid="{5716ABA0-4EC7-4E2F-B687-A49DD679DC30}"/>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3147CCEB-788D-4EF0-BB27-65CC2E5A7284}"/>
    <cellStyle name="Normal 8 4 2 3 2 3" xfId="11659" xr:uid="{8D50A332-51A8-4BB6-9DF4-E55044D793FB}"/>
    <cellStyle name="Normal 8 4 2 3 3" xfId="5282" xr:uid="{00000000-0005-0000-0000-0000E81D0000}"/>
    <cellStyle name="Normal 8 4 2 3 3 2" xfId="13732" xr:uid="{57C1956C-4409-4738-9BB2-B1E2EFF0B28A}"/>
    <cellStyle name="Normal 8 4 2 3 4" xfId="9514" xr:uid="{489B5E57-B609-415F-9AF4-5BDD3B8EC29B}"/>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00FD602E-A2C4-463F-A6EC-4057CE505B55}"/>
    <cellStyle name="Normal 8 4 2 4 2 3" xfId="12072" xr:uid="{CE00B094-8E48-40CB-B357-7FD00F661B46}"/>
    <cellStyle name="Normal 8 4 2 4 3" xfId="5695" xr:uid="{00000000-0005-0000-0000-0000EC1D0000}"/>
    <cellStyle name="Normal 8 4 2 4 3 2" xfId="14145" xr:uid="{5C52A6AE-48AC-42BB-88BD-863D0EB831B1}"/>
    <cellStyle name="Normal 8 4 2 4 4" xfId="9927" xr:uid="{80A525B1-5D10-4986-B1DD-4DBDEE2A9C31}"/>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491FEB53-392A-4FC0-8828-263DB6406823}"/>
    <cellStyle name="Normal 8 4 2 5 2 3" xfId="12485" xr:uid="{B90C80F7-992C-42E5-86FB-9670CF05E056}"/>
    <cellStyle name="Normal 8 4 2 5 3" xfId="6108" xr:uid="{00000000-0005-0000-0000-0000F01D0000}"/>
    <cellStyle name="Normal 8 4 2 5 3 2" xfId="14558" xr:uid="{851DA1E6-71B6-4E91-9BDD-8451540A7B72}"/>
    <cellStyle name="Normal 8 4 2 5 4" xfId="10340" xr:uid="{8F32FD4A-CF90-40A7-9368-F543C27EFCF2}"/>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3F8A9F9B-B073-4318-B240-784E93086C50}"/>
    <cellStyle name="Normal 8 4 2 6 2 3" xfId="12898" xr:uid="{EBC677A5-C626-4003-A9F2-292EDE7F4956}"/>
    <cellStyle name="Normal 8 4 2 6 3" xfId="6521" xr:uid="{00000000-0005-0000-0000-0000F41D0000}"/>
    <cellStyle name="Normal 8 4 2 6 3 2" xfId="14971" xr:uid="{4230B732-F2F7-492F-B05E-4650B282EE9A}"/>
    <cellStyle name="Normal 8 4 2 6 4" xfId="10753" xr:uid="{CF59887C-D5D1-475F-A1D9-B12218F40064}"/>
    <cellStyle name="Normal 8 4 2 7" xfId="2651" xr:uid="{00000000-0005-0000-0000-0000F51D0000}"/>
    <cellStyle name="Normal 8 4 2 7 2" xfId="6934" xr:uid="{00000000-0005-0000-0000-0000F61D0000}"/>
    <cellStyle name="Normal 8 4 2 7 2 2" xfId="15384" xr:uid="{60268BB5-27CC-41E5-A125-FDC1732CD076}"/>
    <cellStyle name="Normal 8 4 2 7 3" xfId="11166" xr:uid="{77E3DBF7-5C7E-490E-930F-250D5AF715D5}"/>
    <cellStyle name="Normal 8 4 2 8" xfId="4869" xr:uid="{00000000-0005-0000-0000-0000F71D0000}"/>
    <cellStyle name="Normal 8 4 2 8 2" xfId="13319" xr:uid="{EDA465CD-CF9F-4D61-A397-702EB2A785E3}"/>
    <cellStyle name="Normal 8 4 2 9" xfId="9101" xr:uid="{A864242E-B556-4F13-BE23-23C04A58022A}"/>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21E5AAC4-4BA6-4722-8499-0F3262239CF7}"/>
    <cellStyle name="Normal 8 4 3 2 2 3" xfId="11661" xr:uid="{20D21534-4FD7-4FC9-9CC8-1165F2FBA015}"/>
    <cellStyle name="Normal 8 4 3 2 3" xfId="5284" xr:uid="{00000000-0005-0000-0000-0000FC1D0000}"/>
    <cellStyle name="Normal 8 4 3 2 3 2" xfId="13734" xr:uid="{9C5FF33C-CAC9-4F81-BBCC-93612CE945C7}"/>
    <cellStyle name="Normal 8 4 3 2 4" xfId="9516" xr:uid="{FDEE5978-6A61-4E9D-AC82-CD2D34AB62B7}"/>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34B71F7A-D49E-47C0-9B70-DDC018A5D2BF}"/>
    <cellStyle name="Normal 8 4 3 3 2 3" xfId="12074" xr:uid="{AAC0F7D4-8320-4187-A068-94523135DA9C}"/>
    <cellStyle name="Normal 8 4 3 3 3" xfId="5697" xr:uid="{00000000-0005-0000-0000-0000001E0000}"/>
    <cellStyle name="Normal 8 4 3 3 3 2" xfId="14147" xr:uid="{539778A3-A4B7-41CF-A514-95DD78EE73D4}"/>
    <cellStyle name="Normal 8 4 3 3 4" xfId="9929" xr:uid="{B19B37DD-1FCD-4762-8276-29B2F3C8F3D6}"/>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58124F6A-F1A9-4D76-BF16-2D43A82B03B2}"/>
    <cellStyle name="Normal 8 4 3 4 2 3" xfId="12487" xr:uid="{27B32662-AB25-41B4-A9E3-98A286E36691}"/>
    <cellStyle name="Normal 8 4 3 4 3" xfId="6110" xr:uid="{00000000-0005-0000-0000-0000041E0000}"/>
    <cellStyle name="Normal 8 4 3 4 3 2" xfId="14560" xr:uid="{02C93A94-51C4-4C64-ABDE-B93D9C79DFE7}"/>
    <cellStyle name="Normal 8 4 3 4 4" xfId="10342" xr:uid="{8BF0BD92-23D3-4E9A-A68D-D67E5C9BAF5E}"/>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3303445D-B863-449C-B45C-69EF1DF7998F}"/>
    <cellStyle name="Normal 8 4 3 5 2 3" xfId="12900" xr:uid="{F1A817AC-7E73-4514-B00F-AD59F82021FB}"/>
    <cellStyle name="Normal 8 4 3 5 3" xfId="6523" xr:uid="{00000000-0005-0000-0000-0000081E0000}"/>
    <cellStyle name="Normal 8 4 3 5 3 2" xfId="14973" xr:uid="{6C7A4631-9F77-4D08-A18C-27EEBC8BAD55}"/>
    <cellStyle name="Normal 8 4 3 5 4" xfId="10755" xr:uid="{8B7C328C-819D-440B-85CC-2B3D248ECA42}"/>
    <cellStyle name="Normal 8 4 3 6" xfId="2653" xr:uid="{00000000-0005-0000-0000-0000091E0000}"/>
    <cellStyle name="Normal 8 4 3 6 2" xfId="6936" xr:uid="{00000000-0005-0000-0000-00000A1E0000}"/>
    <cellStyle name="Normal 8 4 3 6 2 2" xfId="15386" xr:uid="{0BB50CF1-E2C0-40D4-8398-253C20F691E3}"/>
    <cellStyle name="Normal 8 4 3 6 3" xfId="11168" xr:uid="{9B9EEA91-FDD9-444F-BC8C-8395C4AA152F}"/>
    <cellStyle name="Normal 8 4 3 7" xfId="4871" xr:uid="{00000000-0005-0000-0000-00000B1E0000}"/>
    <cellStyle name="Normal 8 4 3 7 2" xfId="13321" xr:uid="{16208191-B829-4E3E-85E5-42D7516D533E}"/>
    <cellStyle name="Normal 8 4 3 8" xfId="9103" xr:uid="{CEF1F82D-B9FC-4919-801B-23AF1032A12B}"/>
    <cellStyle name="Normal 8 4 4" xfId="970" xr:uid="{00000000-0005-0000-0000-00000C1E0000}"/>
    <cellStyle name="Normal 8 4 4 2" xfId="3204" xr:uid="{00000000-0005-0000-0000-00000D1E0000}"/>
    <cellStyle name="Normal 8 4 4 2 2" xfId="7426" xr:uid="{00000000-0005-0000-0000-00000E1E0000}"/>
    <cellStyle name="Normal 8 4 4 2 2 2" xfId="15876" xr:uid="{93C259C6-BE44-4B5A-97A5-01A5120B7913}"/>
    <cellStyle name="Normal 8 4 4 2 3" xfId="11658" xr:uid="{C7A46263-0861-4C34-8EDB-2DBB183264E4}"/>
    <cellStyle name="Normal 8 4 4 3" xfId="5281" xr:uid="{00000000-0005-0000-0000-00000F1E0000}"/>
    <cellStyle name="Normal 8 4 4 3 2" xfId="13731" xr:uid="{4F8A5803-931E-4CC7-BD5D-9EA5EA2D0226}"/>
    <cellStyle name="Normal 8 4 4 4" xfId="9513" xr:uid="{FC1BA53C-571A-4957-A598-202258B34301}"/>
    <cellStyle name="Normal 8 4 5" xfId="1387" xr:uid="{00000000-0005-0000-0000-0000101E0000}"/>
    <cellStyle name="Normal 8 4 5 2" xfId="3617" xr:uid="{00000000-0005-0000-0000-0000111E0000}"/>
    <cellStyle name="Normal 8 4 5 2 2" xfId="7839" xr:uid="{00000000-0005-0000-0000-0000121E0000}"/>
    <cellStyle name="Normal 8 4 5 2 2 2" xfId="16289" xr:uid="{E2E3387E-FC09-463F-8F7F-D56195B81CE3}"/>
    <cellStyle name="Normal 8 4 5 2 3" xfId="12071" xr:uid="{22BE67F4-178F-4668-B236-676443ECD771}"/>
    <cellStyle name="Normal 8 4 5 3" xfId="5694" xr:uid="{00000000-0005-0000-0000-0000131E0000}"/>
    <cellStyle name="Normal 8 4 5 3 2" xfId="14144" xr:uid="{4CE0577D-35C0-4FC5-83BC-BCA4FE33C0EE}"/>
    <cellStyle name="Normal 8 4 5 4" xfId="9926" xr:uid="{21EB1366-D794-44C1-82DB-6A8B0379364B}"/>
    <cellStyle name="Normal 8 4 6" xfId="1800" xr:uid="{00000000-0005-0000-0000-0000141E0000}"/>
    <cellStyle name="Normal 8 4 6 2" xfId="4030" xr:uid="{00000000-0005-0000-0000-0000151E0000}"/>
    <cellStyle name="Normal 8 4 6 2 2" xfId="8252" xr:uid="{00000000-0005-0000-0000-0000161E0000}"/>
    <cellStyle name="Normal 8 4 6 2 2 2" xfId="16702" xr:uid="{EE60F557-7D42-4ED5-A149-5CBC77FB4A56}"/>
    <cellStyle name="Normal 8 4 6 2 3" xfId="12484" xr:uid="{BF26EFC7-8F76-4A1E-93C5-D06627E6A474}"/>
    <cellStyle name="Normal 8 4 6 3" xfId="6107" xr:uid="{00000000-0005-0000-0000-0000171E0000}"/>
    <cellStyle name="Normal 8 4 6 3 2" xfId="14557" xr:uid="{60AC22A1-82CE-42BB-B90F-10E34A3B3A62}"/>
    <cellStyle name="Normal 8 4 6 4" xfId="10339" xr:uid="{78FAD9A4-37D3-483B-AAE1-487E6D9B464C}"/>
    <cellStyle name="Normal 8 4 7" xfId="2214" xr:uid="{00000000-0005-0000-0000-0000181E0000}"/>
    <cellStyle name="Normal 8 4 7 2" xfId="4443" xr:uid="{00000000-0005-0000-0000-0000191E0000}"/>
    <cellStyle name="Normal 8 4 7 2 2" xfId="8665" xr:uid="{00000000-0005-0000-0000-00001A1E0000}"/>
    <cellStyle name="Normal 8 4 7 2 2 2" xfId="17115" xr:uid="{E6A4C1A5-807E-430E-A081-DD480EC9C09F}"/>
    <cellStyle name="Normal 8 4 7 2 3" xfId="12897" xr:uid="{97E4E780-1CC9-4CCD-9C75-3FBFD7046278}"/>
    <cellStyle name="Normal 8 4 7 3" xfId="6520" xr:uid="{00000000-0005-0000-0000-00001B1E0000}"/>
    <cellStyle name="Normal 8 4 7 3 2" xfId="14970" xr:uid="{F447D87C-413E-4F1D-9E4B-1D1C759664FA}"/>
    <cellStyle name="Normal 8 4 7 4" xfId="10752" xr:uid="{1EFCE9CE-FF49-48DF-92C3-4F0B69BD7D86}"/>
    <cellStyle name="Normal 8 4 8" xfId="2650" xr:uid="{00000000-0005-0000-0000-00001C1E0000}"/>
    <cellStyle name="Normal 8 4 8 2" xfId="6933" xr:uid="{00000000-0005-0000-0000-00001D1E0000}"/>
    <cellStyle name="Normal 8 4 8 2 2" xfId="15383" xr:uid="{E4F11711-F9AB-4046-AAEB-C23FA374A167}"/>
    <cellStyle name="Normal 8 4 8 3" xfId="11165" xr:uid="{221D17FB-E820-426E-9FEF-03C089085275}"/>
    <cellStyle name="Normal 8 4 9" xfId="4868" xr:uid="{00000000-0005-0000-0000-00001E1E0000}"/>
    <cellStyle name="Normal 8 4 9 2" xfId="13318" xr:uid="{D4690B61-C3A2-400B-A7AA-D7B63CABEA87}"/>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2079D03E-43EE-4190-A803-F13A0D07AC2C}"/>
    <cellStyle name="Normal 8 5 2 2 2 3" xfId="11663" xr:uid="{78C585A4-8B51-4F15-ABBB-687F0F477DBE}"/>
    <cellStyle name="Normal 8 5 2 2 3" xfId="5286" xr:uid="{00000000-0005-0000-0000-0000241E0000}"/>
    <cellStyle name="Normal 8 5 2 2 3 2" xfId="13736" xr:uid="{F632F4BE-B5DC-493C-8245-BBB7D9D30C93}"/>
    <cellStyle name="Normal 8 5 2 2 4" xfId="9518" xr:uid="{6D384334-93BC-4AF3-BA39-56507B4F549B}"/>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A0B0F6A6-B09F-4B23-AF37-DDA192A4DE45}"/>
    <cellStyle name="Normal 8 5 2 3 2 3" xfId="12076" xr:uid="{D45B4607-554F-45F0-B3D9-A2FF34C99BA1}"/>
    <cellStyle name="Normal 8 5 2 3 3" xfId="5699" xr:uid="{00000000-0005-0000-0000-0000281E0000}"/>
    <cellStyle name="Normal 8 5 2 3 3 2" xfId="14149" xr:uid="{532CD868-1980-4FD6-8B9E-28522B1B20EA}"/>
    <cellStyle name="Normal 8 5 2 3 4" xfId="9931" xr:uid="{1104DD69-D10E-48BA-A642-A16AFFD9722E}"/>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A06AF340-C3AE-4278-AF97-09D01A4D7EC7}"/>
    <cellStyle name="Normal 8 5 2 4 2 3" xfId="12489" xr:uid="{86CDA37F-A175-46CE-81B8-8D17D2C2655D}"/>
    <cellStyle name="Normal 8 5 2 4 3" xfId="6112" xr:uid="{00000000-0005-0000-0000-00002C1E0000}"/>
    <cellStyle name="Normal 8 5 2 4 3 2" xfId="14562" xr:uid="{D233D62D-B92F-4543-A31D-0A7B91006EB6}"/>
    <cellStyle name="Normal 8 5 2 4 4" xfId="10344" xr:uid="{CF5A40C1-14A3-48B1-B371-E79359F65711}"/>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57785309-8BFF-4907-88EA-7811964662F0}"/>
    <cellStyle name="Normal 8 5 2 5 2 3" xfId="12902" xr:uid="{035592E9-6240-4F77-A463-AB2FD3C68570}"/>
    <cellStyle name="Normal 8 5 2 5 3" xfId="6525" xr:uid="{00000000-0005-0000-0000-0000301E0000}"/>
    <cellStyle name="Normal 8 5 2 5 3 2" xfId="14975" xr:uid="{5C5EF74D-42A6-4BBC-B99F-C2626A0B2255}"/>
    <cellStyle name="Normal 8 5 2 5 4" xfId="10757" xr:uid="{68648CB0-A425-4813-998E-F5F488945172}"/>
    <cellStyle name="Normal 8 5 2 6" xfId="2655" xr:uid="{00000000-0005-0000-0000-0000311E0000}"/>
    <cellStyle name="Normal 8 5 2 6 2" xfId="6938" xr:uid="{00000000-0005-0000-0000-0000321E0000}"/>
    <cellStyle name="Normal 8 5 2 6 2 2" xfId="15388" xr:uid="{0A3DD69E-938A-4E1A-A66D-08FCB7221909}"/>
    <cellStyle name="Normal 8 5 2 6 3" xfId="11170" xr:uid="{BE067DFB-FA0E-4FCF-A391-3F225880537F}"/>
    <cellStyle name="Normal 8 5 2 7" xfId="4873" xr:uid="{00000000-0005-0000-0000-0000331E0000}"/>
    <cellStyle name="Normal 8 5 2 7 2" xfId="13323" xr:uid="{BE3DED46-C24B-4B09-8A06-32168E1D1BEE}"/>
    <cellStyle name="Normal 8 5 2 8" xfId="9105" xr:uid="{CF5DB831-B13B-4CEC-9715-960FA048C701}"/>
    <cellStyle name="Normal 8 5 3" xfId="974" xr:uid="{00000000-0005-0000-0000-0000341E0000}"/>
    <cellStyle name="Normal 8 5 3 2" xfId="3208" xr:uid="{00000000-0005-0000-0000-0000351E0000}"/>
    <cellStyle name="Normal 8 5 3 2 2" xfId="7430" xr:uid="{00000000-0005-0000-0000-0000361E0000}"/>
    <cellStyle name="Normal 8 5 3 2 2 2" xfId="15880" xr:uid="{9C58A40B-FE45-4335-98A1-E2585ACFACC3}"/>
    <cellStyle name="Normal 8 5 3 2 3" xfId="11662" xr:uid="{5085FE7A-0447-4022-8A84-8F4DF82902A3}"/>
    <cellStyle name="Normal 8 5 3 3" xfId="5285" xr:uid="{00000000-0005-0000-0000-0000371E0000}"/>
    <cellStyle name="Normal 8 5 3 3 2" xfId="13735" xr:uid="{ED8003C3-F6BC-451D-9242-20D781AAF087}"/>
    <cellStyle name="Normal 8 5 3 4" xfId="9517" xr:uid="{3FF6B525-BA78-4572-AE92-84F20857772B}"/>
    <cellStyle name="Normal 8 5 4" xfId="1391" xr:uid="{00000000-0005-0000-0000-0000381E0000}"/>
    <cellStyle name="Normal 8 5 4 2" xfId="3621" xr:uid="{00000000-0005-0000-0000-0000391E0000}"/>
    <cellStyle name="Normal 8 5 4 2 2" xfId="7843" xr:uid="{00000000-0005-0000-0000-00003A1E0000}"/>
    <cellStyle name="Normal 8 5 4 2 2 2" xfId="16293" xr:uid="{8700A668-C887-411A-9377-546E16B40D4A}"/>
    <cellStyle name="Normal 8 5 4 2 3" xfId="12075" xr:uid="{7EDF1522-89B2-42EE-8CD2-842EBC757DBD}"/>
    <cellStyle name="Normal 8 5 4 3" xfId="5698" xr:uid="{00000000-0005-0000-0000-00003B1E0000}"/>
    <cellStyle name="Normal 8 5 4 3 2" xfId="14148" xr:uid="{A11A9860-F143-4FED-AD36-5C0AD47ED76A}"/>
    <cellStyle name="Normal 8 5 4 4" xfId="9930" xr:uid="{5A7E3F89-1DC0-40F9-AA22-6437D528D0E1}"/>
    <cellStyle name="Normal 8 5 5" xfId="1804" xr:uid="{00000000-0005-0000-0000-00003C1E0000}"/>
    <cellStyle name="Normal 8 5 5 2" xfId="4034" xr:uid="{00000000-0005-0000-0000-00003D1E0000}"/>
    <cellStyle name="Normal 8 5 5 2 2" xfId="8256" xr:uid="{00000000-0005-0000-0000-00003E1E0000}"/>
    <cellStyle name="Normal 8 5 5 2 2 2" xfId="16706" xr:uid="{07ABC2DD-5E13-41BF-90D3-0E4F3F16D940}"/>
    <cellStyle name="Normal 8 5 5 2 3" xfId="12488" xr:uid="{D479CD39-3CB2-4AC1-9871-C8E49DB38EA8}"/>
    <cellStyle name="Normal 8 5 5 3" xfId="6111" xr:uid="{00000000-0005-0000-0000-00003F1E0000}"/>
    <cellStyle name="Normal 8 5 5 3 2" xfId="14561" xr:uid="{C12BAB8B-D80B-4866-92EB-59A2701E1D0D}"/>
    <cellStyle name="Normal 8 5 5 4" xfId="10343" xr:uid="{CC5C3C08-C26F-4714-92F9-439E379E8B80}"/>
    <cellStyle name="Normal 8 5 6" xfId="2218" xr:uid="{00000000-0005-0000-0000-0000401E0000}"/>
    <cellStyle name="Normal 8 5 6 2" xfId="4447" xr:uid="{00000000-0005-0000-0000-0000411E0000}"/>
    <cellStyle name="Normal 8 5 6 2 2" xfId="8669" xr:uid="{00000000-0005-0000-0000-0000421E0000}"/>
    <cellStyle name="Normal 8 5 6 2 2 2" xfId="17119" xr:uid="{967181CE-2B34-4996-8117-D7ACE805B961}"/>
    <cellStyle name="Normal 8 5 6 2 3" xfId="12901" xr:uid="{935E56F7-C4AE-41B3-8D11-74DFA2A4DB4C}"/>
    <cellStyle name="Normal 8 5 6 3" xfId="6524" xr:uid="{00000000-0005-0000-0000-0000431E0000}"/>
    <cellStyle name="Normal 8 5 6 3 2" xfId="14974" xr:uid="{AAEBCFCF-81AA-4B70-B0C7-78B0B9F324EE}"/>
    <cellStyle name="Normal 8 5 6 4" xfId="10756" xr:uid="{D48FEF50-1DF1-4E7A-BB4F-213C90323623}"/>
    <cellStyle name="Normal 8 5 7" xfId="2654" xr:uid="{00000000-0005-0000-0000-0000441E0000}"/>
    <cellStyle name="Normal 8 5 7 2" xfId="6937" xr:uid="{00000000-0005-0000-0000-0000451E0000}"/>
    <cellStyle name="Normal 8 5 7 2 2" xfId="15387" xr:uid="{ABA3D23B-F9AF-4800-9117-EE20AD495147}"/>
    <cellStyle name="Normal 8 5 7 3" xfId="11169" xr:uid="{F3FCF749-A5C0-4744-95F9-E3AF61B45AC0}"/>
    <cellStyle name="Normal 8 5 8" xfId="4872" xr:uid="{00000000-0005-0000-0000-0000461E0000}"/>
    <cellStyle name="Normal 8 5 8 2" xfId="13322" xr:uid="{976C3D85-3D4D-45D5-850F-ADA67A66298D}"/>
    <cellStyle name="Normal 8 5 9" xfId="9104" xr:uid="{2ADB7007-9EAC-4EA7-BA89-5EE264A10004}"/>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A8AB00A3-E7AA-43B8-A663-0E10EAB4FAF2}"/>
    <cellStyle name="Normal 8 6 2 2 3" xfId="11664" xr:uid="{2857C26B-ECD5-4FCC-AFC9-436BA6AD72C3}"/>
    <cellStyle name="Normal 8 6 2 3" xfId="5287" xr:uid="{00000000-0005-0000-0000-00004B1E0000}"/>
    <cellStyle name="Normal 8 6 2 3 2" xfId="13737" xr:uid="{221E481E-FB35-47E9-BE3F-626F1B49D118}"/>
    <cellStyle name="Normal 8 6 2 4" xfId="9519" xr:uid="{E17B042B-5DEC-4D14-9C4D-B5199A5C9F6A}"/>
    <cellStyle name="Normal 8 6 3" xfId="1393" xr:uid="{00000000-0005-0000-0000-00004C1E0000}"/>
    <cellStyle name="Normal 8 6 3 2" xfId="3623" xr:uid="{00000000-0005-0000-0000-00004D1E0000}"/>
    <cellStyle name="Normal 8 6 3 2 2" xfId="7845" xr:uid="{00000000-0005-0000-0000-00004E1E0000}"/>
    <cellStyle name="Normal 8 6 3 2 2 2" xfId="16295" xr:uid="{54ED43C3-6DC1-42BE-9446-56B26B1108E5}"/>
    <cellStyle name="Normal 8 6 3 2 3" xfId="12077" xr:uid="{EA98BB0C-A6C7-4F9B-B2CC-9CABF307B3B7}"/>
    <cellStyle name="Normal 8 6 3 3" xfId="5700" xr:uid="{00000000-0005-0000-0000-00004F1E0000}"/>
    <cellStyle name="Normal 8 6 3 3 2" xfId="14150" xr:uid="{54D077A9-1348-4902-B616-431A74743ACD}"/>
    <cellStyle name="Normal 8 6 3 4" xfId="9932" xr:uid="{BAAA8F6B-B609-4B3F-AA26-323A2E02ADF2}"/>
    <cellStyle name="Normal 8 6 4" xfId="1806" xr:uid="{00000000-0005-0000-0000-0000501E0000}"/>
    <cellStyle name="Normal 8 6 4 2" xfId="4036" xr:uid="{00000000-0005-0000-0000-0000511E0000}"/>
    <cellStyle name="Normal 8 6 4 2 2" xfId="8258" xr:uid="{00000000-0005-0000-0000-0000521E0000}"/>
    <cellStyle name="Normal 8 6 4 2 2 2" xfId="16708" xr:uid="{E090E5DD-C52F-4EDC-B3EC-30D6ADDF3D1A}"/>
    <cellStyle name="Normal 8 6 4 2 3" xfId="12490" xr:uid="{4C51DA4E-8847-4E6B-A0A6-8DB9F06AE290}"/>
    <cellStyle name="Normal 8 6 4 3" xfId="6113" xr:uid="{00000000-0005-0000-0000-0000531E0000}"/>
    <cellStyle name="Normal 8 6 4 3 2" xfId="14563" xr:uid="{51BCEDA8-7EA6-40F3-B319-C33941D99128}"/>
    <cellStyle name="Normal 8 6 4 4" xfId="10345" xr:uid="{185E51D8-99C5-4F7C-8549-B6AB9B17B4DD}"/>
    <cellStyle name="Normal 8 6 5" xfId="2220" xr:uid="{00000000-0005-0000-0000-0000541E0000}"/>
    <cellStyle name="Normal 8 6 5 2" xfId="4449" xr:uid="{00000000-0005-0000-0000-0000551E0000}"/>
    <cellStyle name="Normal 8 6 5 2 2" xfId="8671" xr:uid="{00000000-0005-0000-0000-0000561E0000}"/>
    <cellStyle name="Normal 8 6 5 2 2 2" xfId="17121" xr:uid="{7CE1D4FF-FA95-49D8-98DD-A39E05236E3A}"/>
    <cellStyle name="Normal 8 6 5 2 3" xfId="12903" xr:uid="{39BF28C0-09E0-4A09-B667-F41BE5725446}"/>
    <cellStyle name="Normal 8 6 5 3" xfId="6526" xr:uid="{00000000-0005-0000-0000-0000571E0000}"/>
    <cellStyle name="Normal 8 6 5 3 2" xfId="14976" xr:uid="{280C1135-54AA-4EE9-9C64-969B80234098}"/>
    <cellStyle name="Normal 8 6 5 4" xfId="10758" xr:uid="{052AB092-37BD-4DF6-BBB7-275CEEF641A7}"/>
    <cellStyle name="Normal 8 6 6" xfId="2656" xr:uid="{00000000-0005-0000-0000-0000581E0000}"/>
    <cellStyle name="Normal 8 6 6 2" xfId="6939" xr:uid="{00000000-0005-0000-0000-0000591E0000}"/>
    <cellStyle name="Normal 8 6 6 2 2" xfId="15389" xr:uid="{A9983D8B-086D-42F8-A853-342695B27BCF}"/>
    <cellStyle name="Normal 8 6 6 3" xfId="11171" xr:uid="{E3728000-B222-49B6-83A1-477F445CFBF6}"/>
    <cellStyle name="Normal 8 6 7" xfId="4874" xr:uid="{00000000-0005-0000-0000-00005A1E0000}"/>
    <cellStyle name="Normal 8 6 7 2" xfId="13324" xr:uid="{4932D9FE-40EC-4405-A8D9-4F2A71436BFB}"/>
    <cellStyle name="Normal 8 6 8" xfId="9106" xr:uid="{5918FD44-EE1F-4A2F-90F5-30F876FDC52E}"/>
    <cellStyle name="Normal 8 7" xfId="945" xr:uid="{00000000-0005-0000-0000-00005B1E0000}"/>
    <cellStyle name="Normal 8 7 2" xfId="3179" xr:uid="{00000000-0005-0000-0000-00005C1E0000}"/>
    <cellStyle name="Normal 8 7 2 2" xfId="7401" xr:uid="{00000000-0005-0000-0000-00005D1E0000}"/>
    <cellStyle name="Normal 8 7 2 2 2" xfId="15851" xr:uid="{A6EBB884-8A1B-4B01-A3EE-6A098108E518}"/>
    <cellStyle name="Normal 8 7 2 3" xfId="11633" xr:uid="{147323F1-5A6F-4D00-BD57-F0157D3A3D34}"/>
    <cellStyle name="Normal 8 7 3" xfId="5256" xr:uid="{00000000-0005-0000-0000-00005E1E0000}"/>
    <cellStyle name="Normal 8 7 3 2" xfId="13706" xr:uid="{C09423A9-0650-4436-B30B-15D7FCEB06E1}"/>
    <cellStyle name="Normal 8 7 4" xfId="9488" xr:uid="{6BC47D91-82C6-4A29-B192-C66EA0F4FF43}"/>
    <cellStyle name="Normal 8 8" xfId="1362" xr:uid="{00000000-0005-0000-0000-00005F1E0000}"/>
    <cellStyle name="Normal 8 8 2" xfId="3592" xr:uid="{00000000-0005-0000-0000-0000601E0000}"/>
    <cellStyle name="Normal 8 8 2 2" xfId="7814" xr:uid="{00000000-0005-0000-0000-0000611E0000}"/>
    <cellStyle name="Normal 8 8 2 2 2" xfId="16264" xr:uid="{4C1D2CA4-7139-4A14-B016-F6B8BC9FE922}"/>
    <cellStyle name="Normal 8 8 2 3" xfId="12046" xr:uid="{647DA314-4F41-4EA6-9748-228BB32E3838}"/>
    <cellStyle name="Normal 8 8 3" xfId="5669" xr:uid="{00000000-0005-0000-0000-0000621E0000}"/>
    <cellStyle name="Normal 8 8 3 2" xfId="14119" xr:uid="{C1FEC140-1328-4B1C-9838-0D7FBF6ED54E}"/>
    <cellStyle name="Normal 8 8 4" xfId="9901" xr:uid="{591FA918-7796-4B1C-A3A4-9DEB75CDF6BF}"/>
    <cellStyle name="Normal 8 9" xfId="1775" xr:uid="{00000000-0005-0000-0000-0000631E0000}"/>
    <cellStyle name="Normal 8 9 2" xfId="4005" xr:uid="{00000000-0005-0000-0000-0000641E0000}"/>
    <cellStyle name="Normal 8 9 2 2" xfId="8227" xr:uid="{00000000-0005-0000-0000-0000651E0000}"/>
    <cellStyle name="Normal 8 9 2 2 2" xfId="16677" xr:uid="{D0F479F9-FACC-42D5-8246-FA369FB35B9A}"/>
    <cellStyle name="Normal 8 9 2 3" xfId="12459" xr:uid="{15318C22-C384-4636-80E5-312AF11C03FB}"/>
    <cellStyle name="Normal 8 9 3" xfId="6082" xr:uid="{00000000-0005-0000-0000-0000661E0000}"/>
    <cellStyle name="Normal 8 9 3 2" xfId="14532" xr:uid="{36262C61-3947-4D52-967C-79AF9309C9F3}"/>
    <cellStyle name="Normal 8 9 4" xfId="10314" xr:uid="{3DB679E9-D913-4D1B-9EFE-28C17E2FA8E7}"/>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009FC2F9-7712-4F91-8912-86B5895BD253}"/>
    <cellStyle name="Normal 9 2 10 3" xfId="11172" xr:uid="{9DE445E3-A737-497F-B0B9-7A5ECA3E4559}"/>
    <cellStyle name="Normal 9 2 11" xfId="4875" xr:uid="{00000000-0005-0000-0000-00006B1E0000}"/>
    <cellStyle name="Normal 9 2 11 2" xfId="13325" xr:uid="{9536B797-95E2-4C08-B657-E93FA28B4193}"/>
    <cellStyle name="Normal 9 2 12" xfId="9107" xr:uid="{F85AD763-B1F5-4B98-A91C-482717CA6F9F}"/>
    <cellStyle name="Normal 9 2 2" xfId="512" xr:uid="{00000000-0005-0000-0000-00006C1E0000}"/>
    <cellStyle name="Normal 9 2 2 10" xfId="4876" xr:uid="{00000000-0005-0000-0000-00006D1E0000}"/>
    <cellStyle name="Normal 9 2 2 10 2" xfId="13326" xr:uid="{4D3C6472-F26C-48DA-8932-A5CF92181410}"/>
    <cellStyle name="Normal 9 2 2 11" xfId="9108" xr:uid="{D85CAEDD-9C5C-4611-BB0E-C5FCEC524839}"/>
    <cellStyle name="Normal 9 2 2 2" xfId="513" xr:uid="{00000000-0005-0000-0000-00006E1E0000}"/>
    <cellStyle name="Normal 9 2 2 2 10" xfId="9109" xr:uid="{C6640616-85D3-4C39-8516-13A72FF93046}"/>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98936CB4-D6F6-4DA0-A7CC-60A183A7095C}"/>
    <cellStyle name="Normal 9 2 2 2 2 2 2 2 3" xfId="11669" xr:uid="{5C252B7B-9281-492A-AD07-538A56C3B2BE}"/>
    <cellStyle name="Normal 9 2 2 2 2 2 2 3" xfId="5292" xr:uid="{00000000-0005-0000-0000-0000741E0000}"/>
    <cellStyle name="Normal 9 2 2 2 2 2 2 3 2" xfId="13742" xr:uid="{039C7927-7B69-46CB-968D-51BCD5AE1343}"/>
    <cellStyle name="Normal 9 2 2 2 2 2 2 4" xfId="9524" xr:uid="{78B350F1-C9AC-44DD-9B80-365AEC373DC3}"/>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7D3D8D9C-9A32-499A-9F66-EB400607E055}"/>
    <cellStyle name="Normal 9 2 2 2 2 2 3 2 3" xfId="12082" xr:uid="{40507716-5119-4AAB-A40D-0580C2AE768D}"/>
    <cellStyle name="Normal 9 2 2 2 2 2 3 3" xfId="5705" xr:uid="{00000000-0005-0000-0000-0000781E0000}"/>
    <cellStyle name="Normal 9 2 2 2 2 2 3 3 2" xfId="14155" xr:uid="{AF7B6FB3-7B78-4684-80CA-8C96C9919545}"/>
    <cellStyle name="Normal 9 2 2 2 2 2 3 4" xfId="9937" xr:uid="{BAC97815-09F4-4AA7-9C92-AF95E1395A38}"/>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494127FD-7327-438B-8236-2E7113B33C09}"/>
    <cellStyle name="Normal 9 2 2 2 2 2 4 2 3" xfId="12495" xr:uid="{15EC2C42-8B7C-4777-9CA1-2978AE032727}"/>
    <cellStyle name="Normal 9 2 2 2 2 2 4 3" xfId="6118" xr:uid="{00000000-0005-0000-0000-00007C1E0000}"/>
    <cellStyle name="Normal 9 2 2 2 2 2 4 3 2" xfId="14568" xr:uid="{974BCB31-514B-415F-B83C-C780934F2DFB}"/>
    <cellStyle name="Normal 9 2 2 2 2 2 4 4" xfId="10350" xr:uid="{A4136FD3-ED4C-49CD-9436-4F1E4CD69793}"/>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96A97510-3283-4CB6-9D89-1D10DFA4A1B3}"/>
    <cellStyle name="Normal 9 2 2 2 2 2 5 2 3" xfId="12908" xr:uid="{F9BEA2CF-17BC-4B17-A1B9-89F6385D60D1}"/>
    <cellStyle name="Normal 9 2 2 2 2 2 5 3" xfId="6531" xr:uid="{00000000-0005-0000-0000-0000801E0000}"/>
    <cellStyle name="Normal 9 2 2 2 2 2 5 3 2" xfId="14981" xr:uid="{713F7BE1-9407-4F2A-B74B-BDEDB3F76A8C}"/>
    <cellStyle name="Normal 9 2 2 2 2 2 5 4" xfId="10763" xr:uid="{8D5CFF5C-2DC0-448F-B601-905850EA5618}"/>
    <cellStyle name="Normal 9 2 2 2 2 2 6" xfId="2661" xr:uid="{00000000-0005-0000-0000-0000811E0000}"/>
    <cellStyle name="Normal 9 2 2 2 2 2 6 2" xfId="6944" xr:uid="{00000000-0005-0000-0000-0000821E0000}"/>
    <cellStyle name="Normal 9 2 2 2 2 2 6 2 2" xfId="15394" xr:uid="{F19711C7-5A63-4FBA-A3F7-C4DDDF89E965}"/>
    <cellStyle name="Normal 9 2 2 2 2 2 6 3" xfId="11176" xr:uid="{CB8349AE-DB1F-46CF-B299-CC9324D2B089}"/>
    <cellStyle name="Normal 9 2 2 2 2 2 7" xfId="4879" xr:uid="{00000000-0005-0000-0000-0000831E0000}"/>
    <cellStyle name="Normal 9 2 2 2 2 2 7 2" xfId="13329" xr:uid="{A7B6DD59-0A54-4BE1-AD5F-D9A4A36815FD}"/>
    <cellStyle name="Normal 9 2 2 2 2 2 8" xfId="9111" xr:uid="{435AD8CC-DA32-4FB4-A9A2-3DEE7FAE4E27}"/>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3879BC22-7587-4A5C-9CD6-FF2B19B70FCA}"/>
    <cellStyle name="Normal 9 2 2 2 2 3 2 3" xfId="11668" xr:uid="{E8BB7407-1073-45B1-BD08-B16CC2F960E0}"/>
    <cellStyle name="Normal 9 2 2 2 2 3 3" xfId="5291" xr:uid="{00000000-0005-0000-0000-0000871E0000}"/>
    <cellStyle name="Normal 9 2 2 2 2 3 3 2" xfId="13741" xr:uid="{F487257C-1B44-4680-8CDD-6D0C36E32601}"/>
    <cellStyle name="Normal 9 2 2 2 2 3 4" xfId="9523" xr:uid="{6306CCDE-D86D-4683-A9F9-CF1B93D93203}"/>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51F2AD04-7C52-47B7-926C-AB611993D474}"/>
    <cellStyle name="Normal 9 2 2 2 2 4 2 3" xfId="12081" xr:uid="{D6042AE2-0597-4335-9CC9-87BEB79C0003}"/>
    <cellStyle name="Normal 9 2 2 2 2 4 3" xfId="5704" xr:uid="{00000000-0005-0000-0000-00008B1E0000}"/>
    <cellStyle name="Normal 9 2 2 2 2 4 3 2" xfId="14154" xr:uid="{2FBF936B-07AB-4DA2-B3AE-851CF4DA3531}"/>
    <cellStyle name="Normal 9 2 2 2 2 4 4" xfId="9936" xr:uid="{4C3CF991-6F5B-493C-AAD4-703F44B9604C}"/>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49E8EFEB-49F0-4DB5-9D2C-0DE879C430B4}"/>
    <cellStyle name="Normal 9 2 2 2 2 5 2 3" xfId="12494" xr:uid="{A1A74D57-775D-47F6-B218-6D4DB5762DB2}"/>
    <cellStyle name="Normal 9 2 2 2 2 5 3" xfId="6117" xr:uid="{00000000-0005-0000-0000-00008F1E0000}"/>
    <cellStyle name="Normal 9 2 2 2 2 5 3 2" xfId="14567" xr:uid="{8EDC0C2B-AA6E-4CD8-88E3-B438690222C9}"/>
    <cellStyle name="Normal 9 2 2 2 2 5 4" xfId="10349" xr:uid="{A86F4C39-BA6B-4230-BEB2-1A7BA654123D}"/>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DCEF93FB-40A1-4A13-9739-D6C43B084690}"/>
    <cellStyle name="Normal 9 2 2 2 2 6 2 3" xfId="12907" xr:uid="{D7644B79-1AF0-4A2C-B540-09A8BD2CC358}"/>
    <cellStyle name="Normal 9 2 2 2 2 6 3" xfId="6530" xr:uid="{00000000-0005-0000-0000-0000931E0000}"/>
    <cellStyle name="Normal 9 2 2 2 2 6 3 2" xfId="14980" xr:uid="{932914C7-C5E0-4A37-9D7E-2F240E6F6C02}"/>
    <cellStyle name="Normal 9 2 2 2 2 6 4" xfId="10762" xr:uid="{3D7DE09E-53EA-4C6C-9B94-7B442395CCB3}"/>
    <cellStyle name="Normal 9 2 2 2 2 7" xfId="2660" xr:uid="{00000000-0005-0000-0000-0000941E0000}"/>
    <cellStyle name="Normal 9 2 2 2 2 7 2" xfId="6943" xr:uid="{00000000-0005-0000-0000-0000951E0000}"/>
    <cellStyle name="Normal 9 2 2 2 2 7 2 2" xfId="15393" xr:uid="{0CE538DF-033F-47A9-9612-A97B9F778996}"/>
    <cellStyle name="Normal 9 2 2 2 2 7 3" xfId="11175" xr:uid="{9A6D9D9C-5435-4D47-9956-E19CF07437AC}"/>
    <cellStyle name="Normal 9 2 2 2 2 8" xfId="4878" xr:uid="{00000000-0005-0000-0000-0000961E0000}"/>
    <cellStyle name="Normal 9 2 2 2 2 8 2" xfId="13328" xr:uid="{47960E94-FDF1-4FDB-90D7-B700A649802D}"/>
    <cellStyle name="Normal 9 2 2 2 2 9" xfId="9110" xr:uid="{AB8653C8-FDCD-4AFC-B7F6-F27BA7BDC1AD}"/>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96FA2EF6-0AA3-4EF9-9063-F5696C1515BF}"/>
    <cellStyle name="Normal 9 2 2 2 3 2 2 3" xfId="11670" xr:uid="{A082D0B0-B1C8-45C2-BB9E-8D601463A90F}"/>
    <cellStyle name="Normal 9 2 2 2 3 2 3" xfId="5293" xr:uid="{00000000-0005-0000-0000-00009B1E0000}"/>
    <cellStyle name="Normal 9 2 2 2 3 2 3 2" xfId="13743" xr:uid="{0C47AF0C-5907-4155-9103-0B2F9741756B}"/>
    <cellStyle name="Normal 9 2 2 2 3 2 4" xfId="9525" xr:uid="{A46A5035-BD6A-4C5C-9653-A294A7D7156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D26ADB6F-F44B-4E29-A5E5-161B9805B8BD}"/>
    <cellStyle name="Normal 9 2 2 2 3 3 2 3" xfId="12083" xr:uid="{1A0D0FEF-7734-4EC1-8580-8E1E78D6F800}"/>
    <cellStyle name="Normal 9 2 2 2 3 3 3" xfId="5706" xr:uid="{00000000-0005-0000-0000-00009F1E0000}"/>
    <cellStyle name="Normal 9 2 2 2 3 3 3 2" xfId="14156" xr:uid="{B1560AF9-1615-4F4A-B0F1-9BB556406C5D}"/>
    <cellStyle name="Normal 9 2 2 2 3 3 4" xfId="9938" xr:uid="{025CA9F1-16FA-4AE5-B8BD-33ADA34F7927}"/>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1417F1DC-C3FB-440B-AE1B-890FD5FC7936}"/>
    <cellStyle name="Normal 9 2 2 2 3 4 2 3" xfId="12496" xr:uid="{3DD80276-B522-4D00-8BEA-3C4C388B4F5D}"/>
    <cellStyle name="Normal 9 2 2 2 3 4 3" xfId="6119" xr:uid="{00000000-0005-0000-0000-0000A31E0000}"/>
    <cellStyle name="Normal 9 2 2 2 3 4 3 2" xfId="14569" xr:uid="{C6BF0D6B-CE28-43DB-8DFC-B138B3F6C12A}"/>
    <cellStyle name="Normal 9 2 2 2 3 4 4" xfId="10351" xr:uid="{1600375E-17FA-45E4-A968-15FD20A7ACD7}"/>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AC6797FF-ECDE-4020-88EF-CFE32D94ACB1}"/>
    <cellStyle name="Normal 9 2 2 2 3 5 2 3" xfId="12909" xr:uid="{18187DD9-1CE6-4C20-A7A1-C49C4EC3872C}"/>
    <cellStyle name="Normal 9 2 2 2 3 5 3" xfId="6532" xr:uid="{00000000-0005-0000-0000-0000A71E0000}"/>
    <cellStyle name="Normal 9 2 2 2 3 5 3 2" xfId="14982" xr:uid="{85FB83EA-D025-4A14-A7EA-376AF3219902}"/>
    <cellStyle name="Normal 9 2 2 2 3 5 4" xfId="10764" xr:uid="{3C22A6EB-2579-4D61-BB8B-36E3F253E064}"/>
    <cellStyle name="Normal 9 2 2 2 3 6" xfId="2662" xr:uid="{00000000-0005-0000-0000-0000A81E0000}"/>
    <cellStyle name="Normal 9 2 2 2 3 6 2" xfId="6945" xr:uid="{00000000-0005-0000-0000-0000A91E0000}"/>
    <cellStyle name="Normal 9 2 2 2 3 6 2 2" xfId="15395" xr:uid="{94C6A90C-468E-463E-AE45-0DAB9A02DF3C}"/>
    <cellStyle name="Normal 9 2 2 2 3 6 3" xfId="11177" xr:uid="{846A7AAC-9790-448A-9866-3B910D9475BD}"/>
    <cellStyle name="Normal 9 2 2 2 3 7" xfId="4880" xr:uid="{00000000-0005-0000-0000-0000AA1E0000}"/>
    <cellStyle name="Normal 9 2 2 2 3 7 2" xfId="13330" xr:uid="{58941A31-FCAF-4ACF-9840-58029EF74062}"/>
    <cellStyle name="Normal 9 2 2 2 3 8" xfId="9112" xr:uid="{C685BCF2-84E9-4137-9364-B435D5E9D347}"/>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4651857F-130C-478B-A878-DD5058CBBAC7}"/>
    <cellStyle name="Normal 9 2 2 2 4 2 3" xfId="11667" xr:uid="{B564DCF2-5B29-4597-98CB-7DF6E7B49F73}"/>
    <cellStyle name="Normal 9 2 2 2 4 3" xfId="5290" xr:uid="{00000000-0005-0000-0000-0000AE1E0000}"/>
    <cellStyle name="Normal 9 2 2 2 4 3 2" xfId="13740" xr:uid="{7BB0413E-C7D3-4986-AE21-73F2574F638D}"/>
    <cellStyle name="Normal 9 2 2 2 4 4" xfId="9522" xr:uid="{2F56A06A-1E3F-4094-8DF2-F54D819B9A1E}"/>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957B790E-02F6-4C20-BC65-DFD348BFAD4F}"/>
    <cellStyle name="Normal 9 2 2 2 5 2 3" xfId="12080" xr:uid="{EA502C5F-EFE7-49B5-8FD3-F347774285F0}"/>
    <cellStyle name="Normal 9 2 2 2 5 3" xfId="5703" xr:uid="{00000000-0005-0000-0000-0000B21E0000}"/>
    <cellStyle name="Normal 9 2 2 2 5 3 2" xfId="14153" xr:uid="{7C5BD27E-1F97-42A6-B5AC-62348519B009}"/>
    <cellStyle name="Normal 9 2 2 2 5 4" xfId="9935" xr:uid="{EFAF6A74-90AB-4E67-BE42-B9D2C5B93A71}"/>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0D04DFCB-4BED-481D-8F1B-6E43CFE2382A}"/>
    <cellStyle name="Normal 9 2 2 2 6 2 3" xfId="12493" xr:uid="{2D7CBB12-4ED4-47C8-9918-EC6A96DB1671}"/>
    <cellStyle name="Normal 9 2 2 2 6 3" xfId="6116" xr:uid="{00000000-0005-0000-0000-0000B61E0000}"/>
    <cellStyle name="Normal 9 2 2 2 6 3 2" xfId="14566" xr:uid="{AB4A31B1-6EA0-4906-B0AD-A57D33E5DDD1}"/>
    <cellStyle name="Normal 9 2 2 2 6 4" xfId="10348" xr:uid="{AC14048C-75D7-46C3-B9C2-962524E4BC16}"/>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83F7B591-4F0D-45AB-83A1-21BF9C520096}"/>
    <cellStyle name="Normal 9 2 2 2 7 2 3" xfId="12906" xr:uid="{41BE26AE-02F5-46F2-857C-52B9185504C1}"/>
    <cellStyle name="Normal 9 2 2 2 7 3" xfId="6529" xr:uid="{00000000-0005-0000-0000-0000BA1E0000}"/>
    <cellStyle name="Normal 9 2 2 2 7 3 2" xfId="14979" xr:uid="{2A941F9E-C056-4D25-84C0-14AEF5B08426}"/>
    <cellStyle name="Normal 9 2 2 2 7 4" xfId="10761" xr:uid="{965BE34D-BA88-488F-BE3D-19C9D672FFA9}"/>
    <cellStyle name="Normal 9 2 2 2 8" xfId="2659" xr:uid="{00000000-0005-0000-0000-0000BB1E0000}"/>
    <cellStyle name="Normal 9 2 2 2 8 2" xfId="6942" xr:uid="{00000000-0005-0000-0000-0000BC1E0000}"/>
    <cellStyle name="Normal 9 2 2 2 8 2 2" xfId="15392" xr:uid="{B4D466D0-866D-4311-A69C-F9EBF1013132}"/>
    <cellStyle name="Normal 9 2 2 2 8 3" xfId="11174" xr:uid="{20DB1F21-3936-4FCB-8FF4-81D0D79A7E60}"/>
    <cellStyle name="Normal 9 2 2 2 9" xfId="4877" xr:uid="{00000000-0005-0000-0000-0000BD1E0000}"/>
    <cellStyle name="Normal 9 2 2 2 9 2" xfId="13327" xr:uid="{AE038784-0AB0-4487-B912-9F9E4065A792}"/>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AD5D8EEC-044B-4CE0-B77E-FEBE870A3004}"/>
    <cellStyle name="Normal 9 2 2 3 2 2 2 3" xfId="11672" xr:uid="{FE9FEF77-893F-4426-A096-5C190666E5AA}"/>
    <cellStyle name="Normal 9 2 2 3 2 2 3" xfId="5295" xr:uid="{00000000-0005-0000-0000-0000C31E0000}"/>
    <cellStyle name="Normal 9 2 2 3 2 2 3 2" xfId="13745" xr:uid="{AA69C0CC-97AF-4F8B-9359-1C44ADD567BE}"/>
    <cellStyle name="Normal 9 2 2 3 2 2 4" xfId="9527" xr:uid="{4380A39A-7E65-4B25-A6C7-CACFFB8CD59E}"/>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3DD2F1E5-E0C9-4FCE-9786-0A5FCA7891D3}"/>
    <cellStyle name="Normal 9 2 2 3 2 3 2 3" xfId="12085" xr:uid="{10831573-7B47-4B90-82EA-F5BAC052E4CD}"/>
    <cellStyle name="Normal 9 2 2 3 2 3 3" xfId="5708" xr:uid="{00000000-0005-0000-0000-0000C71E0000}"/>
    <cellStyle name="Normal 9 2 2 3 2 3 3 2" xfId="14158" xr:uid="{399898A5-E046-414E-9221-3644A0F0EE9C}"/>
    <cellStyle name="Normal 9 2 2 3 2 3 4" xfId="9940" xr:uid="{01F9EE75-9F9B-4B54-8C1D-F62659028FC9}"/>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6EDF7F1E-557B-42BD-80DE-0266C17765B7}"/>
    <cellStyle name="Normal 9 2 2 3 2 4 2 3" xfId="12498" xr:uid="{0CAC32A8-FE36-455C-A8BB-4EDD4000E860}"/>
    <cellStyle name="Normal 9 2 2 3 2 4 3" xfId="6121" xr:uid="{00000000-0005-0000-0000-0000CB1E0000}"/>
    <cellStyle name="Normal 9 2 2 3 2 4 3 2" xfId="14571" xr:uid="{1F574C0C-1289-4824-A38B-46EF66230415}"/>
    <cellStyle name="Normal 9 2 2 3 2 4 4" xfId="10353" xr:uid="{B0D61B70-0C89-4316-A9EB-DFA6327B0C09}"/>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38EC107E-6310-4A20-B32E-62BE72318123}"/>
    <cellStyle name="Normal 9 2 2 3 2 5 2 3" xfId="12911" xr:uid="{636EFFA8-AE80-4DB0-BCEE-1DA749CF447E}"/>
    <cellStyle name="Normal 9 2 2 3 2 5 3" xfId="6534" xr:uid="{00000000-0005-0000-0000-0000CF1E0000}"/>
    <cellStyle name="Normal 9 2 2 3 2 5 3 2" xfId="14984" xr:uid="{30EB935F-1809-44FA-8FB0-C2881FF9A8F9}"/>
    <cellStyle name="Normal 9 2 2 3 2 5 4" xfId="10766" xr:uid="{EA54B4F3-AF68-4E31-81F6-666B2A147CAE}"/>
    <cellStyle name="Normal 9 2 2 3 2 6" xfId="2664" xr:uid="{00000000-0005-0000-0000-0000D01E0000}"/>
    <cellStyle name="Normal 9 2 2 3 2 6 2" xfId="6947" xr:uid="{00000000-0005-0000-0000-0000D11E0000}"/>
    <cellStyle name="Normal 9 2 2 3 2 6 2 2" xfId="15397" xr:uid="{26CC850F-53FC-4189-AF03-1253CF76E408}"/>
    <cellStyle name="Normal 9 2 2 3 2 6 3" xfId="11179" xr:uid="{AAE9B0B0-EF24-4A05-9ED9-83A9CD2A0AB9}"/>
    <cellStyle name="Normal 9 2 2 3 2 7" xfId="4882" xr:uid="{00000000-0005-0000-0000-0000D21E0000}"/>
    <cellStyle name="Normal 9 2 2 3 2 7 2" xfId="13332" xr:uid="{F41D9761-4549-4BD6-BDE0-1FF524DBF8EA}"/>
    <cellStyle name="Normal 9 2 2 3 2 8" xfId="9114" xr:uid="{976969E7-DB80-450D-BDBD-C0319B3A7244}"/>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67735C30-1A55-4F89-AE4E-C04AB42C7CB3}"/>
    <cellStyle name="Normal 9 2 2 3 3 2 3" xfId="11671" xr:uid="{39BA52E8-E14F-4392-8C37-E084987F4FCA}"/>
    <cellStyle name="Normal 9 2 2 3 3 3" xfId="5294" xr:uid="{00000000-0005-0000-0000-0000D61E0000}"/>
    <cellStyle name="Normal 9 2 2 3 3 3 2" xfId="13744" xr:uid="{C6383F09-5AEB-49E9-B0D9-A7B9ABED0766}"/>
    <cellStyle name="Normal 9 2 2 3 3 4" xfId="9526" xr:uid="{1D5D7D99-1729-4D20-AABA-99019D00310A}"/>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814A807A-F2EE-4908-A0B8-7B904474A7D4}"/>
    <cellStyle name="Normal 9 2 2 3 4 2 3" xfId="12084" xr:uid="{4BE95C64-986E-4FD0-9DF1-08B8AE03D719}"/>
    <cellStyle name="Normal 9 2 2 3 4 3" xfId="5707" xr:uid="{00000000-0005-0000-0000-0000DA1E0000}"/>
    <cellStyle name="Normal 9 2 2 3 4 3 2" xfId="14157" xr:uid="{9CE26949-967F-4167-BE06-8FE6DA8CC94C}"/>
    <cellStyle name="Normal 9 2 2 3 4 4" xfId="9939" xr:uid="{F9F51A89-E347-4369-B7DB-902352574F58}"/>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EB488899-3413-4CF7-9483-7B26ACDDB1F7}"/>
    <cellStyle name="Normal 9 2 2 3 5 2 3" xfId="12497" xr:uid="{C4EFE6CC-C294-4989-B17B-7BA136036C6B}"/>
    <cellStyle name="Normal 9 2 2 3 5 3" xfId="6120" xr:uid="{00000000-0005-0000-0000-0000DE1E0000}"/>
    <cellStyle name="Normal 9 2 2 3 5 3 2" xfId="14570" xr:uid="{5CE547FB-CA53-4360-8194-19EB198F9F94}"/>
    <cellStyle name="Normal 9 2 2 3 5 4" xfId="10352" xr:uid="{0E09C4C6-FCF1-484D-AD89-8687F96B20F5}"/>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5C342BCA-D214-48AF-A054-2A22BF80F523}"/>
    <cellStyle name="Normal 9 2 2 3 6 2 3" xfId="12910" xr:uid="{7E95B299-0088-44EA-B186-61CEEF6A0E12}"/>
    <cellStyle name="Normal 9 2 2 3 6 3" xfId="6533" xr:uid="{00000000-0005-0000-0000-0000E21E0000}"/>
    <cellStyle name="Normal 9 2 2 3 6 3 2" xfId="14983" xr:uid="{3B4F2B1F-C973-4585-AD2F-914E7FD91895}"/>
    <cellStyle name="Normal 9 2 2 3 6 4" xfId="10765" xr:uid="{257D0030-AF1F-46BB-8C03-0CA91B72F338}"/>
    <cellStyle name="Normal 9 2 2 3 7" xfId="2663" xr:uid="{00000000-0005-0000-0000-0000E31E0000}"/>
    <cellStyle name="Normal 9 2 2 3 7 2" xfId="6946" xr:uid="{00000000-0005-0000-0000-0000E41E0000}"/>
    <cellStyle name="Normal 9 2 2 3 7 2 2" xfId="15396" xr:uid="{57ED66BA-8005-4659-A79A-3977ADD87E7A}"/>
    <cellStyle name="Normal 9 2 2 3 7 3" xfId="11178" xr:uid="{4328F252-59F0-4389-B7C5-993EBE01F63C}"/>
    <cellStyle name="Normal 9 2 2 3 8" xfId="4881" xr:uid="{00000000-0005-0000-0000-0000E51E0000}"/>
    <cellStyle name="Normal 9 2 2 3 8 2" xfId="13331" xr:uid="{BCC2797D-8D16-495B-9AF7-9BBF147CDAE2}"/>
    <cellStyle name="Normal 9 2 2 3 9" xfId="9113" xr:uid="{029B8C89-323E-447B-B4B7-A33FFD980738}"/>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D44E2312-9E09-4A22-8739-F4B039BA3E74}"/>
    <cellStyle name="Normal 9 2 2 4 2 2 3" xfId="11673" xr:uid="{8D312C95-3BB0-414F-B801-8A314A29853E}"/>
    <cellStyle name="Normal 9 2 2 4 2 3" xfId="5296" xr:uid="{00000000-0005-0000-0000-0000EA1E0000}"/>
    <cellStyle name="Normal 9 2 2 4 2 3 2" xfId="13746" xr:uid="{ADB83431-2278-413B-B905-06318D9A0A80}"/>
    <cellStyle name="Normal 9 2 2 4 2 4" xfId="9528" xr:uid="{3A12E450-417B-4160-94A1-B53CB1A04E0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0A4CB986-9129-42EE-9939-E7FF1313F9FB}"/>
    <cellStyle name="Normal 9 2 2 4 3 2 3" xfId="12086" xr:uid="{224644AE-A413-41F7-96C5-93D0CEE73F5E}"/>
    <cellStyle name="Normal 9 2 2 4 3 3" xfId="5709" xr:uid="{00000000-0005-0000-0000-0000EE1E0000}"/>
    <cellStyle name="Normal 9 2 2 4 3 3 2" xfId="14159" xr:uid="{EBE5959B-FE45-4715-8EDA-5805132C9010}"/>
    <cellStyle name="Normal 9 2 2 4 3 4" xfId="9941" xr:uid="{A9A6A956-143A-4CF3-AB20-BE8F0B6A5F80}"/>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48F1DF44-05BC-4B67-9CE5-746E0EAC702C}"/>
    <cellStyle name="Normal 9 2 2 4 4 2 3" xfId="12499" xr:uid="{83365C98-68F4-48CA-8CB6-7B89B220738A}"/>
    <cellStyle name="Normal 9 2 2 4 4 3" xfId="6122" xr:uid="{00000000-0005-0000-0000-0000F21E0000}"/>
    <cellStyle name="Normal 9 2 2 4 4 3 2" xfId="14572" xr:uid="{6AA9A754-5F11-452E-BA5C-3587713B0689}"/>
    <cellStyle name="Normal 9 2 2 4 4 4" xfId="10354" xr:uid="{B78F23B0-DDE3-4216-8FD6-A519766425C7}"/>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C32CD1AE-A54D-4CC1-B7B9-0EDA79C2E7E8}"/>
    <cellStyle name="Normal 9 2 2 4 5 2 3" xfId="12912" xr:uid="{BA90DE55-B2D0-4203-9B9B-691E5734FD2B}"/>
    <cellStyle name="Normal 9 2 2 4 5 3" xfId="6535" xr:uid="{00000000-0005-0000-0000-0000F61E0000}"/>
    <cellStyle name="Normal 9 2 2 4 5 3 2" xfId="14985" xr:uid="{9D5CC351-D283-49FD-9B1B-90A6CEEC0EA4}"/>
    <cellStyle name="Normal 9 2 2 4 5 4" xfId="10767" xr:uid="{1AA68FA8-29DE-447E-90AE-336B81370126}"/>
    <cellStyle name="Normal 9 2 2 4 6" xfId="2665" xr:uid="{00000000-0005-0000-0000-0000F71E0000}"/>
    <cellStyle name="Normal 9 2 2 4 6 2" xfId="6948" xr:uid="{00000000-0005-0000-0000-0000F81E0000}"/>
    <cellStyle name="Normal 9 2 2 4 6 2 2" xfId="15398" xr:uid="{A464859F-9439-4617-AEC3-06A6C9078D27}"/>
    <cellStyle name="Normal 9 2 2 4 6 3" xfId="11180" xr:uid="{1A6740EC-331F-44E3-9CF9-B83E2CA01039}"/>
    <cellStyle name="Normal 9 2 2 4 7" xfId="4883" xr:uid="{00000000-0005-0000-0000-0000F91E0000}"/>
    <cellStyle name="Normal 9 2 2 4 7 2" xfId="13333" xr:uid="{74A4BA27-C481-436C-A4B4-A3E6CA7F63CE}"/>
    <cellStyle name="Normal 9 2 2 4 8" xfId="9115" xr:uid="{50301568-DF9F-43AF-94FF-9E2F04C57262}"/>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0992A22F-1B2B-4B51-8B96-4394E644EE66}"/>
    <cellStyle name="Normal 9 2 2 5 2 3" xfId="11666" xr:uid="{FAB0234E-BEC5-4706-9B2D-7B73A994B89E}"/>
    <cellStyle name="Normal 9 2 2 5 3" xfId="5289" xr:uid="{00000000-0005-0000-0000-0000FD1E0000}"/>
    <cellStyle name="Normal 9 2 2 5 3 2" xfId="13739" xr:uid="{4623C891-95F8-4675-8DAE-85BBF365E3BD}"/>
    <cellStyle name="Normal 9 2 2 5 4" xfId="9521" xr:uid="{41416931-7B17-47A1-B8C4-380760CD1F59}"/>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FCD23C1D-DE83-49DD-9BF0-C5089682CCAE}"/>
    <cellStyle name="Normal 9 2 2 6 2 3" xfId="12079" xr:uid="{AFE29DAC-025A-4741-8961-F71083809A71}"/>
    <cellStyle name="Normal 9 2 2 6 3" xfId="5702" xr:uid="{00000000-0005-0000-0000-0000011F0000}"/>
    <cellStyle name="Normal 9 2 2 6 3 2" xfId="14152" xr:uid="{5D33789D-6282-4666-9A21-1B7A42FE55A2}"/>
    <cellStyle name="Normal 9 2 2 6 4" xfId="9934" xr:uid="{8F63287D-E997-4E77-99F0-CAF0F53AF33D}"/>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925C43FD-317B-4A0C-ABB7-5E8CB9CDD9DA}"/>
    <cellStyle name="Normal 9 2 2 7 2 3" xfId="12492" xr:uid="{CF043AD8-6EFE-4712-B34B-17042FE07941}"/>
    <cellStyle name="Normal 9 2 2 7 3" xfId="6115" xr:uid="{00000000-0005-0000-0000-0000051F0000}"/>
    <cellStyle name="Normal 9 2 2 7 3 2" xfId="14565" xr:uid="{B2E12BF3-3C73-469E-ADFB-39518C4251E9}"/>
    <cellStyle name="Normal 9 2 2 7 4" xfId="10347" xr:uid="{C5504ED7-8918-4932-9E69-D85C032E9B2C}"/>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D5C92BFA-58D6-458D-BEB2-125E74BA7B46}"/>
    <cellStyle name="Normal 9 2 2 8 2 3" xfId="12905" xr:uid="{FFC2EBAD-28A5-4691-8D4C-66ADBA2178ED}"/>
    <cellStyle name="Normal 9 2 2 8 3" xfId="6528" xr:uid="{00000000-0005-0000-0000-0000091F0000}"/>
    <cellStyle name="Normal 9 2 2 8 3 2" xfId="14978" xr:uid="{87BFDA50-7714-4A3A-B296-06B3C78B8413}"/>
    <cellStyle name="Normal 9 2 2 8 4" xfId="10760" xr:uid="{2A29D48F-B4B1-4D55-B841-58DB1F3A6865}"/>
    <cellStyle name="Normal 9 2 2 9" xfId="2658" xr:uid="{00000000-0005-0000-0000-00000A1F0000}"/>
    <cellStyle name="Normal 9 2 2 9 2" xfId="6941" xr:uid="{00000000-0005-0000-0000-00000B1F0000}"/>
    <cellStyle name="Normal 9 2 2 9 2 2" xfId="15391" xr:uid="{42B10807-7F7C-4762-BE81-07F96B79D708}"/>
    <cellStyle name="Normal 9 2 2 9 3" xfId="11173" xr:uid="{D38733B8-D5F9-43BB-86C9-0747423769F0}"/>
    <cellStyle name="Normal 9 2 3" xfId="520" xr:uid="{00000000-0005-0000-0000-00000C1F0000}"/>
    <cellStyle name="Normal 9 2 3 10" xfId="9116" xr:uid="{D230EC8E-7806-414A-B074-1B76E8AC1CF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4205059A-5669-4AD5-91C9-BBE761AB7AAD}"/>
    <cellStyle name="Normal 9 2 3 2 2 2 2 3" xfId="11676" xr:uid="{6DB7DF4E-AE41-418D-AD76-36F7F6C78C9D}"/>
    <cellStyle name="Normal 9 2 3 2 2 2 3" xfId="5299" xr:uid="{00000000-0005-0000-0000-0000121F0000}"/>
    <cellStyle name="Normal 9 2 3 2 2 2 3 2" xfId="13749" xr:uid="{2044C534-AE7A-46C5-9DF7-A4B19A2B3468}"/>
    <cellStyle name="Normal 9 2 3 2 2 2 4" xfId="9531" xr:uid="{7F92379A-D9AF-4C5E-8508-2E3CA3FE03C2}"/>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C02A3005-24D2-4027-953A-3DB95543088B}"/>
    <cellStyle name="Normal 9 2 3 2 2 3 2 3" xfId="12089" xr:uid="{30DBF6B0-C1C5-4CA7-AACD-FF49AC93BE17}"/>
    <cellStyle name="Normal 9 2 3 2 2 3 3" xfId="5712" xr:uid="{00000000-0005-0000-0000-0000161F0000}"/>
    <cellStyle name="Normal 9 2 3 2 2 3 3 2" xfId="14162" xr:uid="{14DD92A0-1F4D-4317-9373-AC9C3F80A777}"/>
    <cellStyle name="Normal 9 2 3 2 2 3 4" xfId="9944" xr:uid="{0EB36D7E-5679-4F9A-B7E0-9195D7C6D106}"/>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116ACEB9-AF93-4255-96D2-4F273E4F461D}"/>
    <cellStyle name="Normal 9 2 3 2 2 4 2 3" xfId="12502" xr:uid="{3F6CEBC9-79B3-4316-BFAB-9C0BDA821760}"/>
    <cellStyle name="Normal 9 2 3 2 2 4 3" xfId="6125" xr:uid="{00000000-0005-0000-0000-00001A1F0000}"/>
    <cellStyle name="Normal 9 2 3 2 2 4 3 2" xfId="14575" xr:uid="{4CB0738E-573D-4E08-A2EC-FA2948DFF6A5}"/>
    <cellStyle name="Normal 9 2 3 2 2 4 4" xfId="10357" xr:uid="{46343260-A171-4E5A-97B3-B641DF0B57F2}"/>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A421DF28-15F9-4E84-8075-B679B2202712}"/>
    <cellStyle name="Normal 9 2 3 2 2 5 2 3" xfId="12915" xr:uid="{6A52FE23-298B-4C23-BE34-BDA88E9B5DEC}"/>
    <cellStyle name="Normal 9 2 3 2 2 5 3" xfId="6538" xr:uid="{00000000-0005-0000-0000-00001E1F0000}"/>
    <cellStyle name="Normal 9 2 3 2 2 5 3 2" xfId="14988" xr:uid="{5BD5EE94-710B-4A4E-9B1A-FAE5A40D68EC}"/>
    <cellStyle name="Normal 9 2 3 2 2 5 4" xfId="10770" xr:uid="{840D933E-6AAE-47DF-9EC8-EB65AE5A8AA7}"/>
    <cellStyle name="Normal 9 2 3 2 2 6" xfId="2668" xr:uid="{00000000-0005-0000-0000-00001F1F0000}"/>
    <cellStyle name="Normal 9 2 3 2 2 6 2" xfId="6951" xr:uid="{00000000-0005-0000-0000-0000201F0000}"/>
    <cellStyle name="Normal 9 2 3 2 2 6 2 2" xfId="15401" xr:uid="{D6BE4697-72B9-4878-ABEF-97CDC57DB9D9}"/>
    <cellStyle name="Normal 9 2 3 2 2 6 3" xfId="11183" xr:uid="{0AD273E7-95B3-49F9-B413-16BF8135D9A3}"/>
    <cellStyle name="Normal 9 2 3 2 2 7" xfId="4886" xr:uid="{00000000-0005-0000-0000-0000211F0000}"/>
    <cellStyle name="Normal 9 2 3 2 2 7 2" xfId="13336" xr:uid="{C2075665-093D-4F61-8EB3-236A2484A58E}"/>
    <cellStyle name="Normal 9 2 3 2 2 8" xfId="9118" xr:uid="{BEDEFE09-CD1B-4F5D-9C24-BB43BF143A2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CB1E6002-2EA0-44C7-A548-47E6CD915D38}"/>
    <cellStyle name="Normal 9 2 3 2 3 2 3" xfId="11675" xr:uid="{E9949A43-036C-406E-8D5F-BCAD877E576A}"/>
    <cellStyle name="Normal 9 2 3 2 3 3" xfId="5298" xr:uid="{00000000-0005-0000-0000-0000251F0000}"/>
    <cellStyle name="Normal 9 2 3 2 3 3 2" xfId="13748" xr:uid="{8CD0C6DF-7DBE-4663-B3C6-BA2863195791}"/>
    <cellStyle name="Normal 9 2 3 2 3 4" xfId="9530" xr:uid="{3AC16C24-9C4B-48AC-AC26-9D54F8807C0B}"/>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2E7BC739-3738-4443-84E1-BA9AF57EEEA1}"/>
    <cellStyle name="Normal 9 2 3 2 4 2 3" xfId="12088" xr:uid="{F18B7843-91A4-4BF7-B0C9-CE6AE6BF4FC3}"/>
    <cellStyle name="Normal 9 2 3 2 4 3" xfId="5711" xr:uid="{00000000-0005-0000-0000-0000291F0000}"/>
    <cellStyle name="Normal 9 2 3 2 4 3 2" xfId="14161" xr:uid="{EB586739-96C2-4A17-8AB8-38407C8FB688}"/>
    <cellStyle name="Normal 9 2 3 2 4 4" xfId="9943" xr:uid="{2BCF1FDF-EF3C-4FC2-B5E8-0C9FEB26AE01}"/>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20689C31-5676-4F40-AF58-2D61E42690DB}"/>
    <cellStyle name="Normal 9 2 3 2 5 2 3" xfId="12501" xr:uid="{9B70769B-26BF-4B80-8180-2111175B4ED3}"/>
    <cellStyle name="Normal 9 2 3 2 5 3" xfId="6124" xr:uid="{00000000-0005-0000-0000-00002D1F0000}"/>
    <cellStyle name="Normal 9 2 3 2 5 3 2" xfId="14574" xr:uid="{BAE176BA-409C-4200-8AC7-314F3789FB8B}"/>
    <cellStyle name="Normal 9 2 3 2 5 4" xfId="10356" xr:uid="{F13F7E37-0E33-455F-AC59-14F3AF9CF87D}"/>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F71FABDC-03E3-4BA1-A80D-33BC0B968CCD}"/>
    <cellStyle name="Normal 9 2 3 2 6 2 3" xfId="12914" xr:uid="{2F0E9CDA-D335-4C6B-A083-110518E3F096}"/>
    <cellStyle name="Normal 9 2 3 2 6 3" xfId="6537" xr:uid="{00000000-0005-0000-0000-0000311F0000}"/>
    <cellStyle name="Normal 9 2 3 2 6 3 2" xfId="14987" xr:uid="{2AB24194-183C-4E57-99D4-37EB6987C43C}"/>
    <cellStyle name="Normal 9 2 3 2 6 4" xfId="10769" xr:uid="{D57CDCF3-DF20-433E-8248-32862924FD5E}"/>
    <cellStyle name="Normal 9 2 3 2 7" xfId="2667" xr:uid="{00000000-0005-0000-0000-0000321F0000}"/>
    <cellStyle name="Normal 9 2 3 2 7 2" xfId="6950" xr:uid="{00000000-0005-0000-0000-0000331F0000}"/>
    <cellStyle name="Normal 9 2 3 2 7 2 2" xfId="15400" xr:uid="{0D50E354-84F6-4AFD-B822-DAD6A515F1D5}"/>
    <cellStyle name="Normal 9 2 3 2 7 3" xfId="11182" xr:uid="{CDBF1264-D43C-4962-BE40-320B3A1876C9}"/>
    <cellStyle name="Normal 9 2 3 2 8" xfId="4885" xr:uid="{00000000-0005-0000-0000-0000341F0000}"/>
    <cellStyle name="Normal 9 2 3 2 8 2" xfId="13335" xr:uid="{D773F326-5C4C-49B0-87DC-44747B40279E}"/>
    <cellStyle name="Normal 9 2 3 2 9" xfId="9117" xr:uid="{E70D6E98-859D-41BF-AEA1-E985DB1F4D78}"/>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A5B9BA7A-2C69-43CA-BFC8-F289D501EFAD}"/>
    <cellStyle name="Normal 9 2 3 3 2 2 3" xfId="11677" xr:uid="{86F2CC8D-E6B7-4994-BC75-BF5D87D931C9}"/>
    <cellStyle name="Normal 9 2 3 3 2 3" xfId="5300" xr:uid="{00000000-0005-0000-0000-0000391F0000}"/>
    <cellStyle name="Normal 9 2 3 3 2 3 2" xfId="13750" xr:uid="{FD9AD7C6-53DA-4CFF-A389-5E665259C73C}"/>
    <cellStyle name="Normal 9 2 3 3 2 4" xfId="9532" xr:uid="{6630E01D-87E3-4A52-946D-AAD82497EE55}"/>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E4EF41DA-D71A-42E2-9D44-51CE3816E4F6}"/>
    <cellStyle name="Normal 9 2 3 3 3 2 3" xfId="12090" xr:uid="{BCA9A252-DE17-475A-AEAB-6FFF12CAB1F7}"/>
    <cellStyle name="Normal 9 2 3 3 3 3" xfId="5713" xr:uid="{00000000-0005-0000-0000-00003D1F0000}"/>
    <cellStyle name="Normal 9 2 3 3 3 3 2" xfId="14163" xr:uid="{E5BA4373-F7AB-4F64-8002-897E1699EEAF}"/>
    <cellStyle name="Normal 9 2 3 3 3 4" xfId="9945" xr:uid="{15AC7350-B35A-49A6-8EF3-2E33A905175C}"/>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A44FECD0-3531-41DE-855E-CF32AEB4B487}"/>
    <cellStyle name="Normal 9 2 3 3 4 2 3" xfId="12503" xr:uid="{D8967F10-5D71-49C3-A0D7-33DB7EB8C547}"/>
    <cellStyle name="Normal 9 2 3 3 4 3" xfId="6126" xr:uid="{00000000-0005-0000-0000-0000411F0000}"/>
    <cellStyle name="Normal 9 2 3 3 4 3 2" xfId="14576" xr:uid="{D079CB40-8194-435F-A5C3-A383FBB868D3}"/>
    <cellStyle name="Normal 9 2 3 3 4 4" xfId="10358" xr:uid="{67F8E64A-8885-4B74-AF7F-1C35A5A36140}"/>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1BF6B12B-3128-4BFF-82DC-C9935FF79B58}"/>
    <cellStyle name="Normal 9 2 3 3 5 2 3" xfId="12916" xr:uid="{14F1858B-A757-402C-9504-9EB39EE6CEC0}"/>
    <cellStyle name="Normal 9 2 3 3 5 3" xfId="6539" xr:uid="{00000000-0005-0000-0000-0000451F0000}"/>
    <cellStyle name="Normal 9 2 3 3 5 3 2" xfId="14989" xr:uid="{AC658A9A-C4AE-4BDB-996C-05161F374F46}"/>
    <cellStyle name="Normal 9 2 3 3 5 4" xfId="10771" xr:uid="{7128FEF4-EB93-45DD-B665-01EF213BBE43}"/>
    <cellStyle name="Normal 9 2 3 3 6" xfId="2669" xr:uid="{00000000-0005-0000-0000-0000461F0000}"/>
    <cellStyle name="Normal 9 2 3 3 6 2" xfId="6952" xr:uid="{00000000-0005-0000-0000-0000471F0000}"/>
    <cellStyle name="Normal 9 2 3 3 6 2 2" xfId="15402" xr:uid="{3DD658DF-27B0-4FB8-A556-C9B0B1F98FEA}"/>
    <cellStyle name="Normal 9 2 3 3 6 3" xfId="11184" xr:uid="{EDD367AD-5A95-41A2-9F6A-E399CAB6FA37}"/>
    <cellStyle name="Normal 9 2 3 3 7" xfId="4887" xr:uid="{00000000-0005-0000-0000-0000481F0000}"/>
    <cellStyle name="Normal 9 2 3 3 7 2" xfId="13337" xr:uid="{42EE2450-C260-4714-B1C9-7A0D1FB91749}"/>
    <cellStyle name="Normal 9 2 3 3 8" xfId="9119" xr:uid="{E581E362-09FF-4017-A16A-D4C33A0D4094}"/>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CE3271EC-7B3E-48B4-9FA4-4C28585FBAD5}"/>
    <cellStyle name="Normal 9 2 3 4 2 3" xfId="11674" xr:uid="{F2A45F17-559E-462D-8372-77FD1B2A6224}"/>
    <cellStyle name="Normal 9 2 3 4 3" xfId="5297" xr:uid="{00000000-0005-0000-0000-00004C1F0000}"/>
    <cellStyle name="Normal 9 2 3 4 3 2" xfId="13747" xr:uid="{2C18FF5D-A0DC-40D8-9877-11703553B729}"/>
    <cellStyle name="Normal 9 2 3 4 4" xfId="9529" xr:uid="{A09C5603-5D75-4409-93CD-1A367D1B8CD6}"/>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86523B30-502E-48B6-B5D9-FD506A0F0989}"/>
    <cellStyle name="Normal 9 2 3 5 2 3" xfId="12087" xr:uid="{4E86B29B-70EA-4AF1-9002-C5CDFE107218}"/>
    <cellStyle name="Normal 9 2 3 5 3" xfId="5710" xr:uid="{00000000-0005-0000-0000-0000501F0000}"/>
    <cellStyle name="Normal 9 2 3 5 3 2" xfId="14160" xr:uid="{67E2290E-4AB8-4290-97C3-87F8CB6EF85D}"/>
    <cellStyle name="Normal 9 2 3 5 4" xfId="9942" xr:uid="{FA39DF50-2AAE-4214-BA4D-7B3FDE309266}"/>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22430731-1E4C-401F-911C-ED227582CD5F}"/>
    <cellStyle name="Normal 9 2 3 6 2 3" xfId="12500" xr:uid="{9F72B283-790A-4787-9EFF-BD2481593985}"/>
    <cellStyle name="Normal 9 2 3 6 3" xfId="6123" xr:uid="{00000000-0005-0000-0000-0000541F0000}"/>
    <cellStyle name="Normal 9 2 3 6 3 2" xfId="14573" xr:uid="{087A1C42-C29D-42FE-A915-FDF01133A029}"/>
    <cellStyle name="Normal 9 2 3 6 4" xfId="10355" xr:uid="{EE27DB96-D740-419F-82A1-73CE7A1E2BBC}"/>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327102C8-078A-458E-A43C-A0237BA8AE36}"/>
    <cellStyle name="Normal 9 2 3 7 2 3" xfId="12913" xr:uid="{E52255FD-F12C-485B-B462-B1626A03E29E}"/>
    <cellStyle name="Normal 9 2 3 7 3" xfId="6536" xr:uid="{00000000-0005-0000-0000-0000581F0000}"/>
    <cellStyle name="Normal 9 2 3 7 3 2" xfId="14986" xr:uid="{FD130E98-6FC9-4A04-98A5-7A2BE932743B}"/>
    <cellStyle name="Normal 9 2 3 7 4" xfId="10768" xr:uid="{7804F0CD-CAB6-4B43-9396-4296B95ED89D}"/>
    <cellStyle name="Normal 9 2 3 8" xfId="2666" xr:uid="{00000000-0005-0000-0000-0000591F0000}"/>
    <cellStyle name="Normal 9 2 3 8 2" xfId="6949" xr:uid="{00000000-0005-0000-0000-00005A1F0000}"/>
    <cellStyle name="Normal 9 2 3 8 2 2" xfId="15399" xr:uid="{1D9EA32B-90B1-4B37-AB85-04C61FAE7660}"/>
    <cellStyle name="Normal 9 2 3 8 3" xfId="11181" xr:uid="{6142F862-CFD6-448D-88E7-785C730909A0}"/>
    <cellStyle name="Normal 9 2 3 9" xfId="4884" xr:uid="{00000000-0005-0000-0000-00005B1F0000}"/>
    <cellStyle name="Normal 9 2 3 9 2" xfId="13334" xr:uid="{5107EEB6-C09C-45AA-8F86-7C07A5673B5B}"/>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C5D87CEC-C80D-412F-ADBC-92058A64E2C7}"/>
    <cellStyle name="Normal 9 2 4 2 2 2 3" xfId="11679" xr:uid="{14A482A2-D1F7-4201-8762-F3BB19488880}"/>
    <cellStyle name="Normal 9 2 4 2 2 3" xfId="5302" xr:uid="{00000000-0005-0000-0000-0000611F0000}"/>
    <cellStyle name="Normal 9 2 4 2 2 3 2" xfId="13752" xr:uid="{B16DBD7C-BCD2-4B57-AF83-CEC8C0EF01DD}"/>
    <cellStyle name="Normal 9 2 4 2 2 4" xfId="9534" xr:uid="{D702900F-6C4F-4200-871E-5FFF899410A7}"/>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D59E7C34-09A3-4C55-82FA-37BF2DF548EF}"/>
    <cellStyle name="Normal 9 2 4 2 3 2 3" xfId="12092" xr:uid="{B059DEA0-F476-4A85-8D4B-2A556346CAE8}"/>
    <cellStyle name="Normal 9 2 4 2 3 3" xfId="5715" xr:uid="{00000000-0005-0000-0000-0000651F0000}"/>
    <cellStyle name="Normal 9 2 4 2 3 3 2" xfId="14165" xr:uid="{8C319E20-E7D8-4480-9D77-871AAC6965A6}"/>
    <cellStyle name="Normal 9 2 4 2 3 4" xfId="9947" xr:uid="{54FE33EB-83F0-48D0-9962-2B33526C0D45}"/>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50379D90-4D3F-415F-8D6A-67490045F367}"/>
    <cellStyle name="Normal 9 2 4 2 4 2 3" xfId="12505" xr:uid="{52E33E10-7570-413B-B597-6993AC8B88B6}"/>
    <cellStyle name="Normal 9 2 4 2 4 3" xfId="6128" xr:uid="{00000000-0005-0000-0000-0000691F0000}"/>
    <cellStyle name="Normal 9 2 4 2 4 3 2" xfId="14578" xr:uid="{6EE06AB0-99EA-4F56-B9AB-F1613909AF00}"/>
    <cellStyle name="Normal 9 2 4 2 4 4" xfId="10360" xr:uid="{BED9A76A-9B54-4ED6-B12C-DCFD946A2DD0}"/>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3455F39D-DE97-49F4-B8FB-DEA16FA06AC7}"/>
    <cellStyle name="Normal 9 2 4 2 5 2 3" xfId="12918" xr:uid="{50694727-12CE-4E3D-8A79-9C95B9706B59}"/>
    <cellStyle name="Normal 9 2 4 2 5 3" xfId="6541" xr:uid="{00000000-0005-0000-0000-00006D1F0000}"/>
    <cellStyle name="Normal 9 2 4 2 5 3 2" xfId="14991" xr:uid="{AF1269DF-1BFB-4DAC-94CD-FADE6FFC637A}"/>
    <cellStyle name="Normal 9 2 4 2 5 4" xfId="10773" xr:uid="{B232AF06-42FE-4BEE-AB00-8BE7F82DD3A4}"/>
    <cellStyle name="Normal 9 2 4 2 6" xfId="2671" xr:uid="{00000000-0005-0000-0000-00006E1F0000}"/>
    <cellStyle name="Normal 9 2 4 2 6 2" xfId="6954" xr:uid="{00000000-0005-0000-0000-00006F1F0000}"/>
    <cellStyle name="Normal 9 2 4 2 6 2 2" xfId="15404" xr:uid="{A703F24F-42D8-44F0-B6C7-4989D34F8CEB}"/>
    <cellStyle name="Normal 9 2 4 2 6 3" xfId="11186" xr:uid="{9693FF88-9FE2-4B3B-9AD2-E66B87D85179}"/>
    <cellStyle name="Normal 9 2 4 2 7" xfId="4889" xr:uid="{00000000-0005-0000-0000-0000701F0000}"/>
    <cellStyle name="Normal 9 2 4 2 7 2" xfId="13339" xr:uid="{C03425D0-5D1F-49F7-98F7-B1D3C7E1A1B0}"/>
    <cellStyle name="Normal 9 2 4 2 8" xfId="9121" xr:uid="{D2E60913-93BF-4528-A583-766F031F7913}"/>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97D2AB5C-EA31-4C46-8431-5996E9D05CEE}"/>
    <cellStyle name="Normal 9 2 4 3 2 3" xfId="11678" xr:uid="{747A95D6-E547-41BC-AACC-2186DE3AC654}"/>
    <cellStyle name="Normal 9 2 4 3 3" xfId="5301" xr:uid="{00000000-0005-0000-0000-0000741F0000}"/>
    <cellStyle name="Normal 9 2 4 3 3 2" xfId="13751" xr:uid="{B23C12A7-3E42-4F7B-B954-128835FB504C}"/>
    <cellStyle name="Normal 9 2 4 3 4" xfId="9533" xr:uid="{D638B08B-9655-49AD-B586-4307DED541A9}"/>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E3F6B327-623F-4509-B01E-797C893BEA2B}"/>
    <cellStyle name="Normal 9 2 4 4 2 3" xfId="12091" xr:uid="{8A995AC9-DF36-41FC-86FD-08C1886F6F6E}"/>
    <cellStyle name="Normal 9 2 4 4 3" xfId="5714" xr:uid="{00000000-0005-0000-0000-0000781F0000}"/>
    <cellStyle name="Normal 9 2 4 4 3 2" xfId="14164" xr:uid="{8F927CA8-18CA-4819-97A3-EC0E09C1D7B3}"/>
    <cellStyle name="Normal 9 2 4 4 4" xfId="9946" xr:uid="{1440AA15-D586-41DA-A02A-F7DA17C4B298}"/>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9E6311A3-803A-445E-B29C-2456C1F11612}"/>
    <cellStyle name="Normal 9 2 4 5 2 3" xfId="12504" xr:uid="{F4737F02-C3EE-4A2F-B8E4-6925FEBA6A77}"/>
    <cellStyle name="Normal 9 2 4 5 3" xfId="6127" xr:uid="{00000000-0005-0000-0000-00007C1F0000}"/>
    <cellStyle name="Normal 9 2 4 5 3 2" xfId="14577" xr:uid="{AFD7544F-351A-487F-833E-C1B9ACD8514C}"/>
    <cellStyle name="Normal 9 2 4 5 4" xfId="10359" xr:uid="{4BA7F358-E280-42F1-94F3-3B8AAD9EE6CE}"/>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41511F82-2018-430C-AFC9-7667FA958F2A}"/>
    <cellStyle name="Normal 9 2 4 6 2 3" xfId="12917" xr:uid="{36446398-C691-467D-B7B3-2A6D4F85475A}"/>
    <cellStyle name="Normal 9 2 4 6 3" xfId="6540" xr:uid="{00000000-0005-0000-0000-0000801F0000}"/>
    <cellStyle name="Normal 9 2 4 6 3 2" xfId="14990" xr:uid="{DFC8AF3E-CC48-4585-949B-A0351CF969B8}"/>
    <cellStyle name="Normal 9 2 4 6 4" xfId="10772" xr:uid="{4C65A35B-9A30-467C-AF63-6E4897D46425}"/>
    <cellStyle name="Normal 9 2 4 7" xfId="2670" xr:uid="{00000000-0005-0000-0000-0000811F0000}"/>
    <cellStyle name="Normal 9 2 4 7 2" xfId="6953" xr:uid="{00000000-0005-0000-0000-0000821F0000}"/>
    <cellStyle name="Normal 9 2 4 7 2 2" xfId="15403" xr:uid="{B07E78A2-8364-44AC-AE80-46F55B36810F}"/>
    <cellStyle name="Normal 9 2 4 7 3" xfId="11185" xr:uid="{10AC02C1-B3B6-4932-A54F-E6614B688FEC}"/>
    <cellStyle name="Normal 9 2 4 8" xfId="4888" xr:uid="{00000000-0005-0000-0000-0000831F0000}"/>
    <cellStyle name="Normal 9 2 4 8 2" xfId="13338" xr:uid="{6D9EDCF1-F71B-412A-BC26-33F94F10A296}"/>
    <cellStyle name="Normal 9 2 4 9" xfId="9120" xr:uid="{AA8C13AB-2596-4236-91C2-FF6048ED0412}"/>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7D03F36B-0B9F-4EF0-BCDA-CA11B7532509}"/>
    <cellStyle name="Normal 9 2 5 2 2 3" xfId="11680" xr:uid="{778EB461-DBA9-45EE-A706-47B1541D37E2}"/>
    <cellStyle name="Normal 9 2 5 2 3" xfId="5303" xr:uid="{00000000-0005-0000-0000-0000881F0000}"/>
    <cellStyle name="Normal 9 2 5 2 3 2" xfId="13753" xr:uid="{EE4DE7AD-C556-41F1-875C-E80A2E4DAE6B}"/>
    <cellStyle name="Normal 9 2 5 2 4" xfId="9535" xr:uid="{73022BDB-0D2A-42A1-812B-8652ADA68FC5}"/>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D9CC2B9D-B2CA-4D6D-AE22-67D1C4FA2E53}"/>
    <cellStyle name="Normal 9 2 5 3 2 3" xfId="12093" xr:uid="{58BB1219-0A88-4F40-8E6E-0FDC9808DFFD}"/>
    <cellStyle name="Normal 9 2 5 3 3" xfId="5716" xr:uid="{00000000-0005-0000-0000-00008C1F0000}"/>
    <cellStyle name="Normal 9 2 5 3 3 2" xfId="14166" xr:uid="{F68B7D6C-4327-41FB-BAE5-EEC187E4B96E}"/>
    <cellStyle name="Normal 9 2 5 3 4" xfId="9948" xr:uid="{513AB483-A659-4E02-8CF2-E0B6E66947A8}"/>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CE42C37E-C42A-4804-9913-D274E6D9A388}"/>
    <cellStyle name="Normal 9 2 5 4 2 3" xfId="12506" xr:uid="{FF18C844-3D5B-42B9-8F77-12552EE4DB2D}"/>
    <cellStyle name="Normal 9 2 5 4 3" xfId="6129" xr:uid="{00000000-0005-0000-0000-0000901F0000}"/>
    <cellStyle name="Normal 9 2 5 4 3 2" xfId="14579" xr:uid="{D583C2FE-3EEB-4E27-A7B8-44072660419F}"/>
    <cellStyle name="Normal 9 2 5 4 4" xfId="10361" xr:uid="{79B7B049-D5B6-405E-ACDD-AFD0391DAA5A}"/>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0AA85E2A-D35B-45BE-99C8-E402A1324771}"/>
    <cellStyle name="Normal 9 2 5 5 2 3" xfId="12919" xr:uid="{0E0471EC-5ED3-4E0F-8662-465F21422664}"/>
    <cellStyle name="Normal 9 2 5 5 3" xfId="6542" xr:uid="{00000000-0005-0000-0000-0000941F0000}"/>
    <cellStyle name="Normal 9 2 5 5 3 2" xfId="14992" xr:uid="{CABFF8E4-37B9-4232-A6E5-5ECB2CDD9660}"/>
    <cellStyle name="Normal 9 2 5 5 4" xfId="10774" xr:uid="{E89FD489-4B95-4733-8773-E0855F4598DC}"/>
    <cellStyle name="Normal 9 2 5 6" xfId="2672" xr:uid="{00000000-0005-0000-0000-0000951F0000}"/>
    <cellStyle name="Normal 9 2 5 6 2" xfId="6955" xr:uid="{00000000-0005-0000-0000-0000961F0000}"/>
    <cellStyle name="Normal 9 2 5 6 2 2" xfId="15405" xr:uid="{8CF18F5B-514C-4742-A99C-E38892268FCF}"/>
    <cellStyle name="Normal 9 2 5 6 3" xfId="11187" xr:uid="{8D884461-EFB1-4883-8AFD-73F7F130458D}"/>
    <cellStyle name="Normal 9 2 5 7" xfId="4890" xr:uid="{00000000-0005-0000-0000-0000971F0000}"/>
    <cellStyle name="Normal 9 2 5 7 2" xfId="13340" xr:uid="{8EDB0D72-D231-4BCC-94FC-1A5CDCBA616B}"/>
    <cellStyle name="Normal 9 2 5 8" xfId="9122" xr:uid="{FA83BC91-4098-4488-98AF-459FC61E0E86}"/>
    <cellStyle name="Normal 9 2 6" xfId="978" xr:uid="{00000000-0005-0000-0000-0000981F0000}"/>
    <cellStyle name="Normal 9 2 6 2" xfId="3211" xr:uid="{00000000-0005-0000-0000-0000991F0000}"/>
    <cellStyle name="Normal 9 2 6 2 2" xfId="7433" xr:uid="{00000000-0005-0000-0000-00009A1F0000}"/>
    <cellStyle name="Normal 9 2 6 2 2 2" xfId="15883" xr:uid="{8A8E575B-EB03-4497-A3FE-D57FF3010253}"/>
    <cellStyle name="Normal 9 2 6 2 3" xfId="11665" xr:uid="{977408BF-3FA8-4F0B-A5D4-BCCCBAE00D97}"/>
    <cellStyle name="Normal 9 2 6 3" xfId="5288" xr:uid="{00000000-0005-0000-0000-00009B1F0000}"/>
    <cellStyle name="Normal 9 2 6 3 2" xfId="13738" xr:uid="{9B2F61DD-5EB1-40DD-9410-7B32B15BD18B}"/>
    <cellStyle name="Normal 9 2 6 4" xfId="9520" xr:uid="{A082EFAC-4E7B-4364-B568-B44A2AA6D4D3}"/>
    <cellStyle name="Normal 9 2 7" xfId="1394" xr:uid="{00000000-0005-0000-0000-00009C1F0000}"/>
    <cellStyle name="Normal 9 2 7 2" xfId="3624" xr:uid="{00000000-0005-0000-0000-00009D1F0000}"/>
    <cellStyle name="Normal 9 2 7 2 2" xfId="7846" xr:uid="{00000000-0005-0000-0000-00009E1F0000}"/>
    <cellStyle name="Normal 9 2 7 2 2 2" xfId="16296" xr:uid="{822394FE-8EA9-4067-BB57-5BAF44CDFB09}"/>
    <cellStyle name="Normal 9 2 7 2 3" xfId="12078" xr:uid="{424F89CD-270E-45E2-946E-5AAD2D098C13}"/>
    <cellStyle name="Normal 9 2 7 3" xfId="5701" xr:uid="{00000000-0005-0000-0000-00009F1F0000}"/>
    <cellStyle name="Normal 9 2 7 3 2" xfId="14151" xr:uid="{375C81E1-8B00-470D-8F43-CF4C35078AB7}"/>
    <cellStyle name="Normal 9 2 7 4" xfId="9933" xr:uid="{DFDDBEA5-720E-4531-8852-2A015DF60899}"/>
    <cellStyle name="Normal 9 2 8" xfId="1807" xr:uid="{00000000-0005-0000-0000-0000A01F0000}"/>
    <cellStyle name="Normal 9 2 8 2" xfId="4037" xr:uid="{00000000-0005-0000-0000-0000A11F0000}"/>
    <cellStyle name="Normal 9 2 8 2 2" xfId="8259" xr:uid="{00000000-0005-0000-0000-0000A21F0000}"/>
    <cellStyle name="Normal 9 2 8 2 2 2" xfId="16709" xr:uid="{53B7C6E1-9975-4CFE-8FE9-CD8306C9B898}"/>
    <cellStyle name="Normal 9 2 8 2 3" xfId="12491" xr:uid="{5880BDC9-B6AC-40AE-89AE-104D52940206}"/>
    <cellStyle name="Normal 9 2 8 3" xfId="6114" xr:uid="{00000000-0005-0000-0000-0000A31F0000}"/>
    <cellStyle name="Normal 9 2 8 3 2" xfId="14564" xr:uid="{2405F433-8B6B-435B-98D3-9EBED80739E4}"/>
    <cellStyle name="Normal 9 2 8 4" xfId="10346" xr:uid="{C1254074-65F5-4BAE-AE59-9F31785A4366}"/>
    <cellStyle name="Normal 9 2 9" xfId="2221" xr:uid="{00000000-0005-0000-0000-0000A41F0000}"/>
    <cellStyle name="Normal 9 2 9 2" xfId="4450" xr:uid="{00000000-0005-0000-0000-0000A51F0000}"/>
    <cellStyle name="Normal 9 2 9 2 2" xfId="8672" xr:uid="{00000000-0005-0000-0000-0000A61F0000}"/>
    <cellStyle name="Normal 9 2 9 2 2 2" xfId="17122" xr:uid="{DC642BE8-F81D-4D80-9B09-20CFAFECE489}"/>
    <cellStyle name="Normal 9 2 9 2 3" xfId="12904" xr:uid="{EB587FD1-FE10-45EC-9E53-38E4245BF657}"/>
    <cellStyle name="Normal 9 2 9 3" xfId="6527" xr:uid="{00000000-0005-0000-0000-0000A71F0000}"/>
    <cellStyle name="Normal 9 2 9 3 2" xfId="14977" xr:uid="{04AAA773-0534-47A7-8A8E-62D595C47B2A}"/>
    <cellStyle name="Normal 9 2 9 4" xfId="10759" xr:uid="{2A76A455-7EB7-464A-92BB-B2FA493CB126}"/>
    <cellStyle name="Normal 9 3" xfId="527" xr:uid="{00000000-0005-0000-0000-0000A81F0000}"/>
    <cellStyle name="Normal 9 3 10" xfId="4891" xr:uid="{00000000-0005-0000-0000-0000A91F0000}"/>
    <cellStyle name="Normal 9 3 10 2" xfId="13341" xr:uid="{EF19EDED-5191-41F0-9803-15B8B9602D46}"/>
    <cellStyle name="Normal 9 3 11" xfId="9123" xr:uid="{726D08A5-7125-4360-93BA-B5F810CEE794}"/>
    <cellStyle name="Normal 9 3 2" xfId="528" xr:uid="{00000000-0005-0000-0000-0000AA1F0000}"/>
    <cellStyle name="Normal 9 3 2 10" xfId="9124" xr:uid="{2B2383FF-DEB0-4DB5-BAF5-231B3BCEDE7E}"/>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FBB47613-CA2C-49BD-8EA3-BAAC8A23E8D1}"/>
    <cellStyle name="Normal 9 3 2 2 2 2 2 3" xfId="11684" xr:uid="{E770173F-C071-4F09-B099-4431E9E793F2}"/>
    <cellStyle name="Normal 9 3 2 2 2 2 3" xfId="5307" xr:uid="{00000000-0005-0000-0000-0000B01F0000}"/>
    <cellStyle name="Normal 9 3 2 2 2 2 3 2" xfId="13757" xr:uid="{63211A1B-7187-4650-BADE-B5279624698A}"/>
    <cellStyle name="Normal 9 3 2 2 2 2 4" xfId="9539" xr:uid="{39CF31E7-EBE2-410F-A811-9D01C39CB9D2}"/>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C4236578-8040-4E5A-86E6-36AEC3A853CA}"/>
    <cellStyle name="Normal 9 3 2 2 2 3 2 3" xfId="12097" xr:uid="{BA3A2DD2-1690-4A37-BEBC-366A251323C2}"/>
    <cellStyle name="Normal 9 3 2 2 2 3 3" xfId="5720" xr:uid="{00000000-0005-0000-0000-0000B41F0000}"/>
    <cellStyle name="Normal 9 3 2 2 2 3 3 2" xfId="14170" xr:uid="{A94FC4D3-8B4C-4643-9138-0E319279E17C}"/>
    <cellStyle name="Normal 9 3 2 2 2 3 4" xfId="9952" xr:uid="{D3FF2DF4-722F-4D95-8D66-F9E1C0541674}"/>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A4E4C1B4-EF5F-4688-8A49-C53859C793EB}"/>
    <cellStyle name="Normal 9 3 2 2 2 4 2 3" xfId="12510" xr:uid="{70FF4F49-392C-459F-8FEE-2AE11B2D29A6}"/>
    <cellStyle name="Normal 9 3 2 2 2 4 3" xfId="6133" xr:uid="{00000000-0005-0000-0000-0000B81F0000}"/>
    <cellStyle name="Normal 9 3 2 2 2 4 3 2" xfId="14583" xr:uid="{8F0DBD1C-A493-409D-8B33-909B5DA78CF8}"/>
    <cellStyle name="Normal 9 3 2 2 2 4 4" xfId="10365" xr:uid="{AAE604B1-D75D-4060-9337-8BF34AD04D85}"/>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3F679CBB-EE36-4F2F-991C-E0B42D309BB0}"/>
    <cellStyle name="Normal 9 3 2 2 2 5 2 3" xfId="12923" xr:uid="{17318EDE-DA0A-45B7-9BDE-FFBCE60AC420}"/>
    <cellStyle name="Normal 9 3 2 2 2 5 3" xfId="6546" xr:uid="{00000000-0005-0000-0000-0000BC1F0000}"/>
    <cellStyle name="Normal 9 3 2 2 2 5 3 2" xfId="14996" xr:uid="{57911351-4A54-4E8C-A5AB-BD796CAF4052}"/>
    <cellStyle name="Normal 9 3 2 2 2 5 4" xfId="10778" xr:uid="{D9044231-766A-404B-9CD7-C235D2A920B2}"/>
    <cellStyle name="Normal 9 3 2 2 2 6" xfId="2676" xr:uid="{00000000-0005-0000-0000-0000BD1F0000}"/>
    <cellStyle name="Normal 9 3 2 2 2 6 2" xfId="6959" xr:uid="{00000000-0005-0000-0000-0000BE1F0000}"/>
    <cellStyle name="Normal 9 3 2 2 2 6 2 2" xfId="15409" xr:uid="{8BD77ACD-72B9-44CD-92D6-73C9499B6EB4}"/>
    <cellStyle name="Normal 9 3 2 2 2 6 3" xfId="11191" xr:uid="{B6251FF2-AA44-4606-9CC5-AAB71E0A986B}"/>
    <cellStyle name="Normal 9 3 2 2 2 7" xfId="4894" xr:uid="{00000000-0005-0000-0000-0000BF1F0000}"/>
    <cellStyle name="Normal 9 3 2 2 2 7 2" xfId="13344" xr:uid="{49711AAA-50F7-453D-865F-2E598330BD2E}"/>
    <cellStyle name="Normal 9 3 2 2 2 8" xfId="9126" xr:uid="{A62D3E62-90B6-4CBB-B950-7C8666B48896}"/>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42F83AF8-8D61-4CCD-BB62-A2C483502263}"/>
    <cellStyle name="Normal 9 3 2 2 3 2 3" xfId="11683" xr:uid="{6C8DE0CF-5B48-4AD5-B558-015E98796E16}"/>
    <cellStyle name="Normal 9 3 2 2 3 3" xfId="5306" xr:uid="{00000000-0005-0000-0000-0000C31F0000}"/>
    <cellStyle name="Normal 9 3 2 2 3 3 2" xfId="13756" xr:uid="{6B9D0F5F-4FE6-4778-A8FD-553BCD46BE19}"/>
    <cellStyle name="Normal 9 3 2 2 3 4" xfId="9538" xr:uid="{CE08FCC1-357C-4630-A86C-1C9952D3561B}"/>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297D83E2-0259-4403-B269-4DF1CAEE085A}"/>
    <cellStyle name="Normal 9 3 2 2 4 2 3" xfId="12096" xr:uid="{8621A0D4-71B0-4914-AB27-0015D37548EC}"/>
    <cellStyle name="Normal 9 3 2 2 4 3" xfId="5719" xr:uid="{00000000-0005-0000-0000-0000C71F0000}"/>
    <cellStyle name="Normal 9 3 2 2 4 3 2" xfId="14169" xr:uid="{D595B32F-D5D5-42F8-8E48-6E1A28D5D08B}"/>
    <cellStyle name="Normal 9 3 2 2 4 4" xfId="9951" xr:uid="{27E0944E-318A-4567-85FB-C334E65D8CFB}"/>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A53D6A13-C3B7-4F83-863A-D1508DDF9856}"/>
    <cellStyle name="Normal 9 3 2 2 5 2 3" xfId="12509" xr:uid="{A521396A-D5EE-47FB-A784-D296DCFE125C}"/>
    <cellStyle name="Normal 9 3 2 2 5 3" xfId="6132" xr:uid="{00000000-0005-0000-0000-0000CB1F0000}"/>
    <cellStyle name="Normal 9 3 2 2 5 3 2" xfId="14582" xr:uid="{7B644646-9A34-42F4-B211-A3090C7A536B}"/>
    <cellStyle name="Normal 9 3 2 2 5 4" xfId="10364" xr:uid="{0BC2F3F4-6BE2-404D-AE6C-F8A9ABEF8217}"/>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49F02915-476A-4FB8-8A2B-FD462D58FC2F}"/>
    <cellStyle name="Normal 9 3 2 2 6 2 3" xfId="12922" xr:uid="{085A5840-E17C-4B52-8D2A-9D2BA337EA19}"/>
    <cellStyle name="Normal 9 3 2 2 6 3" xfId="6545" xr:uid="{00000000-0005-0000-0000-0000CF1F0000}"/>
    <cellStyle name="Normal 9 3 2 2 6 3 2" xfId="14995" xr:uid="{FBEE04B0-8B0B-47FC-B039-D3F91F7F5B46}"/>
    <cellStyle name="Normal 9 3 2 2 6 4" xfId="10777" xr:uid="{CFB8B545-B96E-4540-9FE9-F286C8EF1E84}"/>
    <cellStyle name="Normal 9 3 2 2 7" xfId="2675" xr:uid="{00000000-0005-0000-0000-0000D01F0000}"/>
    <cellStyle name="Normal 9 3 2 2 7 2" xfId="6958" xr:uid="{00000000-0005-0000-0000-0000D11F0000}"/>
    <cellStyle name="Normal 9 3 2 2 7 2 2" xfId="15408" xr:uid="{EC7979A9-A193-4AFC-B42D-59D0B8A7E1A0}"/>
    <cellStyle name="Normal 9 3 2 2 7 3" xfId="11190" xr:uid="{3D449E6F-C0CB-4DDA-8549-0E663C750015}"/>
    <cellStyle name="Normal 9 3 2 2 8" xfId="4893" xr:uid="{00000000-0005-0000-0000-0000D21F0000}"/>
    <cellStyle name="Normal 9 3 2 2 8 2" xfId="13343" xr:uid="{5986E4F2-7C88-44AF-8A40-FA3DE7C6D69F}"/>
    <cellStyle name="Normal 9 3 2 2 9" xfId="9125" xr:uid="{B96E23DF-78D0-4901-9BE3-7EC3120FC409}"/>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78E51616-9A4C-4527-80EA-E07FA223576C}"/>
    <cellStyle name="Normal 9 3 2 3 2 2 3" xfId="11685" xr:uid="{BAD682CF-E7F0-466E-BF91-E101684A3598}"/>
    <cellStyle name="Normal 9 3 2 3 2 3" xfId="5308" xr:uid="{00000000-0005-0000-0000-0000D71F0000}"/>
    <cellStyle name="Normal 9 3 2 3 2 3 2" xfId="13758" xr:uid="{02F06C4B-ABBA-493C-9BB5-FA768628C094}"/>
    <cellStyle name="Normal 9 3 2 3 2 4" xfId="9540" xr:uid="{401ED89B-84A7-4E56-B40C-A1362770B15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5B8F63FC-3A86-4742-A4A8-38EB4B20AA2A}"/>
    <cellStyle name="Normal 9 3 2 3 3 2 3" xfId="12098" xr:uid="{DA6141D7-A9C2-487E-9FCB-87173D0F1040}"/>
    <cellStyle name="Normal 9 3 2 3 3 3" xfId="5721" xr:uid="{00000000-0005-0000-0000-0000DB1F0000}"/>
    <cellStyle name="Normal 9 3 2 3 3 3 2" xfId="14171" xr:uid="{56A58500-D1F9-4CE9-9BF3-2600B57D43C4}"/>
    <cellStyle name="Normal 9 3 2 3 3 4" xfId="9953" xr:uid="{086CA8C2-3CE5-4145-96B5-8C004216A8C0}"/>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83314E2F-4D87-4B93-8C55-3C4DBD612AD8}"/>
    <cellStyle name="Normal 9 3 2 3 4 2 3" xfId="12511" xr:uid="{3C31BCE9-A7C5-41D5-A44E-EA52902298C0}"/>
    <cellStyle name="Normal 9 3 2 3 4 3" xfId="6134" xr:uid="{00000000-0005-0000-0000-0000DF1F0000}"/>
    <cellStyle name="Normal 9 3 2 3 4 3 2" xfId="14584" xr:uid="{952A29F8-76D4-4E9F-9CF8-A749B502B5C4}"/>
    <cellStyle name="Normal 9 3 2 3 4 4" xfId="10366" xr:uid="{F2AE6341-1318-49DF-AAEE-8CC64B5FFDEC}"/>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7AA5C1E0-43E7-4423-8883-A58E71BAA2AD}"/>
    <cellStyle name="Normal 9 3 2 3 5 2 3" xfId="12924" xr:uid="{C1C21107-0822-413B-B542-840417773CEC}"/>
    <cellStyle name="Normal 9 3 2 3 5 3" xfId="6547" xr:uid="{00000000-0005-0000-0000-0000E31F0000}"/>
    <cellStyle name="Normal 9 3 2 3 5 3 2" xfId="14997" xr:uid="{A69E0CC5-6F67-455C-AD3F-62DEDB73C09D}"/>
    <cellStyle name="Normal 9 3 2 3 5 4" xfId="10779" xr:uid="{823888FA-67BE-49E9-87B5-091F22FB6E58}"/>
    <cellStyle name="Normal 9 3 2 3 6" xfId="2677" xr:uid="{00000000-0005-0000-0000-0000E41F0000}"/>
    <cellStyle name="Normal 9 3 2 3 6 2" xfId="6960" xr:uid="{00000000-0005-0000-0000-0000E51F0000}"/>
    <cellStyle name="Normal 9 3 2 3 6 2 2" xfId="15410" xr:uid="{E7599CC5-EE6F-4CCE-B8A1-CF9D177C4125}"/>
    <cellStyle name="Normal 9 3 2 3 6 3" xfId="11192" xr:uid="{ACF48BF3-D9D7-402A-A636-FADDCCA24FD0}"/>
    <cellStyle name="Normal 9 3 2 3 7" xfId="4895" xr:uid="{00000000-0005-0000-0000-0000E61F0000}"/>
    <cellStyle name="Normal 9 3 2 3 7 2" xfId="13345" xr:uid="{3C7AC1D0-D500-4CCD-B111-DB9E5270E8BF}"/>
    <cellStyle name="Normal 9 3 2 3 8" xfId="9127" xr:uid="{2CD2ED25-B491-42A4-8434-6A70D474A04F}"/>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A7F48F18-FC53-4591-B614-199F0598091D}"/>
    <cellStyle name="Normal 9 3 2 4 2 3" xfId="11682" xr:uid="{997B6DC8-ABA5-4B09-B045-9899517056A2}"/>
    <cellStyle name="Normal 9 3 2 4 3" xfId="5305" xr:uid="{00000000-0005-0000-0000-0000EA1F0000}"/>
    <cellStyle name="Normal 9 3 2 4 3 2" xfId="13755" xr:uid="{5F6944C0-2F72-48F0-A076-C08097DCA843}"/>
    <cellStyle name="Normal 9 3 2 4 4" xfId="9537" xr:uid="{8CD14BBF-BC99-408D-ADE0-D0F62F0989CD}"/>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21BED42C-7549-41FF-A3CD-1D02B05797C9}"/>
    <cellStyle name="Normal 9 3 2 5 2 3" xfId="12095" xr:uid="{2FDA8625-56E7-43BC-B446-EB918D4F3509}"/>
    <cellStyle name="Normal 9 3 2 5 3" xfId="5718" xr:uid="{00000000-0005-0000-0000-0000EE1F0000}"/>
    <cellStyle name="Normal 9 3 2 5 3 2" xfId="14168" xr:uid="{524F351E-623D-451D-86D9-232269A93751}"/>
    <cellStyle name="Normal 9 3 2 5 4" xfId="9950" xr:uid="{9593AE12-02EB-4A12-B6CF-3FAD4FA3EF5B}"/>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D1730705-9660-493C-86BD-688A8ED07EDE}"/>
    <cellStyle name="Normal 9 3 2 6 2 3" xfId="12508" xr:uid="{127E2044-4D3B-4BD6-9B5D-F31FB9B3006A}"/>
    <cellStyle name="Normal 9 3 2 6 3" xfId="6131" xr:uid="{00000000-0005-0000-0000-0000F21F0000}"/>
    <cellStyle name="Normal 9 3 2 6 3 2" xfId="14581" xr:uid="{94AF6459-8FE0-478F-B823-397EE348DF38}"/>
    <cellStyle name="Normal 9 3 2 6 4" xfId="10363" xr:uid="{FA24090E-611D-4541-B475-7FB2FF26D059}"/>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BEE33C40-A8C9-49FE-B36C-EB06D576FA6F}"/>
    <cellStyle name="Normal 9 3 2 7 2 3" xfId="12921" xr:uid="{16D16BC4-AE66-42B4-B8B8-01C8E3A1A25F}"/>
    <cellStyle name="Normal 9 3 2 7 3" xfId="6544" xr:uid="{00000000-0005-0000-0000-0000F61F0000}"/>
    <cellStyle name="Normal 9 3 2 7 3 2" xfId="14994" xr:uid="{57497571-1FD9-48C8-AB6C-502D32C321EE}"/>
    <cellStyle name="Normal 9 3 2 7 4" xfId="10776" xr:uid="{72DCF380-D863-454E-96EA-B94DF389E666}"/>
    <cellStyle name="Normal 9 3 2 8" xfId="2674" xr:uid="{00000000-0005-0000-0000-0000F71F0000}"/>
    <cellStyle name="Normal 9 3 2 8 2" xfId="6957" xr:uid="{00000000-0005-0000-0000-0000F81F0000}"/>
    <cellStyle name="Normal 9 3 2 8 2 2" xfId="15407" xr:uid="{E17BFDD4-13B3-4DD4-BD5A-870700064A74}"/>
    <cellStyle name="Normal 9 3 2 8 3" xfId="11189" xr:uid="{B914D761-4508-44D3-A39C-8EFA0ACD9354}"/>
    <cellStyle name="Normal 9 3 2 9" xfId="4892" xr:uid="{00000000-0005-0000-0000-0000F91F0000}"/>
    <cellStyle name="Normal 9 3 2 9 2" xfId="13342" xr:uid="{D3DA40E1-C461-4A47-AE8E-F93B308EF8FE}"/>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0EA7C97A-6BA8-491C-84FD-C0A60E0F78C1}"/>
    <cellStyle name="Normal 9 3 3 2 2 2 3" xfId="11687" xr:uid="{434F305F-FD38-449A-8B59-A6FF376AD440}"/>
    <cellStyle name="Normal 9 3 3 2 2 3" xfId="5310" xr:uid="{00000000-0005-0000-0000-0000FF1F0000}"/>
    <cellStyle name="Normal 9 3 3 2 2 3 2" xfId="13760" xr:uid="{45D9DFDD-E32E-4C57-A097-164328AFAE64}"/>
    <cellStyle name="Normal 9 3 3 2 2 4" xfId="9542" xr:uid="{4E961559-BE48-46B8-9926-BD6BD44A3E8C}"/>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83C147F9-1752-4BB9-B3FE-F79010631B11}"/>
    <cellStyle name="Normal 9 3 3 2 3 2 3" xfId="12100" xr:uid="{79DF8056-727F-4B2C-AC00-5BAB1CF0ECE1}"/>
    <cellStyle name="Normal 9 3 3 2 3 3" xfId="5723" xr:uid="{00000000-0005-0000-0000-000003200000}"/>
    <cellStyle name="Normal 9 3 3 2 3 3 2" xfId="14173" xr:uid="{008C12C9-8C2C-42CE-B4BA-6A29DB5A51F0}"/>
    <cellStyle name="Normal 9 3 3 2 3 4" xfId="9955" xr:uid="{3E9BF4D8-B0BC-4019-BF12-49EFEA5036DC}"/>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A33C301C-9482-4A24-913C-0285B442A3EE}"/>
    <cellStyle name="Normal 9 3 3 2 4 2 3" xfId="12513" xr:uid="{F6EBB086-EC89-4FDF-84C1-6295B04E7B7E}"/>
    <cellStyle name="Normal 9 3 3 2 4 3" xfId="6136" xr:uid="{00000000-0005-0000-0000-000007200000}"/>
    <cellStyle name="Normal 9 3 3 2 4 3 2" xfId="14586" xr:uid="{FD795993-14D5-45AC-A25D-81340413468F}"/>
    <cellStyle name="Normal 9 3 3 2 4 4" xfId="10368" xr:uid="{9C35EA1F-A534-4F33-AF63-C30B7C069603}"/>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2E273070-88DD-47EE-9B21-49ED783E79FC}"/>
    <cellStyle name="Normal 9 3 3 2 5 2 3" xfId="12926" xr:uid="{9D0A14D3-FF05-4251-925E-1CF38BD3B608}"/>
    <cellStyle name="Normal 9 3 3 2 5 3" xfId="6549" xr:uid="{00000000-0005-0000-0000-00000B200000}"/>
    <cellStyle name="Normal 9 3 3 2 5 3 2" xfId="14999" xr:uid="{E81EAFB2-D565-4A4F-9CE7-5B602D1E9BFF}"/>
    <cellStyle name="Normal 9 3 3 2 5 4" xfId="10781" xr:uid="{33CC93C1-1A74-4758-86B8-B8991F72DE61}"/>
    <cellStyle name="Normal 9 3 3 2 6" xfId="2679" xr:uid="{00000000-0005-0000-0000-00000C200000}"/>
    <cellStyle name="Normal 9 3 3 2 6 2" xfId="6962" xr:uid="{00000000-0005-0000-0000-00000D200000}"/>
    <cellStyle name="Normal 9 3 3 2 6 2 2" xfId="15412" xr:uid="{6901E5C7-927F-4850-8C5A-56341FC23BF1}"/>
    <cellStyle name="Normal 9 3 3 2 6 3" xfId="11194" xr:uid="{DBDF3ADA-5E68-4A13-8350-A3A8850CAADC}"/>
    <cellStyle name="Normal 9 3 3 2 7" xfId="4897" xr:uid="{00000000-0005-0000-0000-00000E200000}"/>
    <cellStyle name="Normal 9 3 3 2 7 2" xfId="13347" xr:uid="{497A3742-159E-477E-B718-F19B5DACF058}"/>
    <cellStyle name="Normal 9 3 3 2 8" xfId="9129" xr:uid="{210FB373-0516-4171-ADF4-A8186B7D73EC}"/>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8A089934-5B7D-430D-BF47-CA471D443D80}"/>
    <cellStyle name="Normal 9 3 3 3 2 3" xfId="11686" xr:uid="{470FDA52-6099-45F6-9A01-20C603FFCEC3}"/>
    <cellStyle name="Normal 9 3 3 3 3" xfId="5309" xr:uid="{00000000-0005-0000-0000-000012200000}"/>
    <cellStyle name="Normal 9 3 3 3 3 2" xfId="13759" xr:uid="{0684C988-A962-422E-9787-90B470F7B824}"/>
    <cellStyle name="Normal 9 3 3 3 4" xfId="9541" xr:uid="{DBC624A6-B91A-4594-A486-00857A7A4FE3}"/>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C412D9AC-F890-475B-A9A9-A92A7A262E99}"/>
    <cellStyle name="Normal 9 3 3 4 2 3" xfId="12099" xr:uid="{2448A77E-6039-4E99-8F03-08451D4A46F8}"/>
    <cellStyle name="Normal 9 3 3 4 3" xfId="5722" xr:uid="{00000000-0005-0000-0000-000016200000}"/>
    <cellStyle name="Normal 9 3 3 4 3 2" xfId="14172" xr:uid="{5196596F-3F05-45CB-8CE2-B43430C2C453}"/>
    <cellStyle name="Normal 9 3 3 4 4" xfId="9954" xr:uid="{0E0A7B1B-0960-49D4-8D3F-F6EBE4D7F7E1}"/>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2221DB62-5A75-457C-B461-5CCB49479D32}"/>
    <cellStyle name="Normal 9 3 3 5 2 3" xfId="12512" xr:uid="{10AB71E1-0DB0-44C5-BA45-304A370D2651}"/>
    <cellStyle name="Normal 9 3 3 5 3" xfId="6135" xr:uid="{00000000-0005-0000-0000-00001A200000}"/>
    <cellStyle name="Normal 9 3 3 5 3 2" xfId="14585" xr:uid="{CFC54933-06A3-4D76-B811-92CD24E881FE}"/>
    <cellStyle name="Normal 9 3 3 5 4" xfId="10367" xr:uid="{AB2FED98-99C4-4CB8-86D6-6F15F7177279}"/>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49B868E7-F898-41C5-B08D-4163A1348336}"/>
    <cellStyle name="Normal 9 3 3 6 2 3" xfId="12925" xr:uid="{8AB80091-941D-42E1-B7C6-7AD22A04E814}"/>
    <cellStyle name="Normal 9 3 3 6 3" xfId="6548" xr:uid="{00000000-0005-0000-0000-00001E200000}"/>
    <cellStyle name="Normal 9 3 3 6 3 2" xfId="14998" xr:uid="{4D48884D-80C5-4CC1-87E7-21848D69ABD8}"/>
    <cellStyle name="Normal 9 3 3 6 4" xfId="10780" xr:uid="{DA4742D6-07CE-43EC-8865-4648E39C3D6F}"/>
    <cellStyle name="Normal 9 3 3 7" xfId="2678" xr:uid="{00000000-0005-0000-0000-00001F200000}"/>
    <cellStyle name="Normal 9 3 3 7 2" xfId="6961" xr:uid="{00000000-0005-0000-0000-000020200000}"/>
    <cellStyle name="Normal 9 3 3 7 2 2" xfId="15411" xr:uid="{D5B93740-E09A-4AE7-9083-7F8B7C5090A3}"/>
    <cellStyle name="Normal 9 3 3 7 3" xfId="11193" xr:uid="{E0CC57A8-95D4-437D-B6B2-964C1A68F82F}"/>
    <cellStyle name="Normal 9 3 3 8" xfId="4896" xr:uid="{00000000-0005-0000-0000-000021200000}"/>
    <cellStyle name="Normal 9 3 3 8 2" xfId="13346" xr:uid="{6B1B8C0A-48E9-4BE1-9CB6-E452AC103850}"/>
    <cellStyle name="Normal 9 3 3 9" xfId="9128" xr:uid="{9F7F3DC0-107F-4628-BB2B-CB97F444CA37}"/>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C7622AD0-29E9-4ECF-BBF8-8C78D0AEC603}"/>
    <cellStyle name="Normal 9 3 4 2 2 3" xfId="11688" xr:uid="{814A67B7-8063-4441-9D9C-6894FF8B30EA}"/>
    <cellStyle name="Normal 9 3 4 2 3" xfId="5311" xr:uid="{00000000-0005-0000-0000-000026200000}"/>
    <cellStyle name="Normal 9 3 4 2 3 2" xfId="13761" xr:uid="{7015CA54-DADF-4042-B1EF-500B236F566D}"/>
    <cellStyle name="Normal 9 3 4 2 4" xfId="9543" xr:uid="{A9ECFAA7-1BA6-4B1D-80A4-05DAB4C47D3F}"/>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58BB7A55-693C-421D-82EB-AA0B72D44E23}"/>
    <cellStyle name="Normal 9 3 4 3 2 3" xfId="12101" xr:uid="{7CC4304A-C194-446A-A44B-B16D7F035F1C}"/>
    <cellStyle name="Normal 9 3 4 3 3" xfId="5724" xr:uid="{00000000-0005-0000-0000-00002A200000}"/>
    <cellStyle name="Normal 9 3 4 3 3 2" xfId="14174" xr:uid="{FDBDF758-6AA4-4239-8914-B80D54C94781}"/>
    <cellStyle name="Normal 9 3 4 3 4" xfId="9956" xr:uid="{3E775A6C-1B4C-472C-87BC-F7F1BF15FFDB}"/>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17744F44-3832-4550-B347-D7468DFF757B}"/>
    <cellStyle name="Normal 9 3 4 4 2 3" xfId="12514" xr:uid="{C7FB52CA-6903-40F1-9E83-7AC299BEA5F2}"/>
    <cellStyle name="Normal 9 3 4 4 3" xfId="6137" xr:uid="{00000000-0005-0000-0000-00002E200000}"/>
    <cellStyle name="Normal 9 3 4 4 3 2" xfId="14587" xr:uid="{0FE6AA50-C31C-402E-9E22-B9275E19B9F7}"/>
    <cellStyle name="Normal 9 3 4 4 4" xfId="10369" xr:uid="{377A6536-A55F-4F3A-8CFC-01592FC05DAB}"/>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33AF95D5-BD2B-4692-AD0D-40A1806810E5}"/>
    <cellStyle name="Normal 9 3 4 5 2 3" xfId="12927" xr:uid="{CA600784-B65E-49D3-A1DA-8883EBFF7848}"/>
    <cellStyle name="Normal 9 3 4 5 3" xfId="6550" xr:uid="{00000000-0005-0000-0000-000032200000}"/>
    <cellStyle name="Normal 9 3 4 5 3 2" xfId="15000" xr:uid="{93D4A153-521E-46F2-AAF7-379ED6B48A10}"/>
    <cellStyle name="Normal 9 3 4 5 4" xfId="10782" xr:uid="{08539D4F-479A-49EE-9FAD-8DDBDDACAF87}"/>
    <cellStyle name="Normal 9 3 4 6" xfId="2680" xr:uid="{00000000-0005-0000-0000-000033200000}"/>
    <cellStyle name="Normal 9 3 4 6 2" xfId="6963" xr:uid="{00000000-0005-0000-0000-000034200000}"/>
    <cellStyle name="Normal 9 3 4 6 2 2" xfId="15413" xr:uid="{FED76A42-75DE-43B5-B9D6-206D967542ED}"/>
    <cellStyle name="Normal 9 3 4 6 3" xfId="11195" xr:uid="{CD887137-2C21-4FB2-B48A-606DA743EEEF}"/>
    <cellStyle name="Normal 9 3 4 7" xfId="4898" xr:uid="{00000000-0005-0000-0000-000035200000}"/>
    <cellStyle name="Normal 9 3 4 7 2" xfId="13348" xr:uid="{0F3A7261-E808-4B7B-858C-A2E7B5E3327C}"/>
    <cellStyle name="Normal 9 3 4 8" xfId="9130" xr:uid="{C9218C6A-4D7D-4F88-A3C4-2C3D4647CA4E}"/>
    <cellStyle name="Normal 9 3 5" xfId="994" xr:uid="{00000000-0005-0000-0000-000036200000}"/>
    <cellStyle name="Normal 9 3 5 2" xfId="3227" xr:uid="{00000000-0005-0000-0000-000037200000}"/>
    <cellStyle name="Normal 9 3 5 2 2" xfId="7449" xr:uid="{00000000-0005-0000-0000-000038200000}"/>
    <cellStyle name="Normal 9 3 5 2 2 2" xfId="15899" xr:uid="{24CB77C8-8716-44B4-BCB3-79BC0B95D35D}"/>
    <cellStyle name="Normal 9 3 5 2 3" xfId="11681" xr:uid="{54B26486-BBE8-4F96-8099-D96FC29AD481}"/>
    <cellStyle name="Normal 9 3 5 3" xfId="5304" xr:uid="{00000000-0005-0000-0000-000039200000}"/>
    <cellStyle name="Normal 9 3 5 3 2" xfId="13754" xr:uid="{73B30A1D-8AEC-4BDF-AEA6-81761D85FB21}"/>
    <cellStyle name="Normal 9 3 5 4" xfId="9536" xr:uid="{D9461B37-FC2B-481A-937D-C5D6199DA8C8}"/>
    <cellStyle name="Normal 9 3 6" xfId="1410" xr:uid="{00000000-0005-0000-0000-00003A200000}"/>
    <cellStyle name="Normal 9 3 6 2" xfId="3640" xr:uid="{00000000-0005-0000-0000-00003B200000}"/>
    <cellStyle name="Normal 9 3 6 2 2" xfId="7862" xr:uid="{00000000-0005-0000-0000-00003C200000}"/>
    <cellStyle name="Normal 9 3 6 2 2 2" xfId="16312" xr:uid="{AE144718-987D-4939-95CB-DE4620031DA3}"/>
    <cellStyle name="Normal 9 3 6 2 3" xfId="12094" xr:uid="{DB29AEB9-E7E6-42BD-8798-F12482A0B0B6}"/>
    <cellStyle name="Normal 9 3 6 3" xfId="5717" xr:uid="{00000000-0005-0000-0000-00003D200000}"/>
    <cellStyle name="Normal 9 3 6 3 2" xfId="14167" xr:uid="{B9EDD5F8-DDBF-4A12-8C5D-2FEC5FDC964F}"/>
    <cellStyle name="Normal 9 3 6 4" xfId="9949" xr:uid="{595D23DF-6F9B-4F23-9691-25907BE06CA5}"/>
    <cellStyle name="Normal 9 3 7" xfId="1823" xr:uid="{00000000-0005-0000-0000-00003E200000}"/>
    <cellStyle name="Normal 9 3 7 2" xfId="4053" xr:uid="{00000000-0005-0000-0000-00003F200000}"/>
    <cellStyle name="Normal 9 3 7 2 2" xfId="8275" xr:uid="{00000000-0005-0000-0000-000040200000}"/>
    <cellStyle name="Normal 9 3 7 2 2 2" xfId="16725" xr:uid="{FAAC7B8A-71D8-41D4-AD0E-B227B076E230}"/>
    <cellStyle name="Normal 9 3 7 2 3" xfId="12507" xr:uid="{45CDB603-E9D3-4EB7-945F-22E7155F4F61}"/>
    <cellStyle name="Normal 9 3 7 3" xfId="6130" xr:uid="{00000000-0005-0000-0000-000041200000}"/>
    <cellStyle name="Normal 9 3 7 3 2" xfId="14580" xr:uid="{5360EED1-72FD-44FC-8B94-8C172EA7AC3A}"/>
    <cellStyle name="Normal 9 3 7 4" xfId="10362" xr:uid="{C1B4CC59-77C1-46A1-83D8-67992289DDDA}"/>
    <cellStyle name="Normal 9 3 8" xfId="2237" xr:uid="{00000000-0005-0000-0000-000042200000}"/>
    <cellStyle name="Normal 9 3 8 2" xfId="4466" xr:uid="{00000000-0005-0000-0000-000043200000}"/>
    <cellStyle name="Normal 9 3 8 2 2" xfId="8688" xr:uid="{00000000-0005-0000-0000-000044200000}"/>
    <cellStyle name="Normal 9 3 8 2 2 2" xfId="17138" xr:uid="{7BC107C1-3296-4E8C-8AE4-D73060130CA3}"/>
    <cellStyle name="Normal 9 3 8 2 3" xfId="12920" xr:uid="{A02BBFD6-8F93-499E-AA52-A2A875742B39}"/>
    <cellStyle name="Normal 9 3 8 3" xfId="6543" xr:uid="{00000000-0005-0000-0000-000045200000}"/>
    <cellStyle name="Normal 9 3 8 3 2" xfId="14993" xr:uid="{3A5F7108-31A2-4BA0-9E37-DF7E53C4A312}"/>
    <cellStyle name="Normal 9 3 8 4" xfId="10775" xr:uid="{80D96F8B-4A96-4C39-B17C-3E740BBE1196}"/>
    <cellStyle name="Normal 9 3 9" xfId="2673" xr:uid="{00000000-0005-0000-0000-000046200000}"/>
    <cellStyle name="Normal 9 3 9 2" xfId="6956" xr:uid="{00000000-0005-0000-0000-000047200000}"/>
    <cellStyle name="Normal 9 3 9 2 2" xfId="15406" xr:uid="{78BA2B3E-11F3-4985-B6AB-0C4BFC1EFBF3}"/>
    <cellStyle name="Normal 9 3 9 3" xfId="11188" xr:uid="{28A806F5-89A6-49B5-8010-A675BC29662B}"/>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1D161794-1A30-4551-A0F9-22F360BC24FA}"/>
    <cellStyle name="Normal 9 5 2 2 2 3" xfId="11690" xr:uid="{A0AD30BE-178C-4CB3-92A4-08B84B4243E9}"/>
    <cellStyle name="Normal 9 5 2 2 3" xfId="5313" xr:uid="{00000000-0005-0000-0000-00004F200000}"/>
    <cellStyle name="Normal 9 5 2 2 3 2" xfId="13763" xr:uid="{7A98BF5C-7595-42E3-882A-F80AAC06B77F}"/>
    <cellStyle name="Normal 9 5 2 2 4" xfId="9545" xr:uid="{7986D4A8-8800-4429-86CB-2F061E96E3F1}"/>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A6292CC4-C573-49EC-B063-21FCF0CA5E72}"/>
    <cellStyle name="Normal 9 5 2 3 2 3" xfId="12103" xr:uid="{D4428089-F849-41AD-8479-C8D0D33EE3EE}"/>
    <cellStyle name="Normal 9 5 2 3 3" xfId="5726" xr:uid="{00000000-0005-0000-0000-000053200000}"/>
    <cellStyle name="Normal 9 5 2 3 3 2" xfId="14176" xr:uid="{295FCCC1-1B04-4E23-BE82-B037E3F9D38D}"/>
    <cellStyle name="Normal 9 5 2 3 4" xfId="9958" xr:uid="{B60B7D2A-43E0-4DFD-9793-1F6C5F470EDF}"/>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562D4B09-8DC2-4BE4-928E-78F6AC975432}"/>
    <cellStyle name="Normal 9 5 2 4 2 3" xfId="12516" xr:uid="{E50E4147-038A-4D15-8F26-2753BCEC676C}"/>
    <cellStyle name="Normal 9 5 2 4 3" xfId="6139" xr:uid="{00000000-0005-0000-0000-000057200000}"/>
    <cellStyle name="Normal 9 5 2 4 3 2" xfId="14589" xr:uid="{F408AE2D-2560-49B2-9D32-51B351E52405}"/>
    <cellStyle name="Normal 9 5 2 4 4" xfId="10371" xr:uid="{5D0B3E64-4C46-4ED4-BBC5-704029E54EE3}"/>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DAF37680-9725-4BF8-8DEF-75B6901BE143}"/>
    <cellStyle name="Normal 9 5 2 5 2 3" xfId="12929" xr:uid="{2BAA5BA2-555A-467E-8064-583BE42F8C26}"/>
    <cellStyle name="Normal 9 5 2 5 3" xfId="6552" xr:uid="{00000000-0005-0000-0000-00005B200000}"/>
    <cellStyle name="Normal 9 5 2 5 3 2" xfId="15002" xr:uid="{5EF0B147-A4D7-45AC-A636-A2402CB334CF}"/>
    <cellStyle name="Normal 9 5 2 5 4" xfId="10784" xr:uid="{E4D501CD-4DFA-4876-8E76-C0DB3B67CB82}"/>
    <cellStyle name="Normal 9 5 2 6" xfId="2682" xr:uid="{00000000-0005-0000-0000-00005C200000}"/>
    <cellStyle name="Normal 9 5 2 6 2" xfId="6965" xr:uid="{00000000-0005-0000-0000-00005D200000}"/>
    <cellStyle name="Normal 9 5 2 6 2 2" xfId="15415" xr:uid="{50D2D13F-C8D8-4C37-883E-079BA0D4E908}"/>
    <cellStyle name="Normal 9 5 2 6 3" xfId="11197" xr:uid="{823156D5-1DE6-49D8-8460-D9A15C9B2123}"/>
    <cellStyle name="Normal 9 5 2 7" xfId="4900" xr:uid="{00000000-0005-0000-0000-00005E200000}"/>
    <cellStyle name="Normal 9 5 2 7 2" xfId="13350" xr:uid="{40D67F47-2E4B-47B6-8F6A-0CDAE3B9E68E}"/>
    <cellStyle name="Normal 9 5 2 8" xfId="9132" xr:uid="{450027BC-6AAA-4A0F-8C64-0D081815257F}"/>
    <cellStyle name="Normal 9 5 3" xfId="1003" xr:uid="{00000000-0005-0000-0000-00005F200000}"/>
    <cellStyle name="Normal 9 5 3 2" xfId="3235" xr:uid="{00000000-0005-0000-0000-000060200000}"/>
    <cellStyle name="Normal 9 5 3 2 2" xfId="7457" xr:uid="{00000000-0005-0000-0000-000061200000}"/>
    <cellStyle name="Normal 9 5 3 2 2 2" xfId="15907" xr:uid="{C6B19BC3-22B0-47CC-BD7D-229720A203CC}"/>
    <cellStyle name="Normal 9 5 3 2 3" xfId="11689" xr:uid="{B3D7F98D-2513-4C1D-AF7A-FB306FAE90D4}"/>
    <cellStyle name="Normal 9 5 3 3" xfId="5312" xr:uid="{00000000-0005-0000-0000-000062200000}"/>
    <cellStyle name="Normal 9 5 3 3 2" xfId="13762" xr:uid="{E8F87DC0-F0BC-4A08-839F-1787A821B662}"/>
    <cellStyle name="Normal 9 5 3 4" xfId="9544" xr:uid="{3BA60CFD-65DC-4954-B430-B5704A78043E}"/>
    <cellStyle name="Normal 9 5 4" xfId="1418" xr:uid="{00000000-0005-0000-0000-000063200000}"/>
    <cellStyle name="Normal 9 5 4 2" xfId="3648" xr:uid="{00000000-0005-0000-0000-000064200000}"/>
    <cellStyle name="Normal 9 5 4 2 2" xfId="7870" xr:uid="{00000000-0005-0000-0000-000065200000}"/>
    <cellStyle name="Normal 9 5 4 2 2 2" xfId="16320" xr:uid="{D31461CC-2E69-4AA5-AB5C-062CA1B6D051}"/>
    <cellStyle name="Normal 9 5 4 2 3" xfId="12102" xr:uid="{4E6B436F-D88A-4862-83E1-3D277973DEA7}"/>
    <cellStyle name="Normal 9 5 4 3" xfId="5725" xr:uid="{00000000-0005-0000-0000-000066200000}"/>
    <cellStyle name="Normal 9 5 4 3 2" xfId="14175" xr:uid="{3B209A2F-EB19-4949-B5A2-CDBFE06EBE3E}"/>
    <cellStyle name="Normal 9 5 4 4" xfId="9957" xr:uid="{44315A65-453E-4FF7-BDE8-FC5548B18F51}"/>
    <cellStyle name="Normal 9 5 5" xfId="1831" xr:uid="{00000000-0005-0000-0000-000067200000}"/>
    <cellStyle name="Normal 9 5 5 2" xfId="4061" xr:uid="{00000000-0005-0000-0000-000068200000}"/>
    <cellStyle name="Normal 9 5 5 2 2" xfId="8283" xr:uid="{00000000-0005-0000-0000-000069200000}"/>
    <cellStyle name="Normal 9 5 5 2 2 2" xfId="16733" xr:uid="{400F8A66-3DBB-4CE7-BD55-D0B8326B3AD5}"/>
    <cellStyle name="Normal 9 5 5 2 3" xfId="12515" xr:uid="{9C2C2288-FE94-44EE-8EE4-9CE4F2B4FC8C}"/>
    <cellStyle name="Normal 9 5 5 3" xfId="6138" xr:uid="{00000000-0005-0000-0000-00006A200000}"/>
    <cellStyle name="Normal 9 5 5 3 2" xfId="14588" xr:uid="{2AD338B2-B549-471D-B495-CD3263D956AA}"/>
    <cellStyle name="Normal 9 5 5 4" xfId="10370" xr:uid="{25286065-1D69-4FBD-B850-E6AF59F1B9C2}"/>
    <cellStyle name="Normal 9 5 6" xfId="2245" xr:uid="{00000000-0005-0000-0000-00006B200000}"/>
    <cellStyle name="Normal 9 5 6 2" xfId="4474" xr:uid="{00000000-0005-0000-0000-00006C200000}"/>
    <cellStyle name="Normal 9 5 6 2 2" xfId="8696" xr:uid="{00000000-0005-0000-0000-00006D200000}"/>
    <cellStyle name="Normal 9 5 6 2 2 2" xfId="17146" xr:uid="{6962CF76-B920-46CE-8F96-D37176386885}"/>
    <cellStyle name="Normal 9 5 6 2 3" xfId="12928" xr:uid="{30E5007F-D2D2-44D1-A456-52F275FE1794}"/>
    <cellStyle name="Normal 9 5 6 3" xfId="6551" xr:uid="{00000000-0005-0000-0000-00006E200000}"/>
    <cellStyle name="Normal 9 5 6 3 2" xfId="15001" xr:uid="{85676248-B656-497B-A2EE-0357FB8300AF}"/>
    <cellStyle name="Normal 9 5 6 4" xfId="10783" xr:uid="{3A614012-1656-4905-86F0-0B401B48AB1D}"/>
    <cellStyle name="Normal 9 5 7" xfId="2681" xr:uid="{00000000-0005-0000-0000-00006F200000}"/>
    <cellStyle name="Normal 9 5 7 2" xfId="6964" xr:uid="{00000000-0005-0000-0000-000070200000}"/>
    <cellStyle name="Normal 9 5 7 2 2" xfId="15414" xr:uid="{2F0030FB-DA55-45A3-9053-06E375A6E3EE}"/>
    <cellStyle name="Normal 9 5 7 3" xfId="11196" xr:uid="{D9E66EC0-5939-4E8F-A23E-87F02B80A265}"/>
    <cellStyle name="Normal 9 5 8" xfId="4899" xr:uid="{00000000-0005-0000-0000-000071200000}"/>
    <cellStyle name="Normal 9 5 8 2" xfId="13349" xr:uid="{9880A457-B670-401D-93DA-9161FCA75D6B}"/>
    <cellStyle name="Normal 9 5 9" xfId="9131" xr:uid="{633A7AD4-D1B7-4124-AD18-A51499A6596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C9253519-C797-4590-8153-672978423B50}"/>
    <cellStyle name="Normal 9 6 2 2 3" xfId="11691" xr:uid="{E3FC27E1-06EF-4CF5-910A-22E7D1712F0A}"/>
    <cellStyle name="Normal 9 6 2 3" xfId="5314" xr:uid="{00000000-0005-0000-0000-000076200000}"/>
    <cellStyle name="Normal 9 6 2 3 2" xfId="13764" xr:uid="{394B7E7F-4ED2-4324-B5B6-B7D04D9CBC89}"/>
    <cellStyle name="Normal 9 6 2 4" xfId="9546" xr:uid="{CC06BF88-EF08-4F8E-83FF-E3E97185F119}"/>
    <cellStyle name="Normal 9 6 3" xfId="1420" xr:uid="{00000000-0005-0000-0000-000077200000}"/>
    <cellStyle name="Normal 9 6 3 2" xfId="3650" xr:uid="{00000000-0005-0000-0000-000078200000}"/>
    <cellStyle name="Normal 9 6 3 2 2" xfId="7872" xr:uid="{00000000-0005-0000-0000-000079200000}"/>
    <cellStyle name="Normal 9 6 3 2 2 2" xfId="16322" xr:uid="{4A3DAB95-22C6-49EC-A0EC-7013E614A9E6}"/>
    <cellStyle name="Normal 9 6 3 2 3" xfId="12104" xr:uid="{A8CEAEB1-3915-490D-9D51-9CA7E8D9A0A2}"/>
    <cellStyle name="Normal 9 6 3 3" xfId="5727" xr:uid="{00000000-0005-0000-0000-00007A200000}"/>
    <cellStyle name="Normal 9 6 3 3 2" xfId="14177" xr:uid="{F4DACD7C-0885-449B-8FE4-DAD6E77DC590}"/>
    <cellStyle name="Normal 9 6 3 4" xfId="9959" xr:uid="{BD7333B1-949A-45B1-9374-404F2C870D52}"/>
    <cellStyle name="Normal 9 6 4" xfId="1833" xr:uid="{00000000-0005-0000-0000-00007B200000}"/>
    <cellStyle name="Normal 9 6 4 2" xfId="4063" xr:uid="{00000000-0005-0000-0000-00007C200000}"/>
    <cellStyle name="Normal 9 6 4 2 2" xfId="8285" xr:uid="{00000000-0005-0000-0000-00007D200000}"/>
    <cellStyle name="Normal 9 6 4 2 2 2" xfId="16735" xr:uid="{C16F0775-5DAA-4D41-93BA-A0F696C3AD98}"/>
    <cellStyle name="Normal 9 6 4 2 3" xfId="12517" xr:uid="{032011C1-4328-4AE5-9110-186FB95E1DB5}"/>
    <cellStyle name="Normal 9 6 4 3" xfId="6140" xr:uid="{00000000-0005-0000-0000-00007E200000}"/>
    <cellStyle name="Normal 9 6 4 3 2" xfId="14590" xr:uid="{CB181CB7-9C1A-44BE-870C-46A3485CBAEF}"/>
    <cellStyle name="Normal 9 6 4 4" xfId="10372" xr:uid="{D531B2DB-9FFF-4DE7-A4AA-7F4657C118A8}"/>
    <cellStyle name="Normal 9 6 5" xfId="2247" xr:uid="{00000000-0005-0000-0000-00007F200000}"/>
    <cellStyle name="Normal 9 6 5 2" xfId="4476" xr:uid="{00000000-0005-0000-0000-000080200000}"/>
    <cellStyle name="Normal 9 6 5 2 2" xfId="8698" xr:uid="{00000000-0005-0000-0000-000081200000}"/>
    <cellStyle name="Normal 9 6 5 2 2 2" xfId="17148" xr:uid="{777C2F9C-6E19-46A4-AA31-F78998162EF2}"/>
    <cellStyle name="Normal 9 6 5 2 3" xfId="12930" xr:uid="{2665A81E-EDF0-4DAD-BCEC-CBE2216686D2}"/>
    <cellStyle name="Normal 9 6 5 3" xfId="6553" xr:uid="{00000000-0005-0000-0000-000082200000}"/>
    <cellStyle name="Normal 9 6 5 3 2" xfId="15003" xr:uid="{3C0D5AEB-C90B-4FBE-85BC-E52E123B0613}"/>
    <cellStyle name="Normal 9 6 5 4" xfId="10785" xr:uid="{0A214369-D1F8-4C57-9476-9BED047752BA}"/>
    <cellStyle name="Normal 9 6 6" xfId="2683" xr:uid="{00000000-0005-0000-0000-000083200000}"/>
    <cellStyle name="Normal 9 6 6 2" xfId="6966" xr:uid="{00000000-0005-0000-0000-000084200000}"/>
    <cellStyle name="Normal 9 6 6 2 2" xfId="15416" xr:uid="{89B15F4C-354B-414B-B73C-EABAD3911307}"/>
    <cellStyle name="Normal 9 6 6 3" xfId="11198" xr:uid="{CE4D3446-9C40-4F07-ABB9-CBBA446363C6}"/>
    <cellStyle name="Normal 9 6 7" xfId="4901" xr:uid="{00000000-0005-0000-0000-000085200000}"/>
    <cellStyle name="Normal 9 6 7 2" xfId="13351" xr:uid="{8218050A-20B6-44F6-B1D2-A49268C81682}"/>
    <cellStyle name="Normal 9 6 8" xfId="9133" xr:uid="{44ECBFEC-CD0A-4FF9-BFA8-303377E678E1}"/>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349742E1-6946-4D8E-A2BA-B8AEF5EC3A80}"/>
    <cellStyle name="Note 2 2 10 3" xfId="11279" xr:uid="{307606BC-6976-4A12-A757-BC7CAFD8F1DF}"/>
    <cellStyle name="Note 2 2 11" xfId="4902" xr:uid="{00000000-0005-0000-0000-000094200000}"/>
    <cellStyle name="Note 2 2 11 2" xfId="13352" xr:uid="{F94B83B3-99A4-4FB0-87C5-0C28A3099CF1}"/>
    <cellStyle name="Note 2 2 12" xfId="9134" xr:uid="{426F350C-84EC-4A3A-9FB2-6D349230D595}"/>
    <cellStyle name="Note 2 2 2" xfId="546" xr:uid="{00000000-0005-0000-0000-000095200000}"/>
    <cellStyle name="Note 2 2 2 10" xfId="4903" xr:uid="{00000000-0005-0000-0000-000096200000}"/>
    <cellStyle name="Note 2 2 2 10 2" xfId="13353" xr:uid="{1A58D05D-E602-4B77-8EDA-85A5A0CDD17A}"/>
    <cellStyle name="Note 2 2 2 11" xfId="9135" xr:uid="{9ED039F7-D184-4A51-9955-2BB15EC4DF7D}"/>
    <cellStyle name="Note 2 2 2 2" xfId="547" xr:uid="{00000000-0005-0000-0000-000097200000}"/>
    <cellStyle name="Note 2 2 2 2 10" xfId="9136" xr:uid="{DA5FC9D8-8727-4EBF-A8BD-C286C6AA504F}"/>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7B19650E-F19D-423E-A7B3-0A55C941A5D0}"/>
    <cellStyle name="Note 2 2 2 2 2 2 3" xfId="11694" xr:uid="{954AA80F-165C-4410-8A58-E1FDD5095F06}"/>
    <cellStyle name="Note 2 2 2 2 2 3" xfId="5317" xr:uid="{00000000-0005-0000-0000-00009B200000}"/>
    <cellStyle name="Note 2 2 2 2 2 3 2" xfId="13767" xr:uid="{89C6AC2D-B203-44C1-AA87-897F83C3D3CE}"/>
    <cellStyle name="Note 2 2 2 2 2 4" xfId="9549" xr:uid="{F615AF9B-C210-4EB3-AF74-5B800E91842C}"/>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163B6736-B915-48BE-8B7B-9E630E356590}"/>
    <cellStyle name="Note 2 2 2 2 3 2 3" xfId="12107" xr:uid="{7C31B2C2-6A2E-407F-90ED-891B02DC3D27}"/>
    <cellStyle name="Note 2 2 2 2 3 3" xfId="5730" xr:uid="{00000000-0005-0000-0000-00009F200000}"/>
    <cellStyle name="Note 2 2 2 2 3 3 2" xfId="14180" xr:uid="{18E59E3C-6E3D-4D77-B96D-319A92701694}"/>
    <cellStyle name="Note 2 2 2 2 3 4" xfId="9962" xr:uid="{1FEE6577-2EA7-46BB-A806-DB06A561B41D}"/>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3451FA46-3E68-44F4-A3D9-011D87130983}"/>
    <cellStyle name="Note 2 2 2 2 4 2 3" xfId="12520" xr:uid="{1B7C706A-0CDF-498E-B385-01E973100FC0}"/>
    <cellStyle name="Note 2 2 2 2 4 3" xfId="6143" xr:uid="{00000000-0005-0000-0000-0000A3200000}"/>
    <cellStyle name="Note 2 2 2 2 4 3 2" xfId="14593" xr:uid="{F597802C-F685-48EF-B1AC-BC3247B41C73}"/>
    <cellStyle name="Note 2 2 2 2 4 4" xfId="10375" xr:uid="{8A132E49-E723-40E0-AC84-0D3F4F401FDD}"/>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3C113583-57EB-4E06-ADDA-9A639BC5273B}"/>
    <cellStyle name="Note 2 2 2 2 5 2 3" xfId="12933" xr:uid="{1E5FB056-4497-47C8-865B-92247EB838F4}"/>
    <cellStyle name="Note 2 2 2 2 5 3" xfId="6556" xr:uid="{00000000-0005-0000-0000-0000A7200000}"/>
    <cellStyle name="Note 2 2 2 2 5 3 2" xfId="15006" xr:uid="{CE07A768-426B-473A-9EC6-2E69B0583B3B}"/>
    <cellStyle name="Note 2 2 2 2 5 4" xfId="10788" xr:uid="{0E9170FF-678B-46CC-984F-643A64B72E29}"/>
    <cellStyle name="Note 2 2 2 2 6" xfId="2686" xr:uid="{00000000-0005-0000-0000-0000A8200000}"/>
    <cellStyle name="Note 2 2 2 2 6 2" xfId="6969" xr:uid="{00000000-0005-0000-0000-0000A9200000}"/>
    <cellStyle name="Note 2 2 2 2 6 2 2" xfId="15419" xr:uid="{410E8681-48AE-4E0F-A016-36FEBFA3B29D}"/>
    <cellStyle name="Note 2 2 2 2 6 3" xfId="11201" xr:uid="{326047CC-75D8-49D9-BF84-F223B9D2C6CA}"/>
    <cellStyle name="Note 2 2 2 2 7" xfId="2745" xr:uid="{00000000-0005-0000-0000-0000AA200000}"/>
    <cellStyle name="Note 2 2 2 2 8" xfId="2826" xr:uid="{00000000-0005-0000-0000-0000AB200000}"/>
    <cellStyle name="Note 2 2 2 2 8 2" xfId="7049" xr:uid="{00000000-0005-0000-0000-0000AC200000}"/>
    <cellStyle name="Note 2 2 2 2 8 2 2" xfId="15499" xr:uid="{C0495326-0D6E-4003-93D9-6C0F5FE6E432}"/>
    <cellStyle name="Note 2 2 2 2 8 3" xfId="11281" xr:uid="{1605AC0F-8A61-4F72-BD9D-EBCA5F37BCEA}"/>
    <cellStyle name="Note 2 2 2 2 9" xfId="4904" xr:uid="{00000000-0005-0000-0000-0000AD200000}"/>
    <cellStyle name="Note 2 2 2 2 9 2" xfId="13354" xr:uid="{09BA8DAB-06F0-4171-B085-347F2EA333E5}"/>
    <cellStyle name="Note 2 2 2 3" xfId="1007" xr:uid="{00000000-0005-0000-0000-0000AE200000}"/>
    <cellStyle name="Note 2 2 2 3 2" xfId="3239" xr:uid="{00000000-0005-0000-0000-0000AF200000}"/>
    <cellStyle name="Note 2 2 2 3 2 2" xfId="7461" xr:uid="{00000000-0005-0000-0000-0000B0200000}"/>
    <cellStyle name="Note 2 2 2 3 2 2 2" xfId="15911" xr:uid="{9F46FB42-97AD-47F2-8AB2-07BA6848E961}"/>
    <cellStyle name="Note 2 2 2 3 2 3" xfId="11693" xr:uid="{596E969A-656D-419A-AEF9-8F93EA1EA9F4}"/>
    <cellStyle name="Note 2 2 2 3 3" xfId="5316" xr:uid="{00000000-0005-0000-0000-0000B1200000}"/>
    <cellStyle name="Note 2 2 2 3 3 2" xfId="13766" xr:uid="{8A20F6E4-69E0-41E7-AE16-631D7B45196D}"/>
    <cellStyle name="Note 2 2 2 3 4" xfId="9548" xr:uid="{8A0FAAE4-F67A-4C62-9FDD-B1FD4D86DE42}"/>
    <cellStyle name="Note 2 2 2 4" xfId="1422" xr:uid="{00000000-0005-0000-0000-0000B2200000}"/>
    <cellStyle name="Note 2 2 2 4 2" xfId="3652" xr:uid="{00000000-0005-0000-0000-0000B3200000}"/>
    <cellStyle name="Note 2 2 2 4 2 2" xfId="7874" xr:uid="{00000000-0005-0000-0000-0000B4200000}"/>
    <cellStyle name="Note 2 2 2 4 2 2 2" xfId="16324" xr:uid="{46C71A97-FE74-44B6-9125-ED98E1E1F055}"/>
    <cellStyle name="Note 2 2 2 4 2 3" xfId="12106" xr:uid="{8DB8B4C6-D2A9-4312-BCD3-DB72A3D69AF9}"/>
    <cellStyle name="Note 2 2 2 4 3" xfId="5729" xr:uid="{00000000-0005-0000-0000-0000B5200000}"/>
    <cellStyle name="Note 2 2 2 4 3 2" xfId="14179" xr:uid="{45DD710C-CDD0-4AA2-9292-B86819FA5D75}"/>
    <cellStyle name="Note 2 2 2 4 4" xfId="9961" xr:uid="{10D7ECCA-CD14-4A7F-BBF3-EF07350BB9BC}"/>
    <cellStyle name="Note 2 2 2 5" xfId="1836" xr:uid="{00000000-0005-0000-0000-0000B6200000}"/>
    <cellStyle name="Note 2 2 2 5 2" xfId="4065" xr:uid="{00000000-0005-0000-0000-0000B7200000}"/>
    <cellStyle name="Note 2 2 2 5 2 2" xfId="8287" xr:uid="{00000000-0005-0000-0000-0000B8200000}"/>
    <cellStyle name="Note 2 2 2 5 2 2 2" xfId="16737" xr:uid="{589474A1-EBCA-4B7C-9C6E-09E3FCEE8EF4}"/>
    <cellStyle name="Note 2 2 2 5 2 3" xfId="12519" xr:uid="{0D98F671-D315-4BBE-8403-ADA9B356B1E6}"/>
    <cellStyle name="Note 2 2 2 5 3" xfId="6142" xr:uid="{00000000-0005-0000-0000-0000B9200000}"/>
    <cellStyle name="Note 2 2 2 5 3 2" xfId="14592" xr:uid="{6E45B675-8162-4071-BDBB-7E855EE12815}"/>
    <cellStyle name="Note 2 2 2 5 4" xfId="10374" xr:uid="{949BEF17-678B-4EF3-B49D-4854CC45DB6F}"/>
    <cellStyle name="Note 2 2 2 6" xfId="2249" xr:uid="{00000000-0005-0000-0000-0000BA200000}"/>
    <cellStyle name="Note 2 2 2 6 2" xfId="4478" xr:uid="{00000000-0005-0000-0000-0000BB200000}"/>
    <cellStyle name="Note 2 2 2 6 2 2" xfId="8700" xr:uid="{00000000-0005-0000-0000-0000BC200000}"/>
    <cellStyle name="Note 2 2 2 6 2 2 2" xfId="17150" xr:uid="{D64E85D5-0194-408C-84ED-6C0EB5F49A9A}"/>
    <cellStyle name="Note 2 2 2 6 2 3" xfId="12932" xr:uid="{ED7CD5A5-9F7E-4C4B-92F8-0103EB56A8B4}"/>
    <cellStyle name="Note 2 2 2 6 3" xfId="6555" xr:uid="{00000000-0005-0000-0000-0000BD200000}"/>
    <cellStyle name="Note 2 2 2 6 3 2" xfId="15005" xr:uid="{BAF0DFCE-247A-4FB3-ABCE-4F72695F4B1F}"/>
    <cellStyle name="Note 2 2 2 6 4" xfId="10787" xr:uid="{5BA21486-466B-49AF-A2B9-E7FDAE80877A}"/>
    <cellStyle name="Note 2 2 2 7" xfId="2685" xr:uid="{00000000-0005-0000-0000-0000BE200000}"/>
    <cellStyle name="Note 2 2 2 7 2" xfId="6968" xr:uid="{00000000-0005-0000-0000-0000BF200000}"/>
    <cellStyle name="Note 2 2 2 7 2 2" xfId="15418" xr:uid="{7880E2F6-3A11-4FDD-9E5B-B81C29392B07}"/>
    <cellStyle name="Note 2 2 2 7 3" xfId="11200" xr:uid="{A67C2F0F-F655-4EE0-BFA2-5087C8906395}"/>
    <cellStyle name="Note 2 2 2 8" xfId="2744" xr:uid="{00000000-0005-0000-0000-0000C0200000}"/>
    <cellStyle name="Note 2 2 2 9" xfId="2825" xr:uid="{00000000-0005-0000-0000-0000C1200000}"/>
    <cellStyle name="Note 2 2 2 9 2" xfId="7048" xr:uid="{00000000-0005-0000-0000-0000C2200000}"/>
    <cellStyle name="Note 2 2 2 9 2 2" xfId="15498" xr:uid="{6D8495DB-8555-4F44-8845-87AFD7FDE488}"/>
    <cellStyle name="Note 2 2 2 9 3" xfId="11280" xr:uid="{FEDB561A-9E42-4845-87E4-C593BC9D7EE9}"/>
    <cellStyle name="Note 2 2 3" xfId="548" xr:uid="{00000000-0005-0000-0000-0000C3200000}"/>
    <cellStyle name="Note 2 2 3 10" xfId="9137" xr:uid="{BD44AC6A-FA13-44EE-8129-322DF639DE1C}"/>
    <cellStyle name="Note 2 2 3 2" xfId="1009" xr:uid="{00000000-0005-0000-0000-0000C4200000}"/>
    <cellStyle name="Note 2 2 3 2 2" xfId="3241" xr:uid="{00000000-0005-0000-0000-0000C5200000}"/>
    <cellStyle name="Note 2 2 3 2 2 2" xfId="7463" xr:uid="{00000000-0005-0000-0000-0000C6200000}"/>
    <cellStyle name="Note 2 2 3 2 2 2 2" xfId="15913" xr:uid="{736AE4EC-3484-4A42-A6DC-2B5F25BF545D}"/>
    <cellStyle name="Note 2 2 3 2 2 3" xfId="11695" xr:uid="{5483DF26-89FE-437F-9345-EAD7C1BA34C9}"/>
    <cellStyle name="Note 2 2 3 2 3" xfId="5318" xr:uid="{00000000-0005-0000-0000-0000C7200000}"/>
    <cellStyle name="Note 2 2 3 2 3 2" xfId="13768" xr:uid="{5A757E92-6AA8-40A1-BB57-069F5B8FAB65}"/>
    <cellStyle name="Note 2 2 3 2 4" xfId="9550" xr:uid="{0BD49219-AEFA-4ECF-8937-C36AC293FE5E}"/>
    <cellStyle name="Note 2 2 3 3" xfId="1424" xr:uid="{00000000-0005-0000-0000-0000C8200000}"/>
    <cellStyle name="Note 2 2 3 3 2" xfId="3654" xr:uid="{00000000-0005-0000-0000-0000C9200000}"/>
    <cellStyle name="Note 2 2 3 3 2 2" xfId="7876" xr:uid="{00000000-0005-0000-0000-0000CA200000}"/>
    <cellStyle name="Note 2 2 3 3 2 2 2" xfId="16326" xr:uid="{C20CE3C5-E26F-41EA-BF0E-BE3A1B3DE697}"/>
    <cellStyle name="Note 2 2 3 3 2 3" xfId="12108" xr:uid="{3B5490EB-3A62-4A6F-921F-B300DB0FC424}"/>
    <cellStyle name="Note 2 2 3 3 3" xfId="5731" xr:uid="{00000000-0005-0000-0000-0000CB200000}"/>
    <cellStyle name="Note 2 2 3 3 3 2" xfId="14181" xr:uid="{8E94B42D-AF28-46CD-8448-EC4BE334A25D}"/>
    <cellStyle name="Note 2 2 3 3 4" xfId="9963" xr:uid="{5728499C-0524-4FF5-97E1-ED886264A1C6}"/>
    <cellStyle name="Note 2 2 3 4" xfId="1838" xr:uid="{00000000-0005-0000-0000-0000CC200000}"/>
    <cellStyle name="Note 2 2 3 4 2" xfId="4067" xr:uid="{00000000-0005-0000-0000-0000CD200000}"/>
    <cellStyle name="Note 2 2 3 4 2 2" xfId="8289" xr:uid="{00000000-0005-0000-0000-0000CE200000}"/>
    <cellStyle name="Note 2 2 3 4 2 2 2" xfId="16739" xr:uid="{F5FBD50B-6F5D-445D-9932-F53A78E53A87}"/>
    <cellStyle name="Note 2 2 3 4 2 3" xfId="12521" xr:uid="{44448B4C-134B-4B67-A920-7CA1AB2E1DEB}"/>
    <cellStyle name="Note 2 2 3 4 3" xfId="6144" xr:uid="{00000000-0005-0000-0000-0000CF200000}"/>
    <cellStyle name="Note 2 2 3 4 3 2" xfId="14594" xr:uid="{0FD84E9A-1E91-4639-A449-7E3CE79372CE}"/>
    <cellStyle name="Note 2 2 3 4 4" xfId="10376" xr:uid="{5AC3C160-855F-4D50-ABFC-4580D0B85288}"/>
    <cellStyle name="Note 2 2 3 5" xfId="2251" xr:uid="{00000000-0005-0000-0000-0000D0200000}"/>
    <cellStyle name="Note 2 2 3 5 2" xfId="4480" xr:uid="{00000000-0005-0000-0000-0000D1200000}"/>
    <cellStyle name="Note 2 2 3 5 2 2" xfId="8702" xr:uid="{00000000-0005-0000-0000-0000D2200000}"/>
    <cellStyle name="Note 2 2 3 5 2 2 2" xfId="17152" xr:uid="{6203DED6-E63B-4A44-A962-4DF0ECCB33AD}"/>
    <cellStyle name="Note 2 2 3 5 2 3" xfId="12934" xr:uid="{E1ABDD7A-C5D5-4D09-B43E-B3D9E344F29B}"/>
    <cellStyle name="Note 2 2 3 5 3" xfId="6557" xr:uid="{00000000-0005-0000-0000-0000D3200000}"/>
    <cellStyle name="Note 2 2 3 5 3 2" xfId="15007" xr:uid="{CEBE0072-BD7B-41EC-BB81-043FB71F0BA9}"/>
    <cellStyle name="Note 2 2 3 5 4" xfId="10789" xr:uid="{9BAFD4C0-394B-4661-89A0-1D6E2012BCDF}"/>
    <cellStyle name="Note 2 2 3 6" xfId="2687" xr:uid="{00000000-0005-0000-0000-0000D4200000}"/>
    <cellStyle name="Note 2 2 3 6 2" xfId="6970" xr:uid="{00000000-0005-0000-0000-0000D5200000}"/>
    <cellStyle name="Note 2 2 3 6 2 2" xfId="15420" xr:uid="{BA6E240C-DF58-4FA1-9226-111C7B951DCC}"/>
    <cellStyle name="Note 2 2 3 6 3" xfId="11202" xr:uid="{6CA01A53-8206-48CE-B80C-52031B1F7F4D}"/>
    <cellStyle name="Note 2 2 3 7" xfId="2746" xr:uid="{00000000-0005-0000-0000-0000D6200000}"/>
    <cellStyle name="Note 2 2 3 8" xfId="2827" xr:uid="{00000000-0005-0000-0000-0000D7200000}"/>
    <cellStyle name="Note 2 2 3 8 2" xfId="7050" xr:uid="{00000000-0005-0000-0000-0000D8200000}"/>
    <cellStyle name="Note 2 2 3 8 2 2" xfId="15500" xr:uid="{7001B6CB-0826-41F8-ACCD-2FF5E5939B0C}"/>
    <cellStyle name="Note 2 2 3 8 3" xfId="11282" xr:uid="{5E6ADF3B-9BA7-4631-81D2-5EE399AA0DD5}"/>
    <cellStyle name="Note 2 2 3 9" xfId="4905" xr:uid="{00000000-0005-0000-0000-0000D9200000}"/>
    <cellStyle name="Note 2 2 3 9 2" xfId="13355" xr:uid="{9E33AE92-1AA8-4B63-8B3C-7DCF56EDED1E}"/>
    <cellStyle name="Note 2 2 4" xfId="1006" xr:uid="{00000000-0005-0000-0000-0000DA200000}"/>
    <cellStyle name="Note 2 2 4 2" xfId="3238" xr:uid="{00000000-0005-0000-0000-0000DB200000}"/>
    <cellStyle name="Note 2 2 4 2 2" xfId="7460" xr:uid="{00000000-0005-0000-0000-0000DC200000}"/>
    <cellStyle name="Note 2 2 4 2 2 2" xfId="15910" xr:uid="{8A0741A9-957D-4762-8D8B-176588584376}"/>
    <cellStyle name="Note 2 2 4 2 3" xfId="11692" xr:uid="{9B86108E-7DC4-4B00-A724-92B96D0C46E3}"/>
    <cellStyle name="Note 2 2 4 3" xfId="5315" xr:uid="{00000000-0005-0000-0000-0000DD200000}"/>
    <cellStyle name="Note 2 2 4 3 2" xfId="13765" xr:uid="{ACA08FC6-BB9B-461B-874B-73D6C26DEA79}"/>
    <cellStyle name="Note 2 2 4 4" xfId="9547" xr:uid="{AAA07E56-420E-4628-B5BD-D5B73064F7DC}"/>
    <cellStyle name="Note 2 2 5" xfId="1421" xr:uid="{00000000-0005-0000-0000-0000DE200000}"/>
    <cellStyle name="Note 2 2 5 2" xfId="3651" xr:uid="{00000000-0005-0000-0000-0000DF200000}"/>
    <cellStyle name="Note 2 2 5 2 2" xfId="7873" xr:uid="{00000000-0005-0000-0000-0000E0200000}"/>
    <cellStyle name="Note 2 2 5 2 2 2" xfId="16323" xr:uid="{32260B52-321E-4195-B413-48A78B594736}"/>
    <cellStyle name="Note 2 2 5 2 3" xfId="12105" xr:uid="{F394D510-E9FA-4CD2-84A9-DBE44237D572}"/>
    <cellStyle name="Note 2 2 5 3" xfId="5728" xr:uid="{00000000-0005-0000-0000-0000E1200000}"/>
    <cellStyle name="Note 2 2 5 3 2" xfId="14178" xr:uid="{48C841A2-C8C5-4A39-8DA3-692F36AF8A3F}"/>
    <cellStyle name="Note 2 2 5 4" xfId="9960" xr:uid="{ACB3957C-752E-440A-9930-848FC7EDB1D4}"/>
    <cellStyle name="Note 2 2 6" xfId="1835" xr:uid="{00000000-0005-0000-0000-0000E2200000}"/>
    <cellStyle name="Note 2 2 6 2" xfId="4064" xr:uid="{00000000-0005-0000-0000-0000E3200000}"/>
    <cellStyle name="Note 2 2 6 2 2" xfId="8286" xr:uid="{00000000-0005-0000-0000-0000E4200000}"/>
    <cellStyle name="Note 2 2 6 2 2 2" xfId="16736" xr:uid="{4CDCEE42-BA96-4FFB-BA03-808374D83CF9}"/>
    <cellStyle name="Note 2 2 6 2 3" xfId="12518" xr:uid="{7E267057-4AC3-4D14-AD79-9DEBF333D906}"/>
    <cellStyle name="Note 2 2 6 3" xfId="6141" xr:uid="{00000000-0005-0000-0000-0000E5200000}"/>
    <cellStyle name="Note 2 2 6 3 2" xfId="14591" xr:uid="{AB16EA32-907E-4E53-8F0E-63EF6BEB61F9}"/>
    <cellStyle name="Note 2 2 6 4" xfId="10373" xr:uid="{BD200046-FBAD-41DF-B2E9-701F5E1D6CE4}"/>
    <cellStyle name="Note 2 2 7" xfId="2248" xr:uid="{00000000-0005-0000-0000-0000E6200000}"/>
    <cellStyle name="Note 2 2 7 2" xfId="4477" xr:uid="{00000000-0005-0000-0000-0000E7200000}"/>
    <cellStyle name="Note 2 2 7 2 2" xfId="8699" xr:uid="{00000000-0005-0000-0000-0000E8200000}"/>
    <cellStyle name="Note 2 2 7 2 2 2" xfId="17149" xr:uid="{CC5F14F2-B09F-4AE3-B7E9-A7C9D19788AD}"/>
    <cellStyle name="Note 2 2 7 2 3" xfId="12931" xr:uid="{3F5FECDC-3827-420E-BF1E-3F5AF551948D}"/>
    <cellStyle name="Note 2 2 7 3" xfId="6554" xr:uid="{00000000-0005-0000-0000-0000E9200000}"/>
    <cellStyle name="Note 2 2 7 3 2" xfId="15004" xr:uid="{10976520-639A-47D9-93FE-D3987D7E444E}"/>
    <cellStyle name="Note 2 2 7 4" xfId="10786" xr:uid="{49116CD7-1EF6-483E-9559-7022FA1E2B9D}"/>
    <cellStyle name="Note 2 2 8" xfId="2684" xr:uid="{00000000-0005-0000-0000-0000EA200000}"/>
    <cellStyle name="Note 2 2 8 2" xfId="6967" xr:uid="{00000000-0005-0000-0000-0000EB200000}"/>
    <cellStyle name="Note 2 2 8 2 2" xfId="15417" xr:uid="{5BEC688D-3C6E-4786-A66F-9827B5BCCE9F}"/>
    <cellStyle name="Note 2 2 8 3" xfId="11199" xr:uid="{10DFF536-F00C-4513-BA36-19E6629A0570}"/>
    <cellStyle name="Note 2 2 9" xfId="2743" xr:uid="{00000000-0005-0000-0000-0000EC200000}"/>
    <cellStyle name="Note 2 3" xfId="549" xr:uid="{00000000-0005-0000-0000-0000ED200000}"/>
    <cellStyle name="Note 2 3 10" xfId="4906" xr:uid="{00000000-0005-0000-0000-0000EE200000}"/>
    <cellStyle name="Note 2 3 10 2" xfId="13356" xr:uid="{51AA5A91-7C94-40BD-BE97-007DE5830784}"/>
    <cellStyle name="Note 2 3 11" xfId="9138" xr:uid="{180A687D-57B3-49DE-9FCB-0AFCA36E48F0}"/>
    <cellStyle name="Note 2 3 2" xfId="550" xr:uid="{00000000-0005-0000-0000-0000EF200000}"/>
    <cellStyle name="Note 2 3 2 10" xfId="9139" xr:uid="{B5165210-122E-4197-BA1E-292BD81DBC71}"/>
    <cellStyle name="Note 2 3 2 2" xfId="1011" xr:uid="{00000000-0005-0000-0000-0000F0200000}"/>
    <cellStyle name="Note 2 3 2 2 2" xfId="3243" xr:uid="{00000000-0005-0000-0000-0000F1200000}"/>
    <cellStyle name="Note 2 3 2 2 2 2" xfId="7465" xr:uid="{00000000-0005-0000-0000-0000F2200000}"/>
    <cellStyle name="Note 2 3 2 2 2 2 2" xfId="15915" xr:uid="{E4F538E3-CEAD-4014-83FC-55A519D5123C}"/>
    <cellStyle name="Note 2 3 2 2 2 3" xfId="11697" xr:uid="{AE558A2D-5321-42A1-85D3-74C62C7355FA}"/>
    <cellStyle name="Note 2 3 2 2 3" xfId="5320" xr:uid="{00000000-0005-0000-0000-0000F3200000}"/>
    <cellStyle name="Note 2 3 2 2 3 2" xfId="13770" xr:uid="{C971F302-05C5-49F7-A064-BFEF48AC3114}"/>
    <cellStyle name="Note 2 3 2 2 4" xfId="9552" xr:uid="{E6BEC6CF-3E26-494C-9176-630DDD04A467}"/>
    <cellStyle name="Note 2 3 2 3" xfId="1426" xr:uid="{00000000-0005-0000-0000-0000F4200000}"/>
    <cellStyle name="Note 2 3 2 3 2" xfId="3656" xr:uid="{00000000-0005-0000-0000-0000F5200000}"/>
    <cellStyle name="Note 2 3 2 3 2 2" xfId="7878" xr:uid="{00000000-0005-0000-0000-0000F6200000}"/>
    <cellStyle name="Note 2 3 2 3 2 2 2" xfId="16328" xr:uid="{225ABD4A-22B3-418B-8065-D11C2EE0F72A}"/>
    <cellStyle name="Note 2 3 2 3 2 3" xfId="12110" xr:uid="{8DEA8DC0-7592-49A1-9E41-62892154861B}"/>
    <cellStyle name="Note 2 3 2 3 3" xfId="5733" xr:uid="{00000000-0005-0000-0000-0000F7200000}"/>
    <cellStyle name="Note 2 3 2 3 3 2" xfId="14183" xr:uid="{CDBCB9F1-B6BC-42D3-BEDD-EE6A03413FD0}"/>
    <cellStyle name="Note 2 3 2 3 4" xfId="9965" xr:uid="{8FF18B35-FD2E-4681-A463-407684C8D335}"/>
    <cellStyle name="Note 2 3 2 4" xfId="1840" xr:uid="{00000000-0005-0000-0000-0000F8200000}"/>
    <cellStyle name="Note 2 3 2 4 2" xfId="4069" xr:uid="{00000000-0005-0000-0000-0000F9200000}"/>
    <cellStyle name="Note 2 3 2 4 2 2" xfId="8291" xr:uid="{00000000-0005-0000-0000-0000FA200000}"/>
    <cellStyle name="Note 2 3 2 4 2 2 2" xfId="16741" xr:uid="{F39E5470-02C0-4F7E-9265-D16E13A4C005}"/>
    <cellStyle name="Note 2 3 2 4 2 3" xfId="12523" xr:uid="{3E4E7865-E377-495D-80A4-1334A59C8776}"/>
    <cellStyle name="Note 2 3 2 4 3" xfId="6146" xr:uid="{00000000-0005-0000-0000-0000FB200000}"/>
    <cellStyle name="Note 2 3 2 4 3 2" xfId="14596" xr:uid="{3353F29D-BF1D-4457-847B-39084BBE2574}"/>
    <cellStyle name="Note 2 3 2 4 4" xfId="10378" xr:uid="{EB79C706-2CCC-41D4-B326-E97DB761C283}"/>
    <cellStyle name="Note 2 3 2 5" xfId="2253" xr:uid="{00000000-0005-0000-0000-0000FC200000}"/>
    <cellStyle name="Note 2 3 2 5 2" xfId="4482" xr:uid="{00000000-0005-0000-0000-0000FD200000}"/>
    <cellStyle name="Note 2 3 2 5 2 2" xfId="8704" xr:uid="{00000000-0005-0000-0000-0000FE200000}"/>
    <cellStyle name="Note 2 3 2 5 2 2 2" xfId="17154" xr:uid="{323F39AB-0E52-465F-BF2A-83B227AA8057}"/>
    <cellStyle name="Note 2 3 2 5 2 3" xfId="12936" xr:uid="{463C592C-2C9D-454D-A4FA-F9BAE10EBB43}"/>
    <cellStyle name="Note 2 3 2 5 3" xfId="6559" xr:uid="{00000000-0005-0000-0000-0000FF200000}"/>
    <cellStyle name="Note 2 3 2 5 3 2" xfId="15009" xr:uid="{34E3B1A9-81A7-4676-B202-F398433FB582}"/>
    <cellStyle name="Note 2 3 2 5 4" xfId="10791" xr:uid="{4885E430-B958-4AC6-869E-35819E8D5450}"/>
    <cellStyle name="Note 2 3 2 6" xfId="2689" xr:uid="{00000000-0005-0000-0000-000000210000}"/>
    <cellStyle name="Note 2 3 2 6 2" xfId="6972" xr:uid="{00000000-0005-0000-0000-000001210000}"/>
    <cellStyle name="Note 2 3 2 6 2 2" xfId="15422" xr:uid="{B100D79A-6A25-4F5E-9BEE-79EB58F99282}"/>
    <cellStyle name="Note 2 3 2 6 3" xfId="11204" xr:uid="{96317055-63DC-4AC8-A899-C9696E62CB11}"/>
    <cellStyle name="Note 2 3 2 7" xfId="2748" xr:uid="{00000000-0005-0000-0000-000002210000}"/>
    <cellStyle name="Note 2 3 2 8" xfId="2829" xr:uid="{00000000-0005-0000-0000-000003210000}"/>
    <cellStyle name="Note 2 3 2 8 2" xfId="7052" xr:uid="{00000000-0005-0000-0000-000004210000}"/>
    <cellStyle name="Note 2 3 2 8 2 2" xfId="15502" xr:uid="{243ECFF5-B99B-4B96-AA04-BDCB372CE45C}"/>
    <cellStyle name="Note 2 3 2 8 3" xfId="11284" xr:uid="{3772D2AC-279E-4820-AB3E-6B6073938D2C}"/>
    <cellStyle name="Note 2 3 2 9" xfId="4907" xr:uid="{00000000-0005-0000-0000-000005210000}"/>
    <cellStyle name="Note 2 3 2 9 2" xfId="13357" xr:uid="{592F9F08-4B01-4CAF-A6E6-35EADFD756C0}"/>
    <cellStyle name="Note 2 3 3" xfId="1010" xr:uid="{00000000-0005-0000-0000-000006210000}"/>
    <cellStyle name="Note 2 3 3 2" xfId="3242" xr:uid="{00000000-0005-0000-0000-000007210000}"/>
    <cellStyle name="Note 2 3 3 2 2" xfId="7464" xr:uid="{00000000-0005-0000-0000-000008210000}"/>
    <cellStyle name="Note 2 3 3 2 2 2" xfId="15914" xr:uid="{E886E22B-C002-4BB8-9112-E18A803AF862}"/>
    <cellStyle name="Note 2 3 3 2 3" xfId="11696" xr:uid="{8A901975-9E4F-4A11-A179-B8CE54681062}"/>
    <cellStyle name="Note 2 3 3 3" xfId="5319" xr:uid="{00000000-0005-0000-0000-000009210000}"/>
    <cellStyle name="Note 2 3 3 3 2" xfId="13769" xr:uid="{2A62AED5-23D3-4335-B4F9-E81F91F84C50}"/>
    <cellStyle name="Note 2 3 3 4" xfId="9551" xr:uid="{893DF8A7-D7EA-40F6-A5CA-FDEF9DDA6D32}"/>
    <cellStyle name="Note 2 3 4" xfId="1425" xr:uid="{00000000-0005-0000-0000-00000A210000}"/>
    <cellStyle name="Note 2 3 4 2" xfId="3655" xr:uid="{00000000-0005-0000-0000-00000B210000}"/>
    <cellStyle name="Note 2 3 4 2 2" xfId="7877" xr:uid="{00000000-0005-0000-0000-00000C210000}"/>
    <cellStyle name="Note 2 3 4 2 2 2" xfId="16327" xr:uid="{9E90EC9E-5FE1-4FF0-B09C-486EB7D0FE01}"/>
    <cellStyle name="Note 2 3 4 2 3" xfId="12109" xr:uid="{D5468740-C5EE-48CC-ABE5-DC702BEE3E54}"/>
    <cellStyle name="Note 2 3 4 3" xfId="5732" xr:uid="{00000000-0005-0000-0000-00000D210000}"/>
    <cellStyle name="Note 2 3 4 3 2" xfId="14182" xr:uid="{9200C547-F907-449B-916B-42E8CA832ACA}"/>
    <cellStyle name="Note 2 3 4 4" xfId="9964" xr:uid="{CA470A13-CE50-4573-882B-9FAE6BC7FE8C}"/>
    <cellStyle name="Note 2 3 5" xfId="1839" xr:uid="{00000000-0005-0000-0000-00000E210000}"/>
    <cellStyle name="Note 2 3 5 2" xfId="4068" xr:uid="{00000000-0005-0000-0000-00000F210000}"/>
    <cellStyle name="Note 2 3 5 2 2" xfId="8290" xr:uid="{00000000-0005-0000-0000-000010210000}"/>
    <cellStyle name="Note 2 3 5 2 2 2" xfId="16740" xr:uid="{53552CCC-D694-4FE5-90AA-A8881FD9DD05}"/>
    <cellStyle name="Note 2 3 5 2 3" xfId="12522" xr:uid="{6DE7F361-976F-43B5-B3FC-60B7DE276A17}"/>
    <cellStyle name="Note 2 3 5 3" xfId="6145" xr:uid="{00000000-0005-0000-0000-000011210000}"/>
    <cellStyle name="Note 2 3 5 3 2" xfId="14595" xr:uid="{EDA218CB-1050-4059-AE5F-4054FE2B9BB5}"/>
    <cellStyle name="Note 2 3 5 4" xfId="10377" xr:uid="{AD36380D-AD91-4CD8-8E69-9DC37D794BD4}"/>
    <cellStyle name="Note 2 3 6" xfId="2252" xr:uid="{00000000-0005-0000-0000-000012210000}"/>
    <cellStyle name="Note 2 3 6 2" xfId="4481" xr:uid="{00000000-0005-0000-0000-000013210000}"/>
    <cellStyle name="Note 2 3 6 2 2" xfId="8703" xr:uid="{00000000-0005-0000-0000-000014210000}"/>
    <cellStyle name="Note 2 3 6 2 2 2" xfId="17153" xr:uid="{173AD696-8E08-411B-96D3-FC1D4FC77EA0}"/>
    <cellStyle name="Note 2 3 6 2 3" xfId="12935" xr:uid="{0F73ADB8-694E-4954-954D-65079B12CDBE}"/>
    <cellStyle name="Note 2 3 6 3" xfId="6558" xr:uid="{00000000-0005-0000-0000-000015210000}"/>
    <cellStyle name="Note 2 3 6 3 2" xfId="15008" xr:uid="{7E8EF720-3663-4B18-8DF1-DBA3DBFEBA26}"/>
    <cellStyle name="Note 2 3 6 4" xfId="10790" xr:uid="{92D3B79C-7E63-4A94-BEEB-67B93FBED1AF}"/>
    <cellStyle name="Note 2 3 7" xfId="2688" xr:uid="{00000000-0005-0000-0000-000016210000}"/>
    <cellStyle name="Note 2 3 7 2" xfId="6971" xr:uid="{00000000-0005-0000-0000-000017210000}"/>
    <cellStyle name="Note 2 3 7 2 2" xfId="15421" xr:uid="{D6E2AC3F-05EC-4E94-B8AD-8AEE90B9C1D5}"/>
    <cellStyle name="Note 2 3 7 3" xfId="11203" xr:uid="{A67CC3A5-F7B8-47D2-BCCE-9FDA2B873137}"/>
    <cellStyle name="Note 2 3 8" xfId="2747" xr:uid="{00000000-0005-0000-0000-000018210000}"/>
    <cellStyle name="Note 2 3 9" xfId="2828" xr:uid="{00000000-0005-0000-0000-000019210000}"/>
    <cellStyle name="Note 2 3 9 2" xfId="7051" xr:uid="{00000000-0005-0000-0000-00001A210000}"/>
    <cellStyle name="Note 2 3 9 2 2" xfId="15501" xr:uid="{110DEA93-2F34-4F76-8A75-529435BC61F2}"/>
    <cellStyle name="Note 2 3 9 3" xfId="11283" xr:uid="{28512018-8C96-4947-A219-456165EDCB8E}"/>
    <cellStyle name="Note 2 4" xfId="551" xr:uid="{00000000-0005-0000-0000-00001B210000}"/>
    <cellStyle name="Note 2 4 10" xfId="9140" xr:uid="{005996FE-96A8-446A-831E-E2D3A8CDE445}"/>
    <cellStyle name="Note 2 4 2" xfId="1012" xr:uid="{00000000-0005-0000-0000-00001C210000}"/>
    <cellStyle name="Note 2 4 2 2" xfId="3244" xr:uid="{00000000-0005-0000-0000-00001D210000}"/>
    <cellStyle name="Note 2 4 2 2 2" xfId="7466" xr:uid="{00000000-0005-0000-0000-00001E210000}"/>
    <cellStyle name="Note 2 4 2 2 2 2" xfId="15916" xr:uid="{16696365-09BF-4CA3-BE99-B79EBC06E58E}"/>
    <cellStyle name="Note 2 4 2 2 3" xfId="11698" xr:uid="{B6A59E6D-1EAE-4F27-B8B2-EF97B828963F}"/>
    <cellStyle name="Note 2 4 2 3" xfId="5321" xr:uid="{00000000-0005-0000-0000-00001F210000}"/>
    <cellStyle name="Note 2 4 2 3 2" xfId="13771" xr:uid="{4EF18716-D9BB-4653-A4CF-6E29B74A6767}"/>
    <cellStyle name="Note 2 4 2 4" xfId="9553" xr:uid="{8A970E69-46A8-4FCC-BCEE-59014B279CD6}"/>
    <cellStyle name="Note 2 4 3" xfId="1427" xr:uid="{00000000-0005-0000-0000-000020210000}"/>
    <cellStyle name="Note 2 4 3 2" xfId="3657" xr:uid="{00000000-0005-0000-0000-000021210000}"/>
    <cellStyle name="Note 2 4 3 2 2" xfId="7879" xr:uid="{00000000-0005-0000-0000-000022210000}"/>
    <cellStyle name="Note 2 4 3 2 2 2" xfId="16329" xr:uid="{7086B4E6-8FC3-4BFB-9AEC-D620247DB074}"/>
    <cellStyle name="Note 2 4 3 2 3" xfId="12111" xr:uid="{4EC8F340-4633-476E-A406-39ED2E17A46A}"/>
    <cellStyle name="Note 2 4 3 3" xfId="5734" xr:uid="{00000000-0005-0000-0000-000023210000}"/>
    <cellStyle name="Note 2 4 3 3 2" xfId="14184" xr:uid="{D7123605-1583-41FE-B8DE-D91CE6C742D9}"/>
    <cellStyle name="Note 2 4 3 4" xfId="9966" xr:uid="{FC555420-D410-46AA-B4FD-029DCCDDAC3E}"/>
    <cellStyle name="Note 2 4 4" xfId="1841" xr:uid="{00000000-0005-0000-0000-000024210000}"/>
    <cellStyle name="Note 2 4 4 2" xfId="4070" xr:uid="{00000000-0005-0000-0000-000025210000}"/>
    <cellStyle name="Note 2 4 4 2 2" xfId="8292" xr:uid="{00000000-0005-0000-0000-000026210000}"/>
    <cellStyle name="Note 2 4 4 2 2 2" xfId="16742" xr:uid="{EB5C14E2-BA0B-4CF0-A265-84D9E2B33B0C}"/>
    <cellStyle name="Note 2 4 4 2 3" xfId="12524" xr:uid="{648AFE01-A3AE-47C3-B0B6-02D3236993EF}"/>
    <cellStyle name="Note 2 4 4 3" xfId="6147" xr:uid="{00000000-0005-0000-0000-000027210000}"/>
    <cellStyle name="Note 2 4 4 3 2" xfId="14597" xr:uid="{02E032C4-1538-43E3-9482-5422759C5D26}"/>
    <cellStyle name="Note 2 4 4 4" xfId="10379" xr:uid="{E4BBCD01-F20E-4791-8BFC-9B494DEE3655}"/>
    <cellStyle name="Note 2 4 5" xfId="2254" xr:uid="{00000000-0005-0000-0000-000028210000}"/>
    <cellStyle name="Note 2 4 5 2" xfId="4483" xr:uid="{00000000-0005-0000-0000-000029210000}"/>
    <cellStyle name="Note 2 4 5 2 2" xfId="8705" xr:uid="{00000000-0005-0000-0000-00002A210000}"/>
    <cellStyle name="Note 2 4 5 2 2 2" xfId="17155" xr:uid="{73179BDE-48E9-4C3A-9AF8-F240017746D9}"/>
    <cellStyle name="Note 2 4 5 2 3" xfId="12937" xr:uid="{29AA2F81-2604-4738-9A2C-266BDA03CE2D}"/>
    <cellStyle name="Note 2 4 5 3" xfId="6560" xr:uid="{00000000-0005-0000-0000-00002B210000}"/>
    <cellStyle name="Note 2 4 5 3 2" xfId="15010" xr:uid="{88524D0F-7B5F-4664-B5A4-7DFC3EF54F16}"/>
    <cellStyle name="Note 2 4 5 4" xfId="10792" xr:uid="{269F58C8-B64A-4B74-B25C-83CC11F18D89}"/>
    <cellStyle name="Note 2 4 6" xfId="2690" xr:uid="{00000000-0005-0000-0000-00002C210000}"/>
    <cellStyle name="Note 2 4 6 2" xfId="6973" xr:uid="{00000000-0005-0000-0000-00002D210000}"/>
    <cellStyle name="Note 2 4 6 2 2" xfId="15423" xr:uid="{3D938AD8-568C-45CF-BD30-DC3FBD1EF46C}"/>
    <cellStyle name="Note 2 4 6 3" xfId="11205" xr:uid="{97CA39CE-39A0-44B4-84CD-957A20755A35}"/>
    <cellStyle name="Note 2 4 7" xfId="2749" xr:uid="{00000000-0005-0000-0000-00002E210000}"/>
    <cellStyle name="Note 2 4 8" xfId="2830" xr:uid="{00000000-0005-0000-0000-00002F210000}"/>
    <cellStyle name="Note 2 4 8 2" xfId="7053" xr:uid="{00000000-0005-0000-0000-000030210000}"/>
    <cellStyle name="Note 2 4 8 2 2" xfId="15503" xr:uid="{36FA5890-765C-49CF-98D4-BFC193A2AE4F}"/>
    <cellStyle name="Note 2 4 8 3" xfId="11285" xr:uid="{F7117A52-7DDE-4B94-8270-30E849C88F5B}"/>
    <cellStyle name="Note 2 4 9" xfId="4908" xr:uid="{00000000-0005-0000-0000-000031210000}"/>
    <cellStyle name="Note 2 4 9 2" xfId="13358" xr:uid="{4CE5DF87-1CA8-473F-8240-1330897889B4}"/>
    <cellStyle name="Note 2 5" xfId="552" xr:uid="{00000000-0005-0000-0000-000032210000}"/>
    <cellStyle name="Note 2 5 10" xfId="9141" xr:uid="{AFC493C2-E671-4FAF-8C09-B4852B452193}"/>
    <cellStyle name="Note 2 5 2" xfId="1013" xr:uid="{00000000-0005-0000-0000-000033210000}"/>
    <cellStyle name="Note 2 5 2 2" xfId="3245" xr:uid="{00000000-0005-0000-0000-000034210000}"/>
    <cellStyle name="Note 2 5 2 2 2" xfId="7467" xr:uid="{00000000-0005-0000-0000-000035210000}"/>
    <cellStyle name="Note 2 5 2 2 2 2" xfId="15917" xr:uid="{CA599B48-B848-48DA-90D1-B4EB19BC8D50}"/>
    <cellStyle name="Note 2 5 2 2 3" xfId="11699" xr:uid="{16649FA9-91F7-4055-9CC8-55C5B8AEFB13}"/>
    <cellStyle name="Note 2 5 2 3" xfId="5322" xr:uid="{00000000-0005-0000-0000-000036210000}"/>
    <cellStyle name="Note 2 5 2 3 2" xfId="13772" xr:uid="{6267D7F5-09E5-49F3-904B-8FB408B5CE7E}"/>
    <cellStyle name="Note 2 5 2 4" xfId="9554" xr:uid="{413D8560-4115-41CA-8A61-0FA33D1C82F8}"/>
    <cellStyle name="Note 2 5 3" xfId="1428" xr:uid="{00000000-0005-0000-0000-000037210000}"/>
    <cellStyle name="Note 2 5 3 2" xfId="3658" xr:uid="{00000000-0005-0000-0000-000038210000}"/>
    <cellStyle name="Note 2 5 3 2 2" xfId="7880" xr:uid="{00000000-0005-0000-0000-000039210000}"/>
    <cellStyle name="Note 2 5 3 2 2 2" xfId="16330" xr:uid="{67512C38-80A9-401B-87B5-7818C83E97BD}"/>
    <cellStyle name="Note 2 5 3 2 3" xfId="12112" xr:uid="{E1B9E484-F51D-4000-9806-C79B4E591C2F}"/>
    <cellStyle name="Note 2 5 3 3" xfId="5735" xr:uid="{00000000-0005-0000-0000-00003A210000}"/>
    <cellStyle name="Note 2 5 3 3 2" xfId="14185" xr:uid="{994853C9-14DC-4987-997A-B75A3413A1DE}"/>
    <cellStyle name="Note 2 5 3 4" xfId="9967" xr:uid="{4E73D9E2-69BC-4E12-A6FF-3FE75D81F503}"/>
    <cellStyle name="Note 2 5 4" xfId="1842" xr:uid="{00000000-0005-0000-0000-00003B210000}"/>
    <cellStyle name="Note 2 5 4 2" xfId="4071" xr:uid="{00000000-0005-0000-0000-00003C210000}"/>
    <cellStyle name="Note 2 5 4 2 2" xfId="8293" xr:uid="{00000000-0005-0000-0000-00003D210000}"/>
    <cellStyle name="Note 2 5 4 2 2 2" xfId="16743" xr:uid="{287DA444-F79D-4979-9B40-ADC3325F9DF7}"/>
    <cellStyle name="Note 2 5 4 2 3" xfId="12525" xr:uid="{6DFFF807-29C6-48CF-98A8-FDEE4C9F9E5D}"/>
    <cellStyle name="Note 2 5 4 3" xfId="6148" xr:uid="{00000000-0005-0000-0000-00003E210000}"/>
    <cellStyle name="Note 2 5 4 3 2" xfId="14598" xr:uid="{398AFE05-F9C5-4063-9F62-1C32022E18E5}"/>
    <cellStyle name="Note 2 5 4 4" xfId="10380" xr:uid="{81674C7D-5D9F-49BF-8B40-7DB5CED96602}"/>
    <cellStyle name="Note 2 5 5" xfId="2255" xr:uid="{00000000-0005-0000-0000-00003F210000}"/>
    <cellStyle name="Note 2 5 5 2" xfId="4484" xr:uid="{00000000-0005-0000-0000-000040210000}"/>
    <cellStyle name="Note 2 5 5 2 2" xfId="8706" xr:uid="{00000000-0005-0000-0000-000041210000}"/>
    <cellStyle name="Note 2 5 5 2 2 2" xfId="17156" xr:uid="{E6909D9C-A20E-4FC3-8FC9-7F83C476CB94}"/>
    <cellStyle name="Note 2 5 5 2 3" xfId="12938" xr:uid="{9F02C76F-0179-4443-B87B-C23614D788D8}"/>
    <cellStyle name="Note 2 5 5 3" xfId="6561" xr:uid="{00000000-0005-0000-0000-000042210000}"/>
    <cellStyle name="Note 2 5 5 3 2" xfId="15011" xr:uid="{9BFEBD76-7B7F-47CB-91D2-65709FB80587}"/>
    <cellStyle name="Note 2 5 5 4" xfId="10793" xr:uid="{4A252ED3-6F1D-431B-82EF-0BE6ED05FEB0}"/>
    <cellStyle name="Note 2 5 6" xfId="2691" xr:uid="{00000000-0005-0000-0000-000043210000}"/>
    <cellStyle name="Note 2 5 6 2" xfId="6974" xr:uid="{00000000-0005-0000-0000-000044210000}"/>
    <cellStyle name="Note 2 5 6 2 2" xfId="15424" xr:uid="{2ABB6847-D1CB-4888-A8B3-A53AA5C0F1D6}"/>
    <cellStyle name="Note 2 5 6 3" xfId="11206" xr:uid="{8053C80E-3763-4F41-B71D-411245893147}"/>
    <cellStyle name="Note 2 5 7" xfId="2750" xr:uid="{00000000-0005-0000-0000-000045210000}"/>
    <cellStyle name="Note 2 5 8" xfId="2831" xr:uid="{00000000-0005-0000-0000-000046210000}"/>
    <cellStyle name="Note 2 5 8 2" xfId="7054" xr:uid="{00000000-0005-0000-0000-000047210000}"/>
    <cellStyle name="Note 2 5 8 2 2" xfId="15504" xr:uid="{8EFA6B66-9962-49B3-AC5C-99361BC66FCE}"/>
    <cellStyle name="Note 2 5 8 3" xfId="11286" xr:uid="{3FFE2EEA-56DE-47D5-8CCC-D16E96AC4748}"/>
    <cellStyle name="Note 2 5 9" xfId="4909" xr:uid="{00000000-0005-0000-0000-000048210000}"/>
    <cellStyle name="Note 2 5 9 2" xfId="13359" xr:uid="{A0624193-78AB-4023-AFC9-1C5223F3AA1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8F7C6C04-B2B4-4171-98DF-DFD68377A9A8}"/>
    <cellStyle name="Note 3 2 10 3" xfId="11287" xr:uid="{97E35291-ADFC-4665-A17E-C6F1D73D833A}"/>
    <cellStyle name="Note 3 2 11" xfId="4910" xr:uid="{00000000-0005-0000-0000-00004D210000}"/>
    <cellStyle name="Note 3 2 11 2" xfId="13360" xr:uid="{F5520F24-688D-4A51-B6D7-6289D54C2268}"/>
    <cellStyle name="Note 3 2 12" xfId="9142" xr:uid="{7C186047-298A-4914-AC3A-5FE9EFCB3CB6}"/>
    <cellStyle name="Note 3 2 2" xfId="555" xr:uid="{00000000-0005-0000-0000-00004E210000}"/>
    <cellStyle name="Note 3 2 2 10" xfId="4911" xr:uid="{00000000-0005-0000-0000-00004F210000}"/>
    <cellStyle name="Note 3 2 2 10 2" xfId="13361" xr:uid="{22286854-39BD-4DCB-9D31-18544C6F84C3}"/>
    <cellStyle name="Note 3 2 2 11" xfId="9143" xr:uid="{8E09AF43-4D08-4C48-9275-BA1B299C97A0}"/>
    <cellStyle name="Note 3 2 2 2" xfId="556" xr:uid="{00000000-0005-0000-0000-000050210000}"/>
    <cellStyle name="Note 3 2 2 2 10" xfId="9144" xr:uid="{0BBB9C8C-A5F8-4C02-9D76-90A89251F3E2}"/>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74183A4F-280D-45F3-BC3D-50A8CDA6D753}"/>
    <cellStyle name="Note 3 2 2 2 2 2 3" xfId="11702" xr:uid="{420458B7-D7F0-4FD4-9D6D-F8541457412E}"/>
    <cellStyle name="Note 3 2 2 2 2 3" xfId="5325" xr:uid="{00000000-0005-0000-0000-000054210000}"/>
    <cellStyle name="Note 3 2 2 2 2 3 2" xfId="13775" xr:uid="{0903A11D-B0F7-4A28-A1BB-663334A4B15A}"/>
    <cellStyle name="Note 3 2 2 2 2 4" xfId="9557" xr:uid="{43C7B7C9-6C3B-40E1-9A82-E84557DD6698}"/>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D4C6444D-4CAD-40DC-B5FC-93322CCEB4F0}"/>
    <cellStyle name="Note 3 2 2 2 3 2 3" xfId="12115" xr:uid="{0AC69C69-26E5-4329-8436-967024A12947}"/>
    <cellStyle name="Note 3 2 2 2 3 3" xfId="5738" xr:uid="{00000000-0005-0000-0000-000058210000}"/>
    <cellStyle name="Note 3 2 2 2 3 3 2" xfId="14188" xr:uid="{2B2E31DB-720C-43F7-B332-D8C29FAB01E8}"/>
    <cellStyle name="Note 3 2 2 2 3 4" xfId="9970" xr:uid="{FCF93426-DED6-462F-B42E-D7708D247D28}"/>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99640C43-6012-44FF-80D5-B7F2F544CE79}"/>
    <cellStyle name="Note 3 2 2 2 4 2 3" xfId="12528" xr:uid="{A2B06245-B269-46C2-B3AF-D727EB8E5448}"/>
    <cellStyle name="Note 3 2 2 2 4 3" xfId="6151" xr:uid="{00000000-0005-0000-0000-00005C210000}"/>
    <cellStyle name="Note 3 2 2 2 4 3 2" xfId="14601" xr:uid="{DB59631E-B772-4A97-92AF-F312C173E07E}"/>
    <cellStyle name="Note 3 2 2 2 4 4" xfId="10383" xr:uid="{B4909D2D-C2E7-428A-AA40-F50C04372452}"/>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9A38F940-95F2-4B49-B325-0F8F825AA648}"/>
    <cellStyle name="Note 3 2 2 2 5 2 3" xfId="12941" xr:uid="{D06DD760-3539-4756-A410-9C671147390B}"/>
    <cellStyle name="Note 3 2 2 2 5 3" xfId="6564" xr:uid="{00000000-0005-0000-0000-000060210000}"/>
    <cellStyle name="Note 3 2 2 2 5 3 2" xfId="15014" xr:uid="{1B420EFB-BF93-4D9F-8579-25AF344D60E4}"/>
    <cellStyle name="Note 3 2 2 2 5 4" xfId="10796" xr:uid="{92745BCC-C0D2-4305-8DC4-0C29B73E94B0}"/>
    <cellStyle name="Note 3 2 2 2 6" xfId="2694" xr:uid="{00000000-0005-0000-0000-000061210000}"/>
    <cellStyle name="Note 3 2 2 2 6 2" xfId="6977" xr:uid="{00000000-0005-0000-0000-000062210000}"/>
    <cellStyle name="Note 3 2 2 2 6 2 2" xfId="15427" xr:uid="{8C6ABD20-9559-498F-8963-4A23DBCC0341}"/>
    <cellStyle name="Note 3 2 2 2 6 3" xfId="11209" xr:uid="{5C87F463-730C-425E-9A46-15A3B63C89EC}"/>
    <cellStyle name="Note 3 2 2 2 7" xfId="2753" xr:uid="{00000000-0005-0000-0000-000063210000}"/>
    <cellStyle name="Note 3 2 2 2 8" xfId="2834" xr:uid="{00000000-0005-0000-0000-000064210000}"/>
    <cellStyle name="Note 3 2 2 2 8 2" xfId="7057" xr:uid="{00000000-0005-0000-0000-000065210000}"/>
    <cellStyle name="Note 3 2 2 2 8 2 2" xfId="15507" xr:uid="{2AEFBE9C-9394-4996-B988-2D1B7626B053}"/>
    <cellStyle name="Note 3 2 2 2 8 3" xfId="11289" xr:uid="{6EDFD0E3-D81B-4685-A532-F1B697AC20D9}"/>
    <cellStyle name="Note 3 2 2 2 9" xfId="4912" xr:uid="{00000000-0005-0000-0000-000066210000}"/>
    <cellStyle name="Note 3 2 2 2 9 2" xfId="13362" xr:uid="{2E9CED87-57CA-4E9B-9863-131745BB64AD}"/>
    <cellStyle name="Note 3 2 2 3" xfId="1015" xr:uid="{00000000-0005-0000-0000-000067210000}"/>
    <cellStyle name="Note 3 2 2 3 2" xfId="3247" xr:uid="{00000000-0005-0000-0000-000068210000}"/>
    <cellStyle name="Note 3 2 2 3 2 2" xfId="7469" xr:uid="{00000000-0005-0000-0000-000069210000}"/>
    <cellStyle name="Note 3 2 2 3 2 2 2" xfId="15919" xr:uid="{EB2FEE31-D8CF-4CFD-9F2E-7D5D5E904CF1}"/>
    <cellStyle name="Note 3 2 2 3 2 3" xfId="11701" xr:uid="{1A74651A-5491-4EA8-A81A-1FBA6F104110}"/>
    <cellStyle name="Note 3 2 2 3 3" xfId="5324" xr:uid="{00000000-0005-0000-0000-00006A210000}"/>
    <cellStyle name="Note 3 2 2 3 3 2" xfId="13774" xr:uid="{7ACC91DF-0727-4E22-BFA9-D42422182083}"/>
    <cellStyle name="Note 3 2 2 3 4" xfId="9556" xr:uid="{1F9C65DA-EA02-46C3-93E5-11B05951A1EB}"/>
    <cellStyle name="Note 3 2 2 4" xfId="1430" xr:uid="{00000000-0005-0000-0000-00006B210000}"/>
    <cellStyle name="Note 3 2 2 4 2" xfId="3660" xr:uid="{00000000-0005-0000-0000-00006C210000}"/>
    <cellStyle name="Note 3 2 2 4 2 2" xfId="7882" xr:uid="{00000000-0005-0000-0000-00006D210000}"/>
    <cellStyle name="Note 3 2 2 4 2 2 2" xfId="16332" xr:uid="{076CB527-632C-4B5D-A857-CCBE7BB7FE19}"/>
    <cellStyle name="Note 3 2 2 4 2 3" xfId="12114" xr:uid="{28290CFC-77C4-4D7D-8202-EF245BE58D39}"/>
    <cellStyle name="Note 3 2 2 4 3" xfId="5737" xr:uid="{00000000-0005-0000-0000-00006E210000}"/>
    <cellStyle name="Note 3 2 2 4 3 2" xfId="14187" xr:uid="{55BBE303-7319-4685-A8BC-11FFD7D57BA1}"/>
    <cellStyle name="Note 3 2 2 4 4" xfId="9969" xr:uid="{3284CFD7-F7A5-40A8-B7D4-96F948DB9045}"/>
    <cellStyle name="Note 3 2 2 5" xfId="1844" xr:uid="{00000000-0005-0000-0000-00006F210000}"/>
    <cellStyle name="Note 3 2 2 5 2" xfId="4073" xr:uid="{00000000-0005-0000-0000-000070210000}"/>
    <cellStyle name="Note 3 2 2 5 2 2" xfId="8295" xr:uid="{00000000-0005-0000-0000-000071210000}"/>
    <cellStyle name="Note 3 2 2 5 2 2 2" xfId="16745" xr:uid="{BBB0C48A-C552-413D-9624-946874869D69}"/>
    <cellStyle name="Note 3 2 2 5 2 3" xfId="12527" xr:uid="{2D90A4CE-C077-492F-87A2-FA4476603733}"/>
    <cellStyle name="Note 3 2 2 5 3" xfId="6150" xr:uid="{00000000-0005-0000-0000-000072210000}"/>
    <cellStyle name="Note 3 2 2 5 3 2" xfId="14600" xr:uid="{9C5CB22D-EDEE-44A4-ADDF-93EBC87F32B3}"/>
    <cellStyle name="Note 3 2 2 5 4" xfId="10382" xr:uid="{BB189A63-1513-4B96-BD62-88EAE7E65ACB}"/>
    <cellStyle name="Note 3 2 2 6" xfId="2257" xr:uid="{00000000-0005-0000-0000-000073210000}"/>
    <cellStyle name="Note 3 2 2 6 2" xfId="4486" xr:uid="{00000000-0005-0000-0000-000074210000}"/>
    <cellStyle name="Note 3 2 2 6 2 2" xfId="8708" xr:uid="{00000000-0005-0000-0000-000075210000}"/>
    <cellStyle name="Note 3 2 2 6 2 2 2" xfId="17158" xr:uid="{AAE31F21-6171-4CC4-860E-72E10E822C60}"/>
    <cellStyle name="Note 3 2 2 6 2 3" xfId="12940" xr:uid="{4264A7C1-01ED-4698-BDB1-14219E2927F4}"/>
    <cellStyle name="Note 3 2 2 6 3" xfId="6563" xr:uid="{00000000-0005-0000-0000-000076210000}"/>
    <cellStyle name="Note 3 2 2 6 3 2" xfId="15013" xr:uid="{9B185B73-B1AF-4714-8265-E97A7668DDCE}"/>
    <cellStyle name="Note 3 2 2 6 4" xfId="10795" xr:uid="{484FC24D-9520-407C-9352-485BF0103C47}"/>
    <cellStyle name="Note 3 2 2 7" xfId="2693" xr:uid="{00000000-0005-0000-0000-000077210000}"/>
    <cellStyle name="Note 3 2 2 7 2" xfId="6976" xr:uid="{00000000-0005-0000-0000-000078210000}"/>
    <cellStyle name="Note 3 2 2 7 2 2" xfId="15426" xr:uid="{DD3F67DB-6517-46D3-80C0-8ADDD6D873DE}"/>
    <cellStyle name="Note 3 2 2 7 3" xfId="11208" xr:uid="{76684F6F-702A-4B06-93A0-6C38A30CA42F}"/>
    <cellStyle name="Note 3 2 2 8" xfId="2752" xr:uid="{00000000-0005-0000-0000-000079210000}"/>
    <cellStyle name="Note 3 2 2 9" xfId="2833" xr:uid="{00000000-0005-0000-0000-00007A210000}"/>
    <cellStyle name="Note 3 2 2 9 2" xfId="7056" xr:uid="{00000000-0005-0000-0000-00007B210000}"/>
    <cellStyle name="Note 3 2 2 9 2 2" xfId="15506" xr:uid="{30FFD069-0E6E-4F5F-AC62-CE29E16B157C}"/>
    <cellStyle name="Note 3 2 2 9 3" xfId="11288" xr:uid="{D2075246-04F2-45E1-B85D-3C09E5861563}"/>
    <cellStyle name="Note 3 2 3" xfId="557" xr:uid="{00000000-0005-0000-0000-00007C210000}"/>
    <cellStyle name="Note 3 2 3 10" xfId="9145" xr:uid="{A7433655-FE3F-4E63-B970-BC79F98E5904}"/>
    <cellStyle name="Note 3 2 3 2" xfId="1017" xr:uid="{00000000-0005-0000-0000-00007D210000}"/>
    <cellStyle name="Note 3 2 3 2 2" xfId="3249" xr:uid="{00000000-0005-0000-0000-00007E210000}"/>
    <cellStyle name="Note 3 2 3 2 2 2" xfId="7471" xr:uid="{00000000-0005-0000-0000-00007F210000}"/>
    <cellStyle name="Note 3 2 3 2 2 2 2" xfId="15921" xr:uid="{DE7CC7B9-C075-40F3-A774-3A80702B3843}"/>
    <cellStyle name="Note 3 2 3 2 2 3" xfId="11703" xr:uid="{5411A49E-563B-46FD-9DAF-C42D754ABF28}"/>
    <cellStyle name="Note 3 2 3 2 3" xfId="5326" xr:uid="{00000000-0005-0000-0000-000080210000}"/>
    <cellStyle name="Note 3 2 3 2 3 2" xfId="13776" xr:uid="{995FA505-F77E-4FA5-9693-8F75379A7DE2}"/>
    <cellStyle name="Note 3 2 3 2 4" xfId="9558" xr:uid="{D986F12F-1B8C-4BE4-B42C-A257DC08A549}"/>
    <cellStyle name="Note 3 2 3 3" xfId="1432" xr:uid="{00000000-0005-0000-0000-000081210000}"/>
    <cellStyle name="Note 3 2 3 3 2" xfId="3662" xr:uid="{00000000-0005-0000-0000-000082210000}"/>
    <cellStyle name="Note 3 2 3 3 2 2" xfId="7884" xr:uid="{00000000-0005-0000-0000-000083210000}"/>
    <cellStyle name="Note 3 2 3 3 2 2 2" xfId="16334" xr:uid="{7CBBEE7E-2B6C-4388-91CF-D273B58A2A86}"/>
    <cellStyle name="Note 3 2 3 3 2 3" xfId="12116" xr:uid="{C9DF9F51-756E-482D-B166-1F57420316B5}"/>
    <cellStyle name="Note 3 2 3 3 3" xfId="5739" xr:uid="{00000000-0005-0000-0000-000084210000}"/>
    <cellStyle name="Note 3 2 3 3 3 2" xfId="14189" xr:uid="{AD3D7DCE-C932-47AC-909E-B97A8267E709}"/>
    <cellStyle name="Note 3 2 3 3 4" xfId="9971" xr:uid="{23A5CA54-BB4D-4F1F-8366-CC6ADD40831B}"/>
    <cellStyle name="Note 3 2 3 4" xfId="1846" xr:uid="{00000000-0005-0000-0000-000085210000}"/>
    <cellStyle name="Note 3 2 3 4 2" xfId="4075" xr:uid="{00000000-0005-0000-0000-000086210000}"/>
    <cellStyle name="Note 3 2 3 4 2 2" xfId="8297" xr:uid="{00000000-0005-0000-0000-000087210000}"/>
    <cellStyle name="Note 3 2 3 4 2 2 2" xfId="16747" xr:uid="{D5C85F45-A25B-49EE-B0C8-A2E467EAF971}"/>
    <cellStyle name="Note 3 2 3 4 2 3" xfId="12529" xr:uid="{408772BC-3213-4930-A863-58BE2F35115B}"/>
    <cellStyle name="Note 3 2 3 4 3" xfId="6152" xr:uid="{00000000-0005-0000-0000-000088210000}"/>
    <cellStyle name="Note 3 2 3 4 3 2" xfId="14602" xr:uid="{0229F790-F7BA-43D8-A0EA-344F0F2F1ADF}"/>
    <cellStyle name="Note 3 2 3 4 4" xfId="10384" xr:uid="{29F41EF4-64D7-4622-8547-945B36D798FA}"/>
    <cellStyle name="Note 3 2 3 5" xfId="2259" xr:uid="{00000000-0005-0000-0000-000089210000}"/>
    <cellStyle name="Note 3 2 3 5 2" xfId="4488" xr:uid="{00000000-0005-0000-0000-00008A210000}"/>
    <cellStyle name="Note 3 2 3 5 2 2" xfId="8710" xr:uid="{00000000-0005-0000-0000-00008B210000}"/>
    <cellStyle name="Note 3 2 3 5 2 2 2" xfId="17160" xr:uid="{B52D5DAC-E08F-4081-8889-4D2785A9D51A}"/>
    <cellStyle name="Note 3 2 3 5 2 3" xfId="12942" xr:uid="{2891C523-5C29-4065-8FD0-F13D998EB133}"/>
    <cellStyle name="Note 3 2 3 5 3" xfId="6565" xr:uid="{00000000-0005-0000-0000-00008C210000}"/>
    <cellStyle name="Note 3 2 3 5 3 2" xfId="15015" xr:uid="{39A5016D-147E-47E6-AC34-780560FC4A52}"/>
    <cellStyle name="Note 3 2 3 5 4" xfId="10797" xr:uid="{CD31050F-C2E6-4929-B916-003AB74DC94F}"/>
    <cellStyle name="Note 3 2 3 6" xfId="2695" xr:uid="{00000000-0005-0000-0000-00008D210000}"/>
    <cellStyle name="Note 3 2 3 6 2" xfId="6978" xr:uid="{00000000-0005-0000-0000-00008E210000}"/>
    <cellStyle name="Note 3 2 3 6 2 2" xfId="15428" xr:uid="{06A1BCB7-18A4-496B-8081-F6C7127D2613}"/>
    <cellStyle name="Note 3 2 3 6 3" xfId="11210" xr:uid="{E82866BE-4D24-4D57-B934-9D9E13259761}"/>
    <cellStyle name="Note 3 2 3 7" xfId="2754" xr:uid="{00000000-0005-0000-0000-00008F210000}"/>
    <cellStyle name="Note 3 2 3 8" xfId="2835" xr:uid="{00000000-0005-0000-0000-000090210000}"/>
    <cellStyle name="Note 3 2 3 8 2" xfId="7058" xr:uid="{00000000-0005-0000-0000-000091210000}"/>
    <cellStyle name="Note 3 2 3 8 2 2" xfId="15508" xr:uid="{6EC64BCF-A447-4077-BA8E-72901126CBE4}"/>
    <cellStyle name="Note 3 2 3 8 3" xfId="11290" xr:uid="{5E215DD5-B34B-4D71-A94F-13DA66BF0552}"/>
    <cellStyle name="Note 3 2 3 9" xfId="4913" xr:uid="{00000000-0005-0000-0000-000092210000}"/>
    <cellStyle name="Note 3 2 3 9 2" xfId="13363" xr:uid="{78107057-AC61-41E6-B32E-FEAAC7B3F9A5}"/>
    <cellStyle name="Note 3 2 4" xfId="1014" xr:uid="{00000000-0005-0000-0000-000093210000}"/>
    <cellStyle name="Note 3 2 4 2" xfId="3246" xr:uid="{00000000-0005-0000-0000-000094210000}"/>
    <cellStyle name="Note 3 2 4 2 2" xfId="7468" xr:uid="{00000000-0005-0000-0000-000095210000}"/>
    <cellStyle name="Note 3 2 4 2 2 2" xfId="15918" xr:uid="{B52CEC8A-BED4-4407-A5CA-52F39D91673E}"/>
    <cellStyle name="Note 3 2 4 2 3" xfId="11700" xr:uid="{FBAAFD3D-77F5-4C0C-A94E-83D549D917CC}"/>
    <cellStyle name="Note 3 2 4 3" xfId="5323" xr:uid="{00000000-0005-0000-0000-000096210000}"/>
    <cellStyle name="Note 3 2 4 3 2" xfId="13773" xr:uid="{D8C33BA0-CA57-435B-98E0-7E6915D5E5A1}"/>
    <cellStyle name="Note 3 2 4 4" xfId="9555" xr:uid="{79B2601C-441C-49E7-BD40-AEE18A6E516E}"/>
    <cellStyle name="Note 3 2 5" xfId="1429" xr:uid="{00000000-0005-0000-0000-000097210000}"/>
    <cellStyle name="Note 3 2 5 2" xfId="3659" xr:uid="{00000000-0005-0000-0000-000098210000}"/>
    <cellStyle name="Note 3 2 5 2 2" xfId="7881" xr:uid="{00000000-0005-0000-0000-000099210000}"/>
    <cellStyle name="Note 3 2 5 2 2 2" xfId="16331" xr:uid="{423BF046-332C-4718-AE7B-13E63D5D46EA}"/>
    <cellStyle name="Note 3 2 5 2 3" xfId="12113" xr:uid="{3E0129F5-99D2-4B69-AF7E-6870A5EB9071}"/>
    <cellStyle name="Note 3 2 5 3" xfId="5736" xr:uid="{00000000-0005-0000-0000-00009A210000}"/>
    <cellStyle name="Note 3 2 5 3 2" xfId="14186" xr:uid="{5BFE270C-DAB5-47B8-9343-8DA8529C5622}"/>
    <cellStyle name="Note 3 2 5 4" xfId="9968" xr:uid="{6FFBEE97-D6B8-482D-BC22-B4BE3B99484C}"/>
    <cellStyle name="Note 3 2 6" xfId="1843" xr:uid="{00000000-0005-0000-0000-00009B210000}"/>
    <cellStyle name="Note 3 2 6 2" xfId="4072" xr:uid="{00000000-0005-0000-0000-00009C210000}"/>
    <cellStyle name="Note 3 2 6 2 2" xfId="8294" xr:uid="{00000000-0005-0000-0000-00009D210000}"/>
    <cellStyle name="Note 3 2 6 2 2 2" xfId="16744" xr:uid="{8D95BC75-4E17-4BE9-8F43-09CBD44FDEDC}"/>
    <cellStyle name="Note 3 2 6 2 3" xfId="12526" xr:uid="{D042642C-53E4-4598-B290-DF6117308223}"/>
    <cellStyle name="Note 3 2 6 3" xfId="6149" xr:uid="{00000000-0005-0000-0000-00009E210000}"/>
    <cellStyle name="Note 3 2 6 3 2" xfId="14599" xr:uid="{2EDA0ABC-45F9-41E3-ABD7-3B4A5055AB68}"/>
    <cellStyle name="Note 3 2 6 4" xfId="10381" xr:uid="{EBDEBF40-0C41-4FC8-8312-EB29710EFFB7}"/>
    <cellStyle name="Note 3 2 7" xfId="2256" xr:uid="{00000000-0005-0000-0000-00009F210000}"/>
    <cellStyle name="Note 3 2 7 2" xfId="4485" xr:uid="{00000000-0005-0000-0000-0000A0210000}"/>
    <cellStyle name="Note 3 2 7 2 2" xfId="8707" xr:uid="{00000000-0005-0000-0000-0000A1210000}"/>
    <cellStyle name="Note 3 2 7 2 2 2" xfId="17157" xr:uid="{517FF24D-43C5-42A4-A045-70E19AD8EF55}"/>
    <cellStyle name="Note 3 2 7 2 3" xfId="12939" xr:uid="{53B8FF28-400F-4810-A969-E36EC06F721A}"/>
    <cellStyle name="Note 3 2 7 3" xfId="6562" xr:uid="{00000000-0005-0000-0000-0000A2210000}"/>
    <cellStyle name="Note 3 2 7 3 2" xfId="15012" xr:uid="{4BABEA1F-7146-4A6D-92A3-887B6C5A38F8}"/>
    <cellStyle name="Note 3 2 7 4" xfId="10794" xr:uid="{2EA945E4-B119-4A8A-A293-70F2DDAFD37E}"/>
    <cellStyle name="Note 3 2 8" xfId="2692" xr:uid="{00000000-0005-0000-0000-0000A3210000}"/>
    <cellStyle name="Note 3 2 8 2" xfId="6975" xr:uid="{00000000-0005-0000-0000-0000A4210000}"/>
    <cellStyle name="Note 3 2 8 2 2" xfId="15425" xr:uid="{522FCCED-6B28-47CA-A8D4-0DF4C23866AA}"/>
    <cellStyle name="Note 3 2 8 3" xfId="11207" xr:uid="{6D25F54F-3C23-4846-B3C2-3F37F7678334}"/>
    <cellStyle name="Note 3 2 9" xfId="2751" xr:uid="{00000000-0005-0000-0000-0000A5210000}"/>
    <cellStyle name="Note 3 3" xfId="558" xr:uid="{00000000-0005-0000-0000-0000A6210000}"/>
    <cellStyle name="Note 3 3 10" xfId="4914" xr:uid="{00000000-0005-0000-0000-0000A7210000}"/>
    <cellStyle name="Note 3 3 10 2" xfId="13364" xr:uid="{7616CF89-540C-4D7B-AAB4-F0E62EAE3A59}"/>
    <cellStyle name="Note 3 3 11" xfId="9146" xr:uid="{363FCD47-A5A6-4585-8A0C-06949C1D418D}"/>
    <cellStyle name="Note 3 3 2" xfId="559" xr:uid="{00000000-0005-0000-0000-0000A8210000}"/>
    <cellStyle name="Note 3 3 2 10" xfId="9147" xr:uid="{2C97F5DD-E5B1-4555-8B2E-46C21BD172B4}"/>
    <cellStyle name="Note 3 3 2 2" xfId="1019" xr:uid="{00000000-0005-0000-0000-0000A9210000}"/>
    <cellStyle name="Note 3 3 2 2 2" xfId="3251" xr:uid="{00000000-0005-0000-0000-0000AA210000}"/>
    <cellStyle name="Note 3 3 2 2 2 2" xfId="7473" xr:uid="{00000000-0005-0000-0000-0000AB210000}"/>
    <cellStyle name="Note 3 3 2 2 2 2 2" xfId="15923" xr:uid="{F2BBE6A2-FA50-421A-8C66-51788B5B2096}"/>
    <cellStyle name="Note 3 3 2 2 2 3" xfId="11705" xr:uid="{BA232B04-C16D-44B5-ABDE-6F75B2F50814}"/>
    <cellStyle name="Note 3 3 2 2 3" xfId="5328" xr:uid="{00000000-0005-0000-0000-0000AC210000}"/>
    <cellStyle name="Note 3 3 2 2 3 2" xfId="13778" xr:uid="{EF08091B-917B-4EA6-8829-3BF126835A35}"/>
    <cellStyle name="Note 3 3 2 2 4" xfId="9560" xr:uid="{08CB83BD-7594-4086-8EB1-56EDE8DEA1F7}"/>
    <cellStyle name="Note 3 3 2 3" xfId="1434" xr:uid="{00000000-0005-0000-0000-0000AD210000}"/>
    <cellStyle name="Note 3 3 2 3 2" xfId="3664" xr:uid="{00000000-0005-0000-0000-0000AE210000}"/>
    <cellStyle name="Note 3 3 2 3 2 2" xfId="7886" xr:uid="{00000000-0005-0000-0000-0000AF210000}"/>
    <cellStyle name="Note 3 3 2 3 2 2 2" xfId="16336" xr:uid="{D1EEC0E6-FDD7-4518-90B2-233D9E1CA12A}"/>
    <cellStyle name="Note 3 3 2 3 2 3" xfId="12118" xr:uid="{3CF94EED-2351-43B7-AF50-5CD576FACA5B}"/>
    <cellStyle name="Note 3 3 2 3 3" xfId="5741" xr:uid="{00000000-0005-0000-0000-0000B0210000}"/>
    <cellStyle name="Note 3 3 2 3 3 2" xfId="14191" xr:uid="{3D90015E-0A8D-4B31-92F0-5DDDBA7F9F0F}"/>
    <cellStyle name="Note 3 3 2 3 4" xfId="9973" xr:uid="{855C7BA6-F52E-46B9-A086-B1BB67B79925}"/>
    <cellStyle name="Note 3 3 2 4" xfId="1848" xr:uid="{00000000-0005-0000-0000-0000B1210000}"/>
    <cellStyle name="Note 3 3 2 4 2" xfId="4077" xr:uid="{00000000-0005-0000-0000-0000B2210000}"/>
    <cellStyle name="Note 3 3 2 4 2 2" xfId="8299" xr:uid="{00000000-0005-0000-0000-0000B3210000}"/>
    <cellStyle name="Note 3 3 2 4 2 2 2" xfId="16749" xr:uid="{2E9489A7-1B98-434B-80AD-C7020809D0D3}"/>
    <cellStyle name="Note 3 3 2 4 2 3" xfId="12531" xr:uid="{F0DCF14E-FF34-49DA-91B4-112DE60EEEA4}"/>
    <cellStyle name="Note 3 3 2 4 3" xfId="6154" xr:uid="{00000000-0005-0000-0000-0000B4210000}"/>
    <cellStyle name="Note 3 3 2 4 3 2" xfId="14604" xr:uid="{0EC0FF41-0E7A-400D-A601-A2E3D535C96A}"/>
    <cellStyle name="Note 3 3 2 4 4" xfId="10386" xr:uid="{44025079-5A1E-49AF-BC12-4F4779892FC4}"/>
    <cellStyle name="Note 3 3 2 5" xfId="2261" xr:uid="{00000000-0005-0000-0000-0000B5210000}"/>
    <cellStyle name="Note 3 3 2 5 2" xfId="4490" xr:uid="{00000000-0005-0000-0000-0000B6210000}"/>
    <cellStyle name="Note 3 3 2 5 2 2" xfId="8712" xr:uid="{00000000-0005-0000-0000-0000B7210000}"/>
    <cellStyle name="Note 3 3 2 5 2 2 2" xfId="17162" xr:uid="{345B5062-8FEB-44F2-86E1-92DC015AC8D2}"/>
    <cellStyle name="Note 3 3 2 5 2 3" xfId="12944" xr:uid="{C199E422-4390-49B2-B7FB-814AD3759935}"/>
    <cellStyle name="Note 3 3 2 5 3" xfId="6567" xr:uid="{00000000-0005-0000-0000-0000B8210000}"/>
    <cellStyle name="Note 3 3 2 5 3 2" xfId="15017" xr:uid="{33E116B3-E23D-4397-8F6D-0885FA2ECFC3}"/>
    <cellStyle name="Note 3 3 2 5 4" xfId="10799" xr:uid="{25C80CD5-A29C-42C1-BEBF-2A5323252399}"/>
    <cellStyle name="Note 3 3 2 6" xfId="2697" xr:uid="{00000000-0005-0000-0000-0000B9210000}"/>
    <cellStyle name="Note 3 3 2 6 2" xfId="6980" xr:uid="{00000000-0005-0000-0000-0000BA210000}"/>
    <cellStyle name="Note 3 3 2 6 2 2" xfId="15430" xr:uid="{4FEE5D2D-E6D9-41B3-BFFA-0A87A78656B6}"/>
    <cellStyle name="Note 3 3 2 6 3" xfId="11212" xr:uid="{42497926-3BB5-4583-93F6-7255144F7425}"/>
    <cellStyle name="Note 3 3 2 7" xfId="2756" xr:uid="{00000000-0005-0000-0000-0000BB210000}"/>
    <cellStyle name="Note 3 3 2 8" xfId="2837" xr:uid="{00000000-0005-0000-0000-0000BC210000}"/>
    <cellStyle name="Note 3 3 2 8 2" xfId="7060" xr:uid="{00000000-0005-0000-0000-0000BD210000}"/>
    <cellStyle name="Note 3 3 2 8 2 2" xfId="15510" xr:uid="{EEDF437C-43B0-45E2-A322-D69A0489E630}"/>
    <cellStyle name="Note 3 3 2 8 3" xfId="11292" xr:uid="{236B172E-9FA8-4AB6-86AF-245932D3921F}"/>
    <cellStyle name="Note 3 3 2 9" xfId="4915" xr:uid="{00000000-0005-0000-0000-0000BE210000}"/>
    <cellStyle name="Note 3 3 2 9 2" xfId="13365" xr:uid="{DAC36AE3-78BF-40B9-88BF-489775E67C54}"/>
    <cellStyle name="Note 3 3 3" xfId="1018" xr:uid="{00000000-0005-0000-0000-0000BF210000}"/>
    <cellStyle name="Note 3 3 3 2" xfId="3250" xr:uid="{00000000-0005-0000-0000-0000C0210000}"/>
    <cellStyle name="Note 3 3 3 2 2" xfId="7472" xr:uid="{00000000-0005-0000-0000-0000C1210000}"/>
    <cellStyle name="Note 3 3 3 2 2 2" xfId="15922" xr:uid="{14FA404A-90D2-4A9C-A251-DFB9660B33AF}"/>
    <cellStyle name="Note 3 3 3 2 3" xfId="11704" xr:uid="{2FB5FF3D-41E4-40A1-BCF3-5073682D9797}"/>
    <cellStyle name="Note 3 3 3 3" xfId="5327" xr:uid="{00000000-0005-0000-0000-0000C2210000}"/>
    <cellStyle name="Note 3 3 3 3 2" xfId="13777" xr:uid="{F9AFD207-AA07-4F07-8787-A9D5E873F6DD}"/>
    <cellStyle name="Note 3 3 3 4" xfId="9559" xr:uid="{C7AFB07B-0675-4D5B-A5C7-75D9D60D0C7C}"/>
    <cellStyle name="Note 3 3 4" xfId="1433" xr:uid="{00000000-0005-0000-0000-0000C3210000}"/>
    <cellStyle name="Note 3 3 4 2" xfId="3663" xr:uid="{00000000-0005-0000-0000-0000C4210000}"/>
    <cellStyle name="Note 3 3 4 2 2" xfId="7885" xr:uid="{00000000-0005-0000-0000-0000C5210000}"/>
    <cellStyle name="Note 3 3 4 2 2 2" xfId="16335" xr:uid="{81B8117E-0E1C-42E4-8B04-773950232889}"/>
    <cellStyle name="Note 3 3 4 2 3" xfId="12117" xr:uid="{2D7D48BA-6D4E-48C6-AF2C-FF380152CE57}"/>
    <cellStyle name="Note 3 3 4 3" xfId="5740" xr:uid="{00000000-0005-0000-0000-0000C6210000}"/>
    <cellStyle name="Note 3 3 4 3 2" xfId="14190" xr:uid="{168A64CA-23E9-4DFA-8AF8-10FC8DFB1C27}"/>
    <cellStyle name="Note 3 3 4 4" xfId="9972" xr:uid="{94D6A752-CFBB-4F1D-8A92-5F3C5AE1F4B5}"/>
    <cellStyle name="Note 3 3 5" xfId="1847" xr:uid="{00000000-0005-0000-0000-0000C7210000}"/>
    <cellStyle name="Note 3 3 5 2" xfId="4076" xr:uid="{00000000-0005-0000-0000-0000C8210000}"/>
    <cellStyle name="Note 3 3 5 2 2" xfId="8298" xr:uid="{00000000-0005-0000-0000-0000C9210000}"/>
    <cellStyle name="Note 3 3 5 2 2 2" xfId="16748" xr:uid="{57E92D38-1D3D-4123-B7B1-5EF6DA1B0B7F}"/>
    <cellStyle name="Note 3 3 5 2 3" xfId="12530" xr:uid="{4421F6B2-ED7B-4D2D-AA8F-9476FCA8793F}"/>
    <cellStyle name="Note 3 3 5 3" xfId="6153" xr:uid="{00000000-0005-0000-0000-0000CA210000}"/>
    <cellStyle name="Note 3 3 5 3 2" xfId="14603" xr:uid="{20D8E9A7-3835-4683-8811-1257F49D247F}"/>
    <cellStyle name="Note 3 3 5 4" xfId="10385" xr:uid="{32BF3EF9-308E-4E0F-9177-7CAE8D125258}"/>
    <cellStyle name="Note 3 3 6" xfId="2260" xr:uid="{00000000-0005-0000-0000-0000CB210000}"/>
    <cellStyle name="Note 3 3 6 2" xfId="4489" xr:uid="{00000000-0005-0000-0000-0000CC210000}"/>
    <cellStyle name="Note 3 3 6 2 2" xfId="8711" xr:uid="{00000000-0005-0000-0000-0000CD210000}"/>
    <cellStyle name="Note 3 3 6 2 2 2" xfId="17161" xr:uid="{9AF62E3B-2120-4220-9C2B-5862FDB38E62}"/>
    <cellStyle name="Note 3 3 6 2 3" xfId="12943" xr:uid="{1D88C67D-F01A-4E11-B1FC-32DA77AEB44B}"/>
    <cellStyle name="Note 3 3 6 3" xfId="6566" xr:uid="{00000000-0005-0000-0000-0000CE210000}"/>
    <cellStyle name="Note 3 3 6 3 2" xfId="15016" xr:uid="{BA2C7280-9017-4A6C-B12C-F566BDB6BDF1}"/>
    <cellStyle name="Note 3 3 6 4" xfId="10798" xr:uid="{D4060E81-8B2C-4C21-8E76-396194638C4C}"/>
    <cellStyle name="Note 3 3 7" xfId="2696" xr:uid="{00000000-0005-0000-0000-0000CF210000}"/>
    <cellStyle name="Note 3 3 7 2" xfId="6979" xr:uid="{00000000-0005-0000-0000-0000D0210000}"/>
    <cellStyle name="Note 3 3 7 2 2" xfId="15429" xr:uid="{64136F28-E02B-45F6-99BF-5D26FAF669CC}"/>
    <cellStyle name="Note 3 3 7 3" xfId="11211" xr:uid="{1AFB971B-96E6-494F-9440-675D2F69064C}"/>
    <cellStyle name="Note 3 3 8" xfId="2755" xr:uid="{00000000-0005-0000-0000-0000D1210000}"/>
    <cellStyle name="Note 3 3 9" xfId="2836" xr:uid="{00000000-0005-0000-0000-0000D2210000}"/>
    <cellStyle name="Note 3 3 9 2" xfId="7059" xr:uid="{00000000-0005-0000-0000-0000D3210000}"/>
    <cellStyle name="Note 3 3 9 2 2" xfId="15509" xr:uid="{9E929977-230F-49A1-81DF-F3B5CDFD5009}"/>
    <cellStyle name="Note 3 3 9 3" xfId="11291" xr:uid="{BAE5C59D-4334-4708-B07F-36ADCDBDEAA6}"/>
    <cellStyle name="Note 3 4" xfId="560" xr:uid="{00000000-0005-0000-0000-0000D4210000}"/>
    <cellStyle name="Note 3 4 10" xfId="9148" xr:uid="{37128979-2E81-425A-9B80-7A0B74F51B6C}"/>
    <cellStyle name="Note 3 4 2" xfId="1020" xr:uid="{00000000-0005-0000-0000-0000D5210000}"/>
    <cellStyle name="Note 3 4 2 2" xfId="3252" xr:uid="{00000000-0005-0000-0000-0000D6210000}"/>
    <cellStyle name="Note 3 4 2 2 2" xfId="7474" xr:uid="{00000000-0005-0000-0000-0000D7210000}"/>
    <cellStyle name="Note 3 4 2 2 2 2" xfId="15924" xr:uid="{4B7829ED-286C-456C-9390-60C41206577F}"/>
    <cellStyle name="Note 3 4 2 2 3" xfId="11706" xr:uid="{E339D223-3681-450D-9306-94B2F8DFCDAB}"/>
    <cellStyle name="Note 3 4 2 3" xfId="5329" xr:uid="{00000000-0005-0000-0000-0000D8210000}"/>
    <cellStyle name="Note 3 4 2 3 2" xfId="13779" xr:uid="{CC796912-1287-4682-9F5B-841D2B1FC672}"/>
    <cellStyle name="Note 3 4 2 4" xfId="9561" xr:uid="{21D2AC62-4B59-43D3-8EE7-9BCBDC54BF7A}"/>
    <cellStyle name="Note 3 4 3" xfId="1435" xr:uid="{00000000-0005-0000-0000-0000D9210000}"/>
    <cellStyle name="Note 3 4 3 2" xfId="3665" xr:uid="{00000000-0005-0000-0000-0000DA210000}"/>
    <cellStyle name="Note 3 4 3 2 2" xfId="7887" xr:uid="{00000000-0005-0000-0000-0000DB210000}"/>
    <cellStyle name="Note 3 4 3 2 2 2" xfId="16337" xr:uid="{F20D523F-F1A4-43E2-B0E5-5E720B5A0739}"/>
    <cellStyle name="Note 3 4 3 2 3" xfId="12119" xr:uid="{71D8AFB4-916F-46F2-8A85-77DB8FF7E098}"/>
    <cellStyle name="Note 3 4 3 3" xfId="5742" xr:uid="{00000000-0005-0000-0000-0000DC210000}"/>
    <cellStyle name="Note 3 4 3 3 2" xfId="14192" xr:uid="{9411AA65-B822-4CFC-8AA2-073F12A76366}"/>
    <cellStyle name="Note 3 4 3 4" xfId="9974" xr:uid="{64A3C061-04C2-4289-9262-A86765302179}"/>
    <cellStyle name="Note 3 4 4" xfId="1849" xr:uid="{00000000-0005-0000-0000-0000DD210000}"/>
    <cellStyle name="Note 3 4 4 2" xfId="4078" xr:uid="{00000000-0005-0000-0000-0000DE210000}"/>
    <cellStyle name="Note 3 4 4 2 2" xfId="8300" xr:uid="{00000000-0005-0000-0000-0000DF210000}"/>
    <cellStyle name="Note 3 4 4 2 2 2" xfId="16750" xr:uid="{A3859321-F349-4069-8207-BD3E268A2138}"/>
    <cellStyle name="Note 3 4 4 2 3" xfId="12532" xr:uid="{3C36B9E0-9349-4F22-A917-7AED375A8D71}"/>
    <cellStyle name="Note 3 4 4 3" xfId="6155" xr:uid="{00000000-0005-0000-0000-0000E0210000}"/>
    <cellStyle name="Note 3 4 4 3 2" xfId="14605" xr:uid="{CDFEE2EA-D823-436F-828E-21625BDC47B3}"/>
    <cellStyle name="Note 3 4 4 4" xfId="10387" xr:uid="{A4592E23-5BCE-4B75-B1C7-EC454204D6C1}"/>
    <cellStyle name="Note 3 4 5" xfId="2262" xr:uid="{00000000-0005-0000-0000-0000E1210000}"/>
    <cellStyle name="Note 3 4 5 2" xfId="4491" xr:uid="{00000000-0005-0000-0000-0000E2210000}"/>
    <cellStyle name="Note 3 4 5 2 2" xfId="8713" xr:uid="{00000000-0005-0000-0000-0000E3210000}"/>
    <cellStyle name="Note 3 4 5 2 2 2" xfId="17163" xr:uid="{46E799A0-5763-4D5F-95E5-B5DA894B591B}"/>
    <cellStyle name="Note 3 4 5 2 3" xfId="12945" xr:uid="{391CE7A7-2D91-48F4-9081-8F49E161A391}"/>
    <cellStyle name="Note 3 4 5 3" xfId="6568" xr:uid="{00000000-0005-0000-0000-0000E4210000}"/>
    <cellStyle name="Note 3 4 5 3 2" xfId="15018" xr:uid="{CAEE05C8-F987-40DC-BCD2-8AED659DFF9B}"/>
    <cellStyle name="Note 3 4 5 4" xfId="10800" xr:uid="{9D920A07-2E70-4BAE-BC7A-D1A11BC3038B}"/>
    <cellStyle name="Note 3 4 6" xfId="2698" xr:uid="{00000000-0005-0000-0000-0000E5210000}"/>
    <cellStyle name="Note 3 4 6 2" xfId="6981" xr:uid="{00000000-0005-0000-0000-0000E6210000}"/>
    <cellStyle name="Note 3 4 6 2 2" xfId="15431" xr:uid="{938FE36D-AF0A-4208-B6D3-1E60310A25BB}"/>
    <cellStyle name="Note 3 4 6 3" xfId="11213" xr:uid="{D2F85545-5C68-4FB4-9632-F1FF2842E835}"/>
    <cellStyle name="Note 3 4 7" xfId="2757" xr:uid="{00000000-0005-0000-0000-0000E7210000}"/>
    <cellStyle name="Note 3 4 8" xfId="2838" xr:uid="{00000000-0005-0000-0000-0000E8210000}"/>
    <cellStyle name="Note 3 4 8 2" xfId="7061" xr:uid="{00000000-0005-0000-0000-0000E9210000}"/>
    <cellStyle name="Note 3 4 8 2 2" xfId="15511" xr:uid="{6231D883-B5B4-4640-88C8-0FEDAC4F5601}"/>
    <cellStyle name="Note 3 4 8 3" xfId="11293" xr:uid="{9BDC6F5E-DDEC-45F9-BBC8-684F0B90F73F}"/>
    <cellStyle name="Note 3 4 9" xfId="4916" xr:uid="{00000000-0005-0000-0000-0000EA210000}"/>
    <cellStyle name="Note 3 4 9 2" xfId="13366" xr:uid="{55672168-B8DF-401E-BDA2-C49C71DA0322}"/>
    <cellStyle name="Note 3 5" xfId="561" xr:uid="{00000000-0005-0000-0000-0000EB210000}"/>
    <cellStyle name="Note 3 5 10" xfId="9149" xr:uid="{7746461B-1A1D-41DE-B228-7DAA2B589158}"/>
    <cellStyle name="Note 3 5 2" xfId="1021" xr:uid="{00000000-0005-0000-0000-0000EC210000}"/>
    <cellStyle name="Note 3 5 2 2" xfId="3253" xr:uid="{00000000-0005-0000-0000-0000ED210000}"/>
    <cellStyle name="Note 3 5 2 2 2" xfId="7475" xr:uid="{00000000-0005-0000-0000-0000EE210000}"/>
    <cellStyle name="Note 3 5 2 2 2 2" xfId="15925" xr:uid="{9FBDC517-67AD-487B-96B4-697670B9E2A6}"/>
    <cellStyle name="Note 3 5 2 2 3" xfId="11707" xr:uid="{7A7DA84A-6FFB-4E05-BB83-900055AF5D65}"/>
    <cellStyle name="Note 3 5 2 3" xfId="5330" xr:uid="{00000000-0005-0000-0000-0000EF210000}"/>
    <cellStyle name="Note 3 5 2 3 2" xfId="13780" xr:uid="{8A8F34AC-65CB-475C-A6E7-3B990789F910}"/>
    <cellStyle name="Note 3 5 2 4" xfId="9562" xr:uid="{A1AEAD26-ED5A-4099-B3DD-DFD8EDF5A02B}"/>
    <cellStyle name="Note 3 5 3" xfId="1436" xr:uid="{00000000-0005-0000-0000-0000F0210000}"/>
    <cellStyle name="Note 3 5 3 2" xfId="3666" xr:uid="{00000000-0005-0000-0000-0000F1210000}"/>
    <cellStyle name="Note 3 5 3 2 2" xfId="7888" xr:uid="{00000000-0005-0000-0000-0000F2210000}"/>
    <cellStyle name="Note 3 5 3 2 2 2" xfId="16338" xr:uid="{B9F85F80-33C9-46B2-AD78-D412B5401245}"/>
    <cellStyle name="Note 3 5 3 2 3" xfId="12120" xr:uid="{3413A076-3870-4124-9392-B200C3FF3EA5}"/>
    <cellStyle name="Note 3 5 3 3" xfId="5743" xr:uid="{00000000-0005-0000-0000-0000F3210000}"/>
    <cellStyle name="Note 3 5 3 3 2" xfId="14193" xr:uid="{021B5F28-41E7-4AA2-A168-29BAABD6D956}"/>
    <cellStyle name="Note 3 5 3 4" xfId="9975" xr:uid="{E7809951-D9F8-4B1B-8391-7880984426DD}"/>
    <cellStyle name="Note 3 5 4" xfId="1850" xr:uid="{00000000-0005-0000-0000-0000F4210000}"/>
    <cellStyle name="Note 3 5 4 2" xfId="4079" xr:uid="{00000000-0005-0000-0000-0000F5210000}"/>
    <cellStyle name="Note 3 5 4 2 2" xfId="8301" xr:uid="{00000000-0005-0000-0000-0000F6210000}"/>
    <cellStyle name="Note 3 5 4 2 2 2" xfId="16751" xr:uid="{B9E790FB-3AD3-47A5-9431-22AAA0F31527}"/>
    <cellStyle name="Note 3 5 4 2 3" xfId="12533" xr:uid="{B4FAFDE7-067A-41D7-8E07-9F72521FBC06}"/>
    <cellStyle name="Note 3 5 4 3" xfId="6156" xr:uid="{00000000-0005-0000-0000-0000F7210000}"/>
    <cellStyle name="Note 3 5 4 3 2" xfId="14606" xr:uid="{D5F1C7B2-752E-4C74-ABB5-539A646554DC}"/>
    <cellStyle name="Note 3 5 4 4" xfId="10388" xr:uid="{F017E151-5E53-4963-B9E0-93A65DD3EC10}"/>
    <cellStyle name="Note 3 5 5" xfId="2263" xr:uid="{00000000-0005-0000-0000-0000F8210000}"/>
    <cellStyle name="Note 3 5 5 2" xfId="4492" xr:uid="{00000000-0005-0000-0000-0000F9210000}"/>
    <cellStyle name="Note 3 5 5 2 2" xfId="8714" xr:uid="{00000000-0005-0000-0000-0000FA210000}"/>
    <cellStyle name="Note 3 5 5 2 2 2" xfId="17164" xr:uid="{A8B6E032-8589-478C-9AAC-77F55FB00F37}"/>
    <cellStyle name="Note 3 5 5 2 3" xfId="12946" xr:uid="{D2D4A6F2-4192-49E2-B56D-4239A054921E}"/>
    <cellStyle name="Note 3 5 5 3" xfId="6569" xr:uid="{00000000-0005-0000-0000-0000FB210000}"/>
    <cellStyle name="Note 3 5 5 3 2" xfId="15019" xr:uid="{451131E1-4186-4313-98A2-F0948A2E4266}"/>
    <cellStyle name="Note 3 5 5 4" xfId="10801" xr:uid="{999D39C2-AB63-41C0-8E58-89308DC3D4D0}"/>
    <cellStyle name="Note 3 5 6" xfId="2699" xr:uid="{00000000-0005-0000-0000-0000FC210000}"/>
    <cellStyle name="Note 3 5 6 2" xfId="6982" xr:uid="{00000000-0005-0000-0000-0000FD210000}"/>
    <cellStyle name="Note 3 5 6 2 2" xfId="15432" xr:uid="{16B2E813-DB2A-41FF-944F-7CF2EB3B8C44}"/>
    <cellStyle name="Note 3 5 6 3" xfId="11214" xr:uid="{1DDB79E0-48E5-4E70-8188-DA72FFAAEF8A}"/>
    <cellStyle name="Note 3 5 7" xfId="2758" xr:uid="{00000000-0005-0000-0000-0000FE210000}"/>
    <cellStyle name="Note 3 5 8" xfId="2839" xr:uid="{00000000-0005-0000-0000-0000FF210000}"/>
    <cellStyle name="Note 3 5 8 2" xfId="7062" xr:uid="{00000000-0005-0000-0000-000000220000}"/>
    <cellStyle name="Note 3 5 8 2 2" xfId="15512" xr:uid="{F9399CDE-A244-4F9D-9FED-BF34F4A33C99}"/>
    <cellStyle name="Note 3 5 8 3" xfId="11294" xr:uid="{238C64BD-C13E-469C-A7C7-6292DF574842}"/>
    <cellStyle name="Note 3 5 9" xfId="4917" xr:uid="{00000000-0005-0000-0000-000001220000}"/>
    <cellStyle name="Note 3 5 9 2" xfId="13367" xr:uid="{5602B24F-A869-47FC-8492-DA298FD29D1E}"/>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7C3E59A2-4700-4EA9-8DCB-FC2BC3AA6124}"/>
    <cellStyle name="Percent 4" xfId="4502" xr:uid="{00000000-0005-0000-0000-000007220000}"/>
    <cellStyle name="Percent 4 2" xfId="8717" xr:uid="{00000000-0005-0000-0000-000008220000}"/>
    <cellStyle name="Percent 4 2 2" xfId="17167" xr:uid="{9AA7008B-D19E-4DE8-AD1A-DCBE466EB3EA}"/>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A1927FF3-4542-4FC2-8C20-847217A07E7C}"/>
    <cellStyle name="Percent 4 3 2 2 2 3" xfId="17180" xr:uid="{4E6B58B4-B38F-4A4C-B23F-EBE4616D263D}"/>
    <cellStyle name="Percent 4 3 2 2 3" xfId="17176" xr:uid="{F41834C8-BF5A-4C24-88DF-9AF9C0058C3D}"/>
    <cellStyle name="Percent 4 3 2 3" xfId="17173" xr:uid="{EE0AA8CE-667B-49E7-A3A6-1C2DDF1B9703}"/>
    <cellStyle name="Percent 4 3 3" xfId="17170" xr:uid="{EB3E323F-B44D-4B69-A6D4-F7337D2A82F9}"/>
    <cellStyle name="Percent 4 4" xfId="12953" xr:uid="{B70C613A-7029-4678-B2F8-1845CE1C9D7C}"/>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653</v>
      </c>
      <c r="F40" s="1262" t="s">
        <v>1164</v>
      </c>
    </row>
    <row r="41" spans="1:38" s="1262"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0" sqref="I10"/>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1585</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48474848</v>
      </c>
      <c r="I3" s="1105"/>
    </row>
    <row r="4" spans="1:13" s="1051" customFormat="1" ht="20.100000000000001" customHeight="1">
      <c r="B4" s="1094"/>
      <c r="D4" s="1108"/>
      <c r="F4" s="1092" t="s">
        <v>1991</v>
      </c>
      <c r="G4" s="1091" t="s">
        <v>1990</v>
      </c>
      <c r="H4" s="1093">
        <f>I18</f>
        <v>30230555.555555556</v>
      </c>
      <c r="I4" s="1095"/>
      <c r="K4" s="1055"/>
    </row>
    <row r="5" spans="1:13" s="1051" customFormat="1" ht="20.100000000000001" customHeight="1" thickBot="1">
      <c r="B5" s="1096"/>
      <c r="C5" s="1097"/>
      <c r="D5" s="1109"/>
      <c r="E5" s="1098"/>
      <c r="F5" s="1109" t="s">
        <v>1941</v>
      </c>
      <c r="G5" s="1110"/>
      <c r="H5" s="1106">
        <f>IFERROR(H3/H4,0)</f>
        <v>1.6035050335385463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1939</v>
      </c>
      <c r="C8" s="2659"/>
      <c r="D8" s="2659"/>
      <c r="E8" s="2660"/>
      <c r="G8" s="2661" t="s">
        <v>1940</v>
      </c>
      <c r="H8" s="2662"/>
      <c r="I8" s="2663"/>
      <c r="K8" s="1057"/>
    </row>
    <row r="9" spans="1:13" ht="15" customHeight="1">
      <c r="A9" s="1046"/>
      <c r="B9" s="2656" t="s">
        <v>1973</v>
      </c>
      <c r="C9" s="2656"/>
      <c r="D9" s="2656"/>
      <c r="E9" s="1059">
        <f>G33</f>
        <v>10075000</v>
      </c>
      <c r="G9" s="2664" t="s">
        <v>1971</v>
      </c>
      <c r="H9" s="2664"/>
      <c r="I9" s="1060">
        <f>SUMIF(Application!M554:M565,"Loan, Tax-Exempt",Application!AM554:AM565)</f>
        <v>22500000</v>
      </c>
      <c r="K9" s="1061"/>
      <c r="M9" s="1062"/>
    </row>
    <row r="10" spans="1:13" ht="15" customHeight="1" thickBot="1">
      <c r="A10" s="1046"/>
      <c r="B10" s="2656" t="s">
        <v>1974</v>
      </c>
      <c r="C10" s="2656"/>
      <c r="D10" s="2656"/>
      <c r="E10" s="1060">
        <f>G47</f>
        <v>17751348</v>
      </c>
      <c r="G10" s="2668" t="s">
        <v>1942</v>
      </c>
      <c r="H10" s="2668"/>
      <c r="I10" s="1140">
        <f>'Basis &amp; Credits'!AB78</f>
        <v>11500000</v>
      </c>
      <c r="M10" s="1062"/>
    </row>
    <row r="11" spans="1:13" ht="15" customHeight="1">
      <c r="A11" s="1046"/>
      <c r="B11" s="2672" t="s">
        <v>2262</v>
      </c>
      <c r="C11" s="2673"/>
      <c r="D11" s="2674"/>
      <c r="E11" s="1060">
        <f>SUM(E12,E13)</f>
        <v>700000</v>
      </c>
      <c r="G11" s="2671" t="s">
        <v>1982</v>
      </c>
      <c r="H11" s="2671"/>
      <c r="I11" s="1139">
        <f>I9+I10</f>
        <v>34000000</v>
      </c>
      <c r="M11" s="1062"/>
    </row>
    <row r="12" spans="1:13" ht="15" customHeight="1">
      <c r="A12" s="1063"/>
      <c r="B12" s="2657" t="s">
        <v>2264</v>
      </c>
      <c r="C12" s="2657"/>
      <c r="D12" s="2657"/>
      <c r="E12" s="1165">
        <f>G56</f>
        <v>0</v>
      </c>
      <c r="M12" s="1062"/>
    </row>
    <row r="13" spans="1:13" ht="15" customHeight="1">
      <c r="A13" s="1049"/>
      <c r="B13" s="2657" t="s">
        <v>2265</v>
      </c>
      <c r="C13" s="2657"/>
      <c r="D13" s="2657"/>
      <c r="E13" s="1165">
        <f>G65</f>
        <v>700000</v>
      </c>
      <c r="G13" s="2661" t="s">
        <v>2005</v>
      </c>
      <c r="H13" s="2662"/>
      <c r="I13" s="2663"/>
      <c r="M13" s="1062"/>
    </row>
    <row r="14" spans="1:13" ht="15" customHeight="1">
      <c r="A14" s="1049"/>
      <c r="B14" s="2672" t="s">
        <v>2263</v>
      </c>
      <c r="C14" s="2673"/>
      <c r="D14" s="2674"/>
      <c r="E14" s="1167">
        <f>MAX(E15,E16)+E17</f>
        <v>19948500</v>
      </c>
      <c r="G14" s="2664" t="s">
        <v>139</v>
      </c>
      <c r="H14" s="2664"/>
      <c r="I14" s="1064">
        <f>15%*(AND(G120="Yes",G122&lt;&gt;""))</f>
        <v>0</v>
      </c>
      <c r="M14" s="1062"/>
    </row>
    <row r="15" spans="1:13" ht="15" customHeight="1">
      <c r="A15" s="1049"/>
      <c r="B15" s="2675" t="s">
        <v>2269</v>
      </c>
      <c r="C15" s="2676"/>
      <c r="D15" s="2677"/>
      <c r="E15" s="1165">
        <f>G80</f>
        <v>6045000</v>
      </c>
      <c r="G15" s="1137" t="s">
        <v>1983</v>
      </c>
      <c r="H15" s="1137"/>
      <c r="I15" s="1064">
        <f>IF(Application!AJ1032&gt;0,10%,IF(Application!AJ1036&gt;0,5%,0))</f>
        <v>0.05</v>
      </c>
      <c r="M15" s="1062"/>
    </row>
    <row r="16" spans="1:13" ht="15" customHeight="1">
      <c r="A16" s="1049"/>
      <c r="B16" s="2675" t="s">
        <v>2268</v>
      </c>
      <c r="C16" s="2676"/>
      <c r="D16" s="2677"/>
      <c r="E16" s="1165">
        <f>G90</f>
        <v>0</v>
      </c>
      <c r="G16" s="2664" t="s">
        <v>1984</v>
      </c>
      <c r="H16" s="2664"/>
      <c r="I16" s="1064">
        <f>G132</f>
        <v>6.0866013071895424E-2</v>
      </c>
    </row>
    <row r="17" spans="1:21" ht="15" customHeight="1" thickBot="1">
      <c r="A17" s="1049"/>
      <c r="B17" s="2675" t="s">
        <v>2267</v>
      </c>
      <c r="C17" s="2676"/>
      <c r="D17" s="2677"/>
      <c r="E17" s="1165">
        <f>G115</f>
        <v>13903500</v>
      </c>
      <c r="G17" s="2664" t="s">
        <v>2277</v>
      </c>
      <c r="H17" s="2664"/>
      <c r="I17" s="1064">
        <f>IF(AND(G139="Yes",OR(G136,G137)),IF(G143&gt;15%,15%,G143),0)</f>
        <v>0</v>
      </c>
    </row>
    <row r="18" spans="1:21" ht="15" customHeight="1">
      <c r="A18" s="1046"/>
      <c r="B18" s="2667" t="s">
        <v>1938</v>
      </c>
      <c r="C18" s="2667"/>
      <c r="D18" s="2667"/>
      <c r="E18" s="1111">
        <f>SUM(E9:E11,E14)</f>
        <v>48474848</v>
      </c>
      <c r="G18" s="1138" t="s">
        <v>1972</v>
      </c>
      <c r="H18" s="1138"/>
      <c r="I18" s="1112">
        <f>I11-((I11*I14)+(I11*I15)+(I11*I16)+(I11*I17))</f>
        <v>30230555.555555556</v>
      </c>
      <c r="M18" s="1065">
        <f>SUM(Cdlac[Quantity])</f>
        <v>158</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20</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11</v>
      </c>
      <c r="N21" s="1071">
        <f>Application!AC719</f>
        <v>0.7</v>
      </c>
      <c r="O21" s="1071">
        <f>IF(Cdlac[[#This Row],[Quantity]]&gt;0,IF(Cdlac[[#This Row],[Federal]],30%,IF(AND(OR(NOT($G$38),$G$38=""),$G$43),40%,Cdlac[[#This Row],[iAMI]])),"")</f>
        <v>0.7</v>
      </c>
      <c r="P21" s="1065" cm="1">
        <f t="array" ref="P21">IF(Cdlac[[#This Row],[Quantity]]&gt;0,INDEX(TcacRents,$P$18,Cdlac[[#This Row],[Bedrooms]]+1)*Cdlac[[#This Row],[AMI]],"")</f>
        <v>1987.9999999999998</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93.000000000000227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5" t="s">
        <v>1986</v>
      </c>
      <c r="D22" s="2665" t="s">
        <v>1987</v>
      </c>
      <c r="E22" s="2665" t="s">
        <v>1988</v>
      </c>
      <c r="F22" s="2665" t="s">
        <v>2608</v>
      </c>
      <c r="G22" s="2665" t="s">
        <v>1985</v>
      </c>
      <c r="H22" s="1070"/>
      <c r="I22" s="1069"/>
      <c r="L22" s="1044">
        <f>IFERROR(MIN(4,MATCH(Application!B720,UnitSizes,0)-1),"")</f>
        <v>2</v>
      </c>
      <c r="M22" s="1065">
        <f>Application!G720</f>
        <v>15</v>
      </c>
      <c r="N22" s="1071">
        <f>Application!AC720</f>
        <v>0.3</v>
      </c>
      <c r="O22" s="1071">
        <f>IF(Cdlac[[#This Row],[Quantity]]&gt;0,IF(Cdlac[[#This Row],[Federal]],30%,IF(AND(OR(NOT($G$38),$G$38=""),$G$43),40%,Cdlac[[#This Row],[iAMI]])),"")</f>
        <v>0.3</v>
      </c>
      <c r="P22" s="1065" cm="1">
        <f t="array" ref="P22">IF(Cdlac[[#This Row],[Quantity]]&gt;0,INDEX(TcacRents,$P$18,Cdlac[[#This Row],[Bedrooms]]+1)*Cdlac[[#This Row],[AMI]],"")</f>
        <v>1021.8</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1603.2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2</v>
      </c>
      <c r="M23" s="1065">
        <f>Application!G721</f>
        <v>18</v>
      </c>
      <c r="N23" s="1071">
        <f>Application!AC721</f>
        <v>0.6</v>
      </c>
      <c r="O23" s="1071">
        <f>IF(Cdlac[[#This Row],[Quantity]]&gt;0,IF(Cdlac[[#This Row],[Federal]],30%,IF(AND(OR(NOT($G$38),$G$38=""),$G$43),40%,Cdlac[[#This Row],[iAMI]])),"")</f>
        <v>0.6</v>
      </c>
      <c r="P23" s="1065" cm="1">
        <f t="array" ref="P23">IF(Cdlac[[#This Row],[Quantity]]&gt;0,INDEX(TcacRents,$P$18,Cdlac[[#This Row],[Bedrooms]]+1)*Cdlac[[#This Row],[AMI]],"")</f>
        <v>2043.6</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581.40000000000009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47</v>
      </c>
      <c r="N24" s="1071">
        <f>Application!AC722</f>
        <v>0.7</v>
      </c>
      <c r="O24" s="1071">
        <f>IF(Cdlac[[#This Row],[Quantity]]&gt;0,IF(Cdlac[[#This Row],[Federal]],30%,IF(AND(OR(NOT($G$38),$G$38=""),$G$43),40%,Cdlac[[#This Row],[iAMI]])),"")</f>
        <v>0.7</v>
      </c>
      <c r="P24" s="1065" cm="1">
        <f t="array" ref="P24">IF(Cdlac[[#This Row],[Quantity]]&gt;0,INDEX(TcacRents,$P$18,Cdlac[[#This Row],[Bedrooms]]+1)*Cdlac[[#This Row],[AMI]],"")</f>
        <v>2384.1999999999998</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240.80000000000018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31</v>
      </c>
      <c r="F25" s="1072">
        <f>E25</f>
        <v>31</v>
      </c>
      <c r="G25" s="1072">
        <f>D25*F25</f>
        <v>31</v>
      </c>
      <c r="L25" s="1044">
        <f>IFERROR(MIN(4,MATCH(Application!B723,UnitSizes,0)-1),"")</f>
        <v>3</v>
      </c>
      <c r="M25" s="1065">
        <f>Application!G723</f>
        <v>47</v>
      </c>
      <c r="N25" s="1071">
        <f>Application!AC723</f>
        <v>0.7</v>
      </c>
      <c r="O25" s="1071">
        <f>IF(Cdlac[[#This Row],[Quantity]]&gt;0,IF(Cdlac[[#This Row],[Federal]],30%,IF(AND(OR(NOT($G$38),$G$38=""),$G$43),40%,Cdlac[[#This Row],[iAMI]])),"")</f>
        <v>0.7</v>
      </c>
      <c r="P25" s="1065" cm="1">
        <f t="array" ref="P25">IF(Cdlac[[#This Row],[Quantity]]&gt;0,INDEX(TcacRents,$P$18,Cdlac[[#This Row],[Bedrooms]]+1)*Cdlac[[#This Row],[AMI]],"")</f>
        <v>2756.6</v>
      </c>
      <c r="Q25" s="1164"/>
      <c r="R25" s="1065" cm="1">
        <f t="array" ref="R25">IF(Cdlac[[#This Row],[Quantity]]&gt;0,INDEX(HudFmrs,$P$18,Cdlac[[#This Row],[Bedrooms]]+1),"")</f>
        <v>3335</v>
      </c>
      <c r="S25" s="1065">
        <f>IF(Cdlac[[#This Row],[Quantity]]&gt;0,MAX(0,Cdlac[[#This Row],[Fair Market Rent]]-IF(AND($G$37,$G$38,$G$38&lt;&gt;"",NOT(Cdlac[[#This Row],[Federal]]),Cdlac[[#This Row],[Preservation Rent]]&lt;&gt;""),Cdlac[[#This Row],[Preservation Rent]],Cdlac[[#This Row],[Restricted Rent]])),"")</f>
        <v>578.40000000000009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80</v>
      </c>
      <c r="F26" s="1075">
        <f>SUM(E26:E28)-SUM(F27:F28)</f>
        <v>80</v>
      </c>
      <c r="G26" s="1072">
        <f>D26*F26</f>
        <v>100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47</v>
      </c>
      <c r="F27" s="1075">
        <f>MIN(E27,ROUNDDOWN(E29*30%,0))</f>
        <v>47</v>
      </c>
      <c r="G27" s="1072">
        <f>D27*F27</f>
        <v>70.5</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9" t="s">
        <v>1586</v>
      </c>
      <c r="D29" s="2680"/>
      <c r="E29" s="1089">
        <f>SUM(E24:E28)</f>
        <v>158</v>
      </c>
      <c r="F29" s="1089">
        <f>SUM(F24:F28)</f>
        <v>158</v>
      </c>
      <c r="G29" s="1090">
        <f>SUMPRODUCT(D24:D28,F24:F28)</f>
        <v>201.5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201.5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10075000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98618.6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17751348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79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35</v>
      </c>
    </row>
    <row r="61" spans="2:21" ht="15" customHeight="1">
      <c r="E61" s="1117" t="s">
        <v>1994</v>
      </c>
      <c r="G61" s="1079">
        <f>ROUNDDOWN(E29*50%,0)</f>
        <v>79</v>
      </c>
    </row>
    <row r="62" spans="2:21" ht="15" customHeight="1">
      <c r="E62" s="1117"/>
      <c r="G62" s="1079"/>
    </row>
    <row r="63" spans="2:21" ht="15" customHeight="1">
      <c r="E63" s="1117" t="s">
        <v>1954</v>
      </c>
      <c r="G63" s="1114">
        <f>MIN(G60:G61)</f>
        <v>35</v>
      </c>
    </row>
    <row r="64" spans="2:21" ht="15" customHeight="1">
      <c r="E64" s="1117" t="s">
        <v>1944</v>
      </c>
      <c r="F64" s="1113" t="s">
        <v>1992</v>
      </c>
      <c r="G64" s="1124">
        <v>20000</v>
      </c>
    </row>
    <row r="65" spans="2:14" ht="15" customHeight="1">
      <c r="E65" s="1118" t="s">
        <v>1976</v>
      </c>
      <c r="F65" s="1046"/>
      <c r="G65" s="1123">
        <f>G63*G64</f>
        <v>700000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Highest Resource</v>
      </c>
      <c r="L72" s="2652" t="s">
        <v>1969</v>
      </c>
      <c r="M72" s="2653"/>
      <c r="N72" s="1131">
        <v>30000</v>
      </c>
    </row>
    <row r="73" spans="2:14" ht="15" customHeight="1">
      <c r="C73" s="2654" t="s">
        <v>2261</v>
      </c>
      <c r="D73" s="2654"/>
      <c r="E73" s="2654"/>
      <c r="F73" s="2654"/>
      <c r="G73" s="1043" t="s">
        <v>669</v>
      </c>
      <c r="L73" s="2669" t="s">
        <v>1937</v>
      </c>
      <c r="M73" s="2670"/>
      <c r="N73" s="1132">
        <v>20000</v>
      </c>
    </row>
    <row r="74" spans="2:14" ht="15" customHeight="1" thickBot="1">
      <c r="C74" s="2654"/>
      <c r="D74" s="2654"/>
      <c r="E74" s="2654"/>
      <c r="F74" s="2654"/>
      <c r="L74" s="2644" t="s">
        <v>1970</v>
      </c>
      <c r="M74" s="2645"/>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201.5</v>
      </c>
    </row>
    <row r="80" spans="2:14" ht="15" customHeight="1">
      <c r="D80" s="1046"/>
      <c r="E80" s="1118" t="s">
        <v>2266</v>
      </c>
      <c r="F80" s="1046"/>
      <c r="G80" s="1123">
        <f>G79*G78*G76</f>
        <v>6045000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201.5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201.5</v>
      </c>
    </row>
    <row r="97" spans="2:14" ht="15" customHeight="1">
      <c r="E97" s="1118" t="s">
        <v>1961</v>
      </c>
      <c r="F97" s="1046"/>
      <c r="G97" s="1123">
        <f>G94*G95*G96</f>
        <v>5642000</v>
      </c>
      <c r="L97" s="1127" t="str">
        <f>'Points System'!H638</f>
        <v>(i)</v>
      </c>
      <c r="M97" s="2650" t="s">
        <v>1405</v>
      </c>
      <c r="N97" s="2651"/>
    </row>
    <row r="98" spans="2:14" ht="15" customHeight="1">
      <c r="C98" s="1077"/>
      <c r="G98" s="1114"/>
      <c r="L98" s="1128" t="str">
        <f>'Points System'!H650</f>
        <v>N/A</v>
      </c>
      <c r="M98" s="2646" t="s">
        <v>1956</v>
      </c>
      <c r="N98" s="2647"/>
    </row>
    <row r="99" spans="2:14" ht="15" customHeight="1">
      <c r="E99" s="1084" t="s">
        <v>1997</v>
      </c>
      <c r="G99" s="1126">
        <f>COUNTIFS(L97:L104,"(i)")</f>
        <v>4</v>
      </c>
      <c r="L99" s="1128" t="str">
        <f>'Points System'!H685</f>
        <v>(ii)</v>
      </c>
      <c r="M99" s="2646" t="s">
        <v>1957</v>
      </c>
      <c r="N99" s="2647"/>
    </row>
    <row r="100" spans="2:14" ht="15" customHeight="1">
      <c r="E100" s="1084" t="s">
        <v>1944</v>
      </c>
      <c r="F100" s="1113" t="s">
        <v>1992</v>
      </c>
      <c r="G100" s="1124">
        <v>4000</v>
      </c>
      <c r="L100" s="1128" t="str">
        <f>IF(OR('Points System'!H709="(ii)",'Points System'!H709="(i)"),"(i)","N/A")</f>
        <v>(i)</v>
      </c>
      <c r="M100" s="2646" t="s">
        <v>1958</v>
      </c>
      <c r="N100" s="2647"/>
    </row>
    <row r="101" spans="2:14" ht="15" customHeight="1">
      <c r="E101" s="1118" t="s">
        <v>1962</v>
      </c>
      <c r="F101" s="1046"/>
      <c r="G101" s="1123">
        <f>G96*G99*G100</f>
        <v>3224000</v>
      </c>
      <c r="L101" s="1129" t="str">
        <f>'Points System'!H723</f>
        <v>N/A</v>
      </c>
      <c r="M101" s="2646" t="s">
        <v>1431</v>
      </c>
      <c r="N101" s="2647"/>
    </row>
    <row r="102" spans="2:14" ht="15" customHeight="1">
      <c r="L102" s="1128" t="str">
        <f>'Points System'!H735</f>
        <v>N/A</v>
      </c>
      <c r="M102" s="2646" t="s">
        <v>1959</v>
      </c>
      <c r="N102" s="2647"/>
    </row>
    <row r="103" spans="2:14" ht="15" customHeight="1">
      <c r="C103" s="1080" t="s">
        <v>1964</v>
      </c>
      <c r="L103" s="1128" t="str">
        <f>'Points System'!H751</f>
        <v>(i)</v>
      </c>
      <c r="M103" s="2646" t="s">
        <v>1960</v>
      </c>
      <c r="N103" s="2647"/>
    </row>
    <row r="104" spans="2:14" ht="15" customHeight="1" thickBot="1">
      <c r="C104" s="1077" t="s">
        <v>1965</v>
      </c>
      <c r="G104" s="1043"/>
      <c r="L104" s="1130" t="str">
        <f>'Points System'!H763</f>
        <v>(i)</v>
      </c>
      <c r="M104" s="2648" t="s">
        <v>1434</v>
      </c>
      <c r="N104" s="2649"/>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201.5</v>
      </c>
    </row>
    <row r="112" spans="2:14" ht="15" customHeight="1">
      <c r="E112" s="1084" t="s">
        <v>1944</v>
      </c>
      <c r="F112" s="1113" t="s">
        <v>1992</v>
      </c>
      <c r="G112" s="1124">
        <v>25000</v>
      </c>
    </row>
    <row r="113" spans="2:9" ht="15" customHeight="1">
      <c r="E113" s="1118" t="s">
        <v>1963</v>
      </c>
      <c r="F113" s="1046"/>
      <c r="G113" s="1123">
        <f>G109*G112*G96</f>
        <v>5037500</v>
      </c>
    </row>
    <row r="114" spans="2:9" ht="15" customHeight="1">
      <c r="C114" s="1077"/>
      <c r="E114" s="1077"/>
    </row>
    <row r="115" spans="2:9" ht="15" customHeight="1">
      <c r="E115" s="1118" t="s">
        <v>2271</v>
      </c>
      <c r="G115" s="1123">
        <f>G113+G101+G97</f>
        <v>13903500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2226</v>
      </c>
      <c r="D119" s="2681"/>
      <c r="E119" s="2681"/>
      <c r="F119" s="2681"/>
    </row>
    <row r="120" spans="2:9" ht="15" customHeight="1">
      <c r="C120" s="2681"/>
      <c r="D120" s="2681"/>
      <c r="E120" s="2681"/>
      <c r="F120" s="2681"/>
      <c r="G120" s="1043"/>
    </row>
    <row r="121" spans="2:9" ht="15" customHeight="1"/>
    <row r="122" spans="2:9" ht="15" customHeight="1">
      <c r="C122" s="1044" t="s">
        <v>2228</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ht="15">
      <c r="D132" s="1046"/>
      <c r="E132" s="1118" t="s">
        <v>2002</v>
      </c>
      <c r="F132" s="1134"/>
      <c r="G132" s="1135">
        <f>((G130-G131)/G131)*0.25</f>
        <v>6.0866013071895424E-2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78" t="s">
        <v>2274</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3375000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Normal="10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20</v>
      </c>
      <c r="C4" s="1162"/>
      <c r="D4" s="428">
        <f>Application!O718</f>
        <v>822</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11</v>
      </c>
      <c r="C5" s="1162"/>
      <c r="D5" s="428">
        <f>Application!O719</f>
        <v>1957</v>
      </c>
      <c r="E5" s="429"/>
      <c r="F5" s="1083"/>
      <c r="G5" s="428">
        <f t="shared" ref="G5:G38" si="2">F5*B5</f>
        <v>0</v>
      </c>
      <c r="H5" s="429"/>
      <c r="I5" s="428" t="str">
        <f t="shared" si="0"/>
        <v/>
      </c>
      <c r="J5" s="428" t="str">
        <f t="shared" si="1"/>
        <v/>
      </c>
      <c r="K5" s="204"/>
      <c r="L5" s="305"/>
    </row>
    <row r="6" spans="1:12">
      <c r="A6" s="428" t="str">
        <f>Application!B720</f>
        <v>2 Bedrooms</v>
      </c>
      <c r="B6" s="1082">
        <f>Application!G720</f>
        <v>15</v>
      </c>
      <c r="C6" s="1162"/>
      <c r="D6" s="428">
        <f>Application!O720</f>
        <v>983</v>
      </c>
      <c r="E6" s="429"/>
      <c r="F6" s="1083"/>
      <c r="G6" s="428">
        <f t="shared" si="2"/>
        <v>0</v>
      </c>
      <c r="H6" s="429"/>
      <c r="I6" s="428" t="str">
        <f t="shared" si="0"/>
        <v/>
      </c>
      <c r="J6" s="428" t="str">
        <f t="shared" si="1"/>
        <v/>
      </c>
      <c r="K6" s="204"/>
      <c r="L6" s="305"/>
    </row>
    <row r="7" spans="1:12">
      <c r="A7" s="428" t="str">
        <f>Application!B721</f>
        <v>2 Bedrooms</v>
      </c>
      <c r="B7" s="1082">
        <f>Application!G721</f>
        <v>18</v>
      </c>
      <c r="C7" s="1162"/>
      <c r="D7" s="428">
        <f>Application!O721</f>
        <v>2005</v>
      </c>
      <c r="E7" s="429"/>
      <c r="F7" s="1083"/>
      <c r="G7" s="428">
        <f t="shared" si="2"/>
        <v>0</v>
      </c>
      <c r="H7" s="429"/>
      <c r="I7" s="428" t="str">
        <f t="shared" si="0"/>
        <v/>
      </c>
      <c r="J7" s="428" t="str">
        <f t="shared" si="1"/>
        <v/>
      </c>
      <c r="K7" s="204"/>
      <c r="L7" s="305"/>
    </row>
    <row r="8" spans="1:12">
      <c r="A8" s="428" t="str">
        <f>Application!B722</f>
        <v>2 Bedrooms</v>
      </c>
      <c r="B8" s="1082">
        <f>Application!G722</f>
        <v>47</v>
      </c>
      <c r="C8" s="1162"/>
      <c r="D8" s="428">
        <f>Application!O722</f>
        <v>2346</v>
      </c>
      <c r="E8" s="429"/>
      <c r="F8" s="1083"/>
      <c r="G8" s="428">
        <f t="shared" si="2"/>
        <v>0</v>
      </c>
      <c r="H8" s="429"/>
      <c r="I8" s="428" t="str">
        <f t="shared" si="0"/>
        <v/>
      </c>
      <c r="J8" s="428" t="str">
        <f t="shared" si="1"/>
        <v/>
      </c>
      <c r="K8" s="204"/>
      <c r="L8" s="305"/>
    </row>
    <row r="9" spans="1:12">
      <c r="A9" s="428" t="str">
        <f>Application!B723</f>
        <v>3 Bedrooms</v>
      </c>
      <c r="B9" s="1082">
        <f>Application!G723</f>
        <v>47</v>
      </c>
      <c r="C9" s="1162"/>
      <c r="D9" s="428">
        <f>Application!O723</f>
        <v>2708</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326340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6" t="s">
        <v>2495</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2257</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6" workbookViewId="0">
      <selection activeCell="E30" sqref="E30"/>
    </sheetView>
  </sheetViews>
  <sheetFormatPr defaultColWidth="0" defaultRowHeight="12.75" zeroHeight="1"/>
  <cols>
    <col min="1" max="1" width="3.7109375" customWidth="1"/>
    <col min="2" max="2" width="30.42578125" customWidth="1"/>
    <col min="3" max="3" width="13.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3916080</v>
      </c>
      <c r="G4" s="219">
        <f>E4*$C$4</f>
        <v>4013981.9999999995</v>
      </c>
      <c r="I4" s="219">
        <f>G4*$C$4</f>
        <v>4114331.5499999993</v>
      </c>
      <c r="K4" s="219">
        <f>I4*$C$4</f>
        <v>4217189.8387499992</v>
      </c>
      <c r="M4" s="219">
        <f>K4*$C$4</f>
        <v>4322619.5847187489</v>
      </c>
      <c r="O4" s="219">
        <f>M4*$C$4</f>
        <v>4430685.0743367169</v>
      </c>
      <c r="Q4" s="219">
        <f>O4*$C$4</f>
        <v>4541452.2011951348</v>
      </c>
      <c r="S4" s="219">
        <f>Q4*$C$4</f>
        <v>4654988.5062250132</v>
      </c>
      <c r="U4" s="219">
        <f>S4*$C$4</f>
        <v>4771363.2188806385</v>
      </c>
      <c r="W4" s="219">
        <f>U4*$C$4</f>
        <v>4890647.2993526543</v>
      </c>
      <c r="Y4" s="219">
        <f>W4*$C$4</f>
        <v>5012913.4818364698</v>
      </c>
      <c r="AA4" s="219">
        <f>Y4*$C$4</f>
        <v>5138236.3188823815</v>
      </c>
      <c r="AC4" s="219">
        <f>AA4*$C$4</f>
        <v>5266692.2268544408</v>
      </c>
      <c r="AE4" s="219">
        <f>AC4*$C$4</f>
        <v>5398359.5325258011</v>
      </c>
      <c r="AG4" s="219">
        <f>AE4*$C$4</f>
        <v>5533318.5208389461</v>
      </c>
    </row>
    <row r="5" spans="1:34" s="210" customFormat="1" ht="14.25">
      <c r="B5" s="210" t="s">
        <v>838</v>
      </c>
      <c r="C5" s="238">
        <f>IF(Application!$D$211="Special Needs",(((0.1*Application!$T$212)+(0.05*(1-Application!$T$212)))),0.05)</f>
        <v>0.05</v>
      </c>
      <c r="E5" s="221">
        <f>-E4*$C$5</f>
        <v>-195804</v>
      </c>
      <c r="F5" s="221"/>
      <c r="G5" s="221">
        <f>-G4*$C$5</f>
        <v>-200699.09999999998</v>
      </c>
      <c r="H5" s="221"/>
      <c r="I5" s="221">
        <f>-I4*$C$5</f>
        <v>-205716.57749999998</v>
      </c>
      <c r="J5" s="221"/>
      <c r="K5" s="221">
        <f>-K4*$C$5</f>
        <v>-210859.49193749996</v>
      </c>
      <c r="L5" s="221"/>
      <c r="M5" s="221">
        <f>-M4*$C$5</f>
        <v>-216130.97923593747</v>
      </c>
      <c r="N5" s="221"/>
      <c r="O5" s="221">
        <f>-O4*$C$5</f>
        <v>-221534.25371683587</v>
      </c>
      <c r="P5" s="221"/>
      <c r="Q5" s="221">
        <f>-Q4*$C$5</f>
        <v>-227072.61005975676</v>
      </c>
      <c r="R5" s="221"/>
      <c r="S5" s="221">
        <f>-S4*$C$5</f>
        <v>-232749.42531125067</v>
      </c>
      <c r="T5" s="221"/>
      <c r="U5" s="221">
        <f>-U4*$C$5</f>
        <v>-238568.16094403193</v>
      </c>
      <c r="V5" s="221"/>
      <c r="W5" s="221">
        <f>-W4*$C$5</f>
        <v>-244532.36496763272</v>
      </c>
      <c r="X5" s="221"/>
      <c r="Y5" s="221">
        <f>-Y4*$C$5</f>
        <v>-250645.67409182352</v>
      </c>
      <c r="Z5" s="221"/>
      <c r="AA5" s="221">
        <f>-AA4*$C$5</f>
        <v>-256911.81594411909</v>
      </c>
      <c r="AB5" s="221"/>
      <c r="AC5" s="221">
        <f>-AC4*$C$5</f>
        <v>-263334.61134272203</v>
      </c>
      <c r="AD5" s="221"/>
      <c r="AE5" s="221">
        <f>-AE4*$C$5</f>
        <v>-269917.97662629007</v>
      </c>
      <c r="AF5" s="221"/>
      <c r="AG5" s="221">
        <f>-AG4*$C$5</f>
        <v>-276665.92604194733</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104000</v>
      </c>
      <c r="F8" s="222"/>
      <c r="G8" s="222">
        <f>E8*$C$8</f>
        <v>106599.99999999999</v>
      </c>
      <c r="H8" s="222"/>
      <c r="I8" s="222">
        <f>G8*$C$8</f>
        <v>109264.99999999997</v>
      </c>
      <c r="J8" s="222"/>
      <c r="K8" s="222">
        <f>I8*$C$8</f>
        <v>111996.62499999996</v>
      </c>
      <c r="L8" s="222"/>
      <c r="M8" s="222">
        <f>K8*$C$8</f>
        <v>114796.54062499995</v>
      </c>
      <c r="N8" s="222"/>
      <c r="O8" s="222">
        <f>M8*$C$8</f>
        <v>117666.45414062493</v>
      </c>
      <c r="P8" s="222"/>
      <c r="Q8" s="222">
        <f>O8*$C$8</f>
        <v>120608.11549414054</v>
      </c>
      <c r="R8" s="222"/>
      <c r="S8" s="222">
        <f>Q8*$C$8</f>
        <v>123623.31838149404</v>
      </c>
      <c r="T8" s="222"/>
      <c r="U8" s="222">
        <f>S8*$C$8</f>
        <v>126713.90134103138</v>
      </c>
      <c r="V8" s="222"/>
      <c r="W8" s="222">
        <f>U8*$C$8</f>
        <v>129881.74887455715</v>
      </c>
      <c r="X8" s="222"/>
      <c r="Y8" s="222">
        <f>W8*$C$8</f>
        <v>133128.79259642106</v>
      </c>
      <c r="Z8" s="222"/>
      <c r="AA8" s="222">
        <f>Y8*$C$8</f>
        <v>136457.01241133158</v>
      </c>
      <c r="AB8" s="222"/>
      <c r="AC8" s="222">
        <f>AA8*$C$8</f>
        <v>139868.43772161487</v>
      </c>
      <c r="AD8" s="222"/>
      <c r="AE8" s="222">
        <f>AC8*$C$8</f>
        <v>143365.14866465522</v>
      </c>
      <c r="AF8" s="222"/>
      <c r="AG8" s="222">
        <f>AE8*$C$8</f>
        <v>146949.27738127159</v>
      </c>
    </row>
    <row r="9" spans="1:34" s="210" customFormat="1" ht="14.25">
      <c r="B9" s="210" t="s">
        <v>838</v>
      </c>
      <c r="C9" s="238">
        <f>IF(Application!$D$211="Special Needs",(((0.1*Application!$T$212)+(0.05*(1-Application!$T$212)))),0.05)</f>
        <v>0.05</v>
      </c>
      <c r="E9" s="221">
        <f>-E8*$C$9</f>
        <v>-5200</v>
      </c>
      <c r="F9" s="221"/>
      <c r="G9" s="221">
        <f>-G8*$C$9</f>
        <v>-5330</v>
      </c>
      <c r="H9" s="221"/>
      <c r="I9" s="221">
        <f>-I8*$C$9</f>
        <v>-5463.2499999999991</v>
      </c>
      <c r="J9" s="221"/>
      <c r="K9" s="221">
        <f>-K8*$C$9</f>
        <v>-5599.8312499999984</v>
      </c>
      <c r="L9" s="221"/>
      <c r="M9" s="221">
        <f>-M8*$C$9</f>
        <v>-5739.8270312499981</v>
      </c>
      <c r="N9" s="221"/>
      <c r="O9" s="221">
        <f>-O8*$C$9</f>
        <v>-5883.3227070312469</v>
      </c>
      <c r="P9" s="221"/>
      <c r="Q9" s="221">
        <f>-Q8*$C$9</f>
        <v>-6030.4057747070274</v>
      </c>
      <c r="R9" s="221"/>
      <c r="S9" s="221">
        <f>-S8*$C$9</f>
        <v>-6181.1659190747023</v>
      </c>
      <c r="T9" s="221"/>
      <c r="U9" s="221">
        <f>-U8*$C$9</f>
        <v>-6335.6950670515689</v>
      </c>
      <c r="V9" s="221"/>
      <c r="W9" s="221">
        <f>-W8*$C$9</f>
        <v>-6494.087443727858</v>
      </c>
      <c r="X9" s="221"/>
      <c r="Y9" s="221">
        <f>-Y8*$C$9</f>
        <v>-6656.4396298210531</v>
      </c>
      <c r="Z9" s="221"/>
      <c r="AA9" s="221">
        <f>-AA8*$C$9</f>
        <v>-6822.8506205665799</v>
      </c>
      <c r="AB9" s="221"/>
      <c r="AC9" s="221">
        <f>-AC8*$C$9</f>
        <v>-6993.4218860807441</v>
      </c>
      <c r="AD9" s="221"/>
      <c r="AE9" s="221">
        <f>-AE8*$C$9</f>
        <v>-7168.2574332327613</v>
      </c>
      <c r="AF9" s="221"/>
      <c r="AG9" s="221">
        <f>-AG8*$C$9</f>
        <v>-7347.4638690635802</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3819076</v>
      </c>
      <c r="G11" s="223">
        <f>SUM(G4:G10)</f>
        <v>3914552.8999999994</v>
      </c>
      <c r="I11" s="223">
        <f>SUM(I4:I10)</f>
        <v>4012416.7224999992</v>
      </c>
      <c r="K11" s="223">
        <f>SUM(K4:K10)</f>
        <v>4112727.1405624994</v>
      </c>
      <c r="M11" s="223">
        <f>SUM(M4:M10)</f>
        <v>4215545.3190765614</v>
      </c>
      <c r="O11" s="223">
        <f>SUM(O4:O10)</f>
        <v>4320933.9520534752</v>
      </c>
      <c r="Q11" s="223">
        <f>SUM(Q4:Q10)</f>
        <v>4428957.3008548114</v>
      </c>
      <c r="S11" s="223">
        <f>SUM(S4:S10)</f>
        <v>4539681.2333761817</v>
      </c>
      <c r="U11" s="223">
        <f>SUM(U4:U10)</f>
        <v>4653173.2642105864</v>
      </c>
      <c r="W11" s="223">
        <f>SUM(W4:W10)</f>
        <v>4769502.5958158504</v>
      </c>
      <c r="Y11" s="223">
        <f>SUM(Y4:Y10)</f>
        <v>4888740.1607112465</v>
      </c>
      <c r="AA11" s="223">
        <f>SUM(AA4:AA10)</f>
        <v>5010958.6647290271</v>
      </c>
      <c r="AC11" s="223">
        <f>SUM(AC4:AC10)</f>
        <v>5136232.631347253</v>
      </c>
      <c r="AE11" s="223">
        <f>SUM(AE4:AE10)</f>
        <v>5264638.4471309334</v>
      </c>
      <c r="AG11" s="223">
        <f>SUM(AG4:AG10)</f>
        <v>5396254.4083092064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47400</v>
      </c>
      <c r="G15" s="219">
        <f>E15*$C$14</f>
        <v>49058.999999999993</v>
      </c>
      <c r="I15" s="219">
        <f>G15*$C$14</f>
        <v>50776.064999999988</v>
      </c>
      <c r="K15" s="219">
        <f>I15*$C$14</f>
        <v>52553.227274999983</v>
      </c>
      <c r="M15" s="219">
        <f>K15*$C$14</f>
        <v>54392.590229624977</v>
      </c>
      <c r="O15" s="219">
        <f>M15*$C$14</f>
        <v>56296.330887661847</v>
      </c>
      <c r="Q15" s="219">
        <f>O15*$C$14</f>
        <v>58266.702468730007</v>
      </c>
      <c r="S15" s="219">
        <f>Q15*$C$14</f>
        <v>60306.037055135552</v>
      </c>
      <c r="U15" s="219">
        <f>S15*$C$14</f>
        <v>62416.74835206529</v>
      </c>
      <c r="W15" s="219">
        <f>U15*$C$14</f>
        <v>64601.334544387573</v>
      </c>
      <c r="Y15" s="219">
        <f>W15*$C$14</f>
        <v>66862.381253441126</v>
      </c>
      <c r="AA15" s="219">
        <f>Y15*$C$14</f>
        <v>69202.564597311561</v>
      </c>
      <c r="AC15" s="219">
        <f>AA15*$C$14</f>
        <v>71624.654358217464</v>
      </c>
      <c r="AE15" s="219">
        <f>AC15*$C$14</f>
        <v>74131.517260755063</v>
      </c>
      <c r="AG15" s="219">
        <f>AE15*$C$14</f>
        <v>76726.120364881484</v>
      </c>
    </row>
    <row r="16" spans="1:34" s="210" customFormat="1" ht="14.25">
      <c r="A16" s="210" t="s">
        <v>343</v>
      </c>
      <c r="C16" s="233"/>
      <c r="E16" s="222">
        <f>Application!W849</f>
        <v>132720</v>
      </c>
      <c r="F16" s="222"/>
      <c r="G16" s="222">
        <f t="shared" ref="G16:AG21" si="0">E16*$C$14</f>
        <v>137365.19999999998</v>
      </c>
      <c r="H16" s="222"/>
      <c r="I16" s="222">
        <f t="shared" si="0"/>
        <v>142172.98199999996</v>
      </c>
      <c r="J16" s="222"/>
      <c r="K16" s="222">
        <f t="shared" si="0"/>
        <v>147149.03636999996</v>
      </c>
      <c r="L16" s="222"/>
      <c r="M16" s="222">
        <f t="shared" si="0"/>
        <v>152299.25264294996</v>
      </c>
      <c r="N16" s="222"/>
      <c r="O16" s="222">
        <f t="shared" si="0"/>
        <v>157629.7264854532</v>
      </c>
      <c r="P16" s="222"/>
      <c r="Q16" s="222">
        <f t="shared" si="0"/>
        <v>163146.76691244406</v>
      </c>
      <c r="R16" s="222"/>
      <c r="S16" s="222">
        <f t="shared" si="0"/>
        <v>168856.9037543796</v>
      </c>
      <c r="T16" s="222"/>
      <c r="U16" s="222">
        <f t="shared" si="0"/>
        <v>174766.89538578287</v>
      </c>
      <c r="V16" s="222"/>
      <c r="W16" s="222">
        <f t="shared" si="0"/>
        <v>180883.73672428526</v>
      </c>
      <c r="X16" s="222"/>
      <c r="Y16" s="222">
        <f t="shared" si="0"/>
        <v>187214.66750963524</v>
      </c>
      <c r="Z16" s="222"/>
      <c r="AA16" s="222">
        <f t="shared" si="0"/>
        <v>193767.18087247247</v>
      </c>
      <c r="AB16" s="222"/>
      <c r="AC16" s="222">
        <f t="shared" si="0"/>
        <v>200549.032203009</v>
      </c>
      <c r="AD16" s="222"/>
      <c r="AE16" s="222">
        <f t="shared" si="0"/>
        <v>207568.24833011429</v>
      </c>
      <c r="AF16" s="222"/>
      <c r="AG16" s="222">
        <f t="shared" si="0"/>
        <v>214833.13702166828</v>
      </c>
    </row>
    <row r="17" spans="1:33" s="210" customFormat="1" ht="14.25">
      <c r="A17" s="210" t="s">
        <v>561</v>
      </c>
      <c r="C17" s="233"/>
      <c r="E17" s="222">
        <f>Application!W855</f>
        <v>227500</v>
      </c>
      <c r="F17" s="222"/>
      <c r="G17" s="222">
        <f t="shared" si="0"/>
        <v>235462.49999999997</v>
      </c>
      <c r="H17" s="222"/>
      <c r="I17" s="222">
        <f t="shared" si="0"/>
        <v>243703.68749999994</v>
      </c>
      <c r="J17" s="222"/>
      <c r="K17" s="222">
        <f t="shared" si="0"/>
        <v>252233.31656249991</v>
      </c>
      <c r="L17" s="222"/>
      <c r="M17" s="222">
        <f t="shared" si="0"/>
        <v>261061.48264218739</v>
      </c>
      <c r="N17" s="222"/>
      <c r="O17" s="222">
        <f t="shared" si="0"/>
        <v>270198.63453466393</v>
      </c>
      <c r="P17" s="222"/>
      <c r="Q17" s="222">
        <f t="shared" si="0"/>
        <v>279655.58674337715</v>
      </c>
      <c r="R17" s="222"/>
      <c r="S17" s="222">
        <f t="shared" si="0"/>
        <v>289443.53227939532</v>
      </c>
      <c r="T17" s="222"/>
      <c r="U17" s="222">
        <f t="shared" si="0"/>
        <v>299574.05590917415</v>
      </c>
      <c r="V17" s="222"/>
      <c r="W17" s="222">
        <f t="shared" si="0"/>
        <v>310059.14786599524</v>
      </c>
      <c r="X17" s="222"/>
      <c r="Y17" s="222">
        <f t="shared" si="0"/>
        <v>320911.21804130502</v>
      </c>
      <c r="Z17" s="222"/>
      <c r="AA17" s="222">
        <f t="shared" si="0"/>
        <v>332143.11067275068</v>
      </c>
      <c r="AB17" s="222"/>
      <c r="AC17" s="222">
        <f t="shared" si="0"/>
        <v>343768.11954629695</v>
      </c>
      <c r="AD17" s="222"/>
      <c r="AE17" s="222">
        <f t="shared" si="0"/>
        <v>355800.00373041729</v>
      </c>
      <c r="AF17" s="222"/>
      <c r="AG17" s="222">
        <f t="shared" si="0"/>
        <v>368253.00386098184</v>
      </c>
    </row>
    <row r="18" spans="1:33" s="210" customFormat="1" ht="14.25">
      <c r="A18" s="210" t="s">
        <v>842</v>
      </c>
      <c r="C18" s="233"/>
      <c r="E18" s="222">
        <f>Application!W862</f>
        <v>260480</v>
      </c>
      <c r="F18" s="222"/>
      <c r="G18" s="222">
        <f t="shared" si="0"/>
        <v>269596.79999999999</v>
      </c>
      <c r="H18" s="222"/>
      <c r="I18" s="222">
        <f t="shared" si="0"/>
        <v>279032.68799999997</v>
      </c>
      <c r="J18" s="222"/>
      <c r="K18" s="222">
        <f t="shared" si="0"/>
        <v>288798.83207999996</v>
      </c>
      <c r="L18" s="222"/>
      <c r="M18" s="222">
        <f t="shared" si="0"/>
        <v>298906.79120279994</v>
      </c>
      <c r="N18" s="222"/>
      <c r="O18" s="222">
        <f t="shared" si="0"/>
        <v>309368.5288948979</v>
      </c>
      <c r="P18" s="222"/>
      <c r="Q18" s="222">
        <f t="shared" si="0"/>
        <v>320196.4274062193</v>
      </c>
      <c r="R18" s="222"/>
      <c r="S18" s="222">
        <f t="shared" si="0"/>
        <v>331403.30236543698</v>
      </c>
      <c r="T18" s="222"/>
      <c r="U18" s="222">
        <f t="shared" si="0"/>
        <v>343002.41794822726</v>
      </c>
      <c r="V18" s="222"/>
      <c r="W18" s="222">
        <f t="shared" si="0"/>
        <v>355007.50257641519</v>
      </c>
      <c r="X18" s="222"/>
      <c r="Y18" s="222">
        <f t="shared" si="0"/>
        <v>367432.7651665897</v>
      </c>
      <c r="Z18" s="222"/>
      <c r="AA18" s="222">
        <f t="shared" si="0"/>
        <v>380292.91194742033</v>
      </c>
      <c r="AB18" s="222"/>
      <c r="AC18" s="222">
        <f t="shared" si="0"/>
        <v>393603.16386557999</v>
      </c>
      <c r="AD18" s="222"/>
      <c r="AE18" s="222">
        <f t="shared" si="0"/>
        <v>407379.27460087527</v>
      </c>
      <c r="AF18" s="222"/>
      <c r="AG18" s="222">
        <f t="shared" si="0"/>
        <v>421637.54921190586</v>
      </c>
    </row>
    <row r="19" spans="1:33" s="210" customFormat="1" ht="14.25">
      <c r="A19" s="210" t="s">
        <v>155</v>
      </c>
      <c r="C19" s="233"/>
      <c r="E19" s="222">
        <f>Application!W863</f>
        <v>160000</v>
      </c>
      <c r="F19" s="222"/>
      <c r="G19" s="222">
        <f t="shared" si="0"/>
        <v>165600</v>
      </c>
      <c r="H19" s="222"/>
      <c r="I19" s="222">
        <f t="shared" si="0"/>
        <v>171396</v>
      </c>
      <c r="J19" s="222"/>
      <c r="K19" s="222">
        <f t="shared" si="0"/>
        <v>177394.86</v>
      </c>
      <c r="L19" s="222"/>
      <c r="M19" s="222">
        <f t="shared" si="0"/>
        <v>183603.68009999997</v>
      </c>
      <c r="N19" s="222"/>
      <c r="O19" s="222">
        <f t="shared" si="0"/>
        <v>190029.80890349994</v>
      </c>
      <c r="P19" s="222"/>
      <c r="Q19" s="222">
        <f t="shared" si="0"/>
        <v>196680.85221512243</v>
      </c>
      <c r="R19" s="222"/>
      <c r="S19" s="222">
        <f t="shared" si="0"/>
        <v>203564.68204265169</v>
      </c>
      <c r="T19" s="222"/>
      <c r="U19" s="222">
        <f t="shared" si="0"/>
        <v>210689.44591414448</v>
      </c>
      <c r="V19" s="222"/>
      <c r="W19" s="222">
        <f t="shared" si="0"/>
        <v>218063.57652113953</v>
      </c>
      <c r="X19" s="222"/>
      <c r="Y19" s="222">
        <f t="shared" si="0"/>
        <v>225695.8016993794</v>
      </c>
      <c r="Z19" s="222"/>
      <c r="AA19" s="222">
        <f t="shared" si="0"/>
        <v>233595.15475885765</v>
      </c>
      <c r="AB19" s="222"/>
      <c r="AC19" s="222">
        <f t="shared" si="0"/>
        <v>241770.98517541765</v>
      </c>
      <c r="AD19" s="222"/>
      <c r="AE19" s="222">
        <f t="shared" si="0"/>
        <v>250232.96965655725</v>
      </c>
      <c r="AF19" s="222"/>
      <c r="AG19" s="222">
        <f t="shared" si="0"/>
        <v>258991.12359453674</v>
      </c>
    </row>
    <row r="20" spans="1:33" s="210" customFormat="1" ht="14.25">
      <c r="A20" s="210" t="s">
        <v>389</v>
      </c>
      <c r="C20" s="233"/>
      <c r="E20" s="222">
        <f>Application!W872</f>
        <v>87900</v>
      </c>
      <c r="F20" s="222"/>
      <c r="G20" s="222">
        <f t="shared" si="0"/>
        <v>90976.5</v>
      </c>
      <c r="H20" s="222"/>
      <c r="I20" s="222">
        <f t="shared" si="0"/>
        <v>94160.677499999991</v>
      </c>
      <c r="J20" s="222"/>
      <c r="K20" s="222">
        <f t="shared" si="0"/>
        <v>97456.30121249998</v>
      </c>
      <c r="L20" s="222"/>
      <c r="M20" s="222">
        <f t="shared" si="0"/>
        <v>100867.27175493746</v>
      </c>
      <c r="N20" s="222"/>
      <c r="O20" s="222">
        <f t="shared" si="0"/>
        <v>104397.62626636027</v>
      </c>
      <c r="P20" s="222"/>
      <c r="Q20" s="222">
        <f t="shared" si="0"/>
        <v>108051.54318568287</v>
      </c>
      <c r="R20" s="222"/>
      <c r="S20" s="222">
        <f t="shared" si="0"/>
        <v>111833.34719718176</v>
      </c>
      <c r="T20" s="222"/>
      <c r="U20" s="222">
        <f t="shared" si="0"/>
        <v>115747.51434908311</v>
      </c>
      <c r="V20" s="222"/>
      <c r="W20" s="222">
        <f t="shared" si="0"/>
        <v>119798.67735130101</v>
      </c>
      <c r="X20" s="222"/>
      <c r="Y20" s="222">
        <f t="shared" si="0"/>
        <v>123991.63105859654</v>
      </c>
      <c r="Z20" s="222"/>
      <c r="AA20" s="222">
        <f t="shared" si="0"/>
        <v>128331.33814564742</v>
      </c>
      <c r="AB20" s="222"/>
      <c r="AC20" s="222">
        <f t="shared" si="0"/>
        <v>132822.93498074508</v>
      </c>
      <c r="AD20" s="222"/>
      <c r="AE20" s="222">
        <f t="shared" si="0"/>
        <v>137471.73770507114</v>
      </c>
      <c r="AF20" s="222"/>
      <c r="AG20" s="222">
        <f t="shared" si="0"/>
        <v>142283.2485247486</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916000</v>
      </c>
      <c r="G22" s="223">
        <f>SUM(G15:G21)</f>
        <v>948060</v>
      </c>
      <c r="I22" s="223">
        <f>SUM(I15:I21)</f>
        <v>981242.09999999986</v>
      </c>
      <c r="K22" s="223">
        <f>SUM(K15:K21)</f>
        <v>1015585.5734999997</v>
      </c>
      <c r="M22" s="223">
        <f>SUM(M15:M21)</f>
        <v>1051131.0685724998</v>
      </c>
      <c r="O22" s="223">
        <f>SUM(O15:O21)</f>
        <v>1087920.6559725371</v>
      </c>
      <c r="Q22" s="223">
        <f>SUM(Q15:Q21)</f>
        <v>1125997.8789315759</v>
      </c>
      <c r="S22" s="223">
        <f>SUM(S15:S21)</f>
        <v>1165407.8046941811</v>
      </c>
      <c r="U22" s="223">
        <f>SUM(U15:U21)</f>
        <v>1206197.0778584771</v>
      </c>
      <c r="W22" s="223">
        <f>SUM(W15:W21)</f>
        <v>1248413.975583524</v>
      </c>
      <c r="Y22" s="223">
        <f>SUM(Y15:Y21)</f>
        <v>1292108.464728947</v>
      </c>
      <c r="AA22" s="223">
        <f>SUM(AA15:AA21)</f>
        <v>1337332.26099446</v>
      </c>
      <c r="AC22" s="223">
        <f>SUM(AC15:AC21)</f>
        <v>1384138.8901292663</v>
      </c>
      <c r="AE22" s="223">
        <f>SUM(AE15:AE21)</f>
        <v>1432583.7512837905</v>
      </c>
      <c r="AG22" s="223">
        <f>SUM(AG15:AG21)</f>
        <v>1482724.1825787229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31800</v>
      </c>
      <c r="F27" s="222"/>
      <c r="G27" s="222">
        <f>E27*$C$27</f>
        <v>32913</v>
      </c>
      <c r="H27" s="222"/>
      <c r="I27" s="222">
        <f>G27*$C$27</f>
        <v>34064.954999999994</v>
      </c>
      <c r="J27" s="222"/>
      <c r="K27" s="222">
        <f>I27*$C$27</f>
        <v>35257.228424999994</v>
      </c>
      <c r="L27" s="222"/>
      <c r="M27" s="222">
        <f>K27*$C$27</f>
        <v>36491.231419874988</v>
      </c>
      <c r="N27" s="222"/>
      <c r="O27" s="222">
        <f>M27*$C$27</f>
        <v>37768.42451957061</v>
      </c>
      <c r="P27" s="222"/>
      <c r="Q27" s="222">
        <f>O27*$C$27</f>
        <v>39090.319377755579</v>
      </c>
      <c r="R27" s="222"/>
      <c r="S27" s="222">
        <f>Q27*$C$27</f>
        <v>40458.480555977018</v>
      </c>
      <c r="T27" s="222"/>
      <c r="U27" s="222">
        <f>S27*$C$27</f>
        <v>41874.527375436213</v>
      </c>
      <c r="V27" s="222"/>
      <c r="W27" s="222">
        <f>U27*$C$27</f>
        <v>43340.135833576474</v>
      </c>
      <c r="X27" s="222"/>
      <c r="Y27" s="222">
        <f>W27*$C$27</f>
        <v>44857.040587751646</v>
      </c>
      <c r="Z27" s="222"/>
      <c r="AA27" s="222">
        <f>Y27*$C$27</f>
        <v>46427.03700832295</v>
      </c>
      <c r="AB27" s="222"/>
      <c r="AC27" s="222">
        <f>AA27*$C$27</f>
        <v>48051.983303614252</v>
      </c>
      <c r="AD27" s="222"/>
      <c r="AE27" s="222">
        <f>AC27*$C$27</f>
        <v>49733.802719240746</v>
      </c>
      <c r="AF27" s="222"/>
      <c r="AG27" s="222">
        <f>AE27*$C$27</f>
        <v>51474.485814414169</v>
      </c>
    </row>
    <row r="28" spans="1:33" s="210" customFormat="1" ht="14.25">
      <c r="A28" s="210" t="s">
        <v>846</v>
      </c>
      <c r="C28" s="237"/>
      <c r="E28" s="222">
        <f>Application!AC889</f>
        <v>40000</v>
      </c>
      <c r="F28" s="222"/>
      <c r="G28" s="222">
        <f>$E$28</f>
        <v>40000</v>
      </c>
      <c r="H28" s="222"/>
      <c r="I28" s="222">
        <f>$E$28</f>
        <v>40000</v>
      </c>
      <c r="J28" s="222"/>
      <c r="K28" s="222">
        <f>$E$28</f>
        <v>40000</v>
      </c>
      <c r="L28" s="222"/>
      <c r="M28" s="222">
        <f>$E$28</f>
        <v>40000</v>
      </c>
      <c r="N28" s="222"/>
      <c r="O28" s="222">
        <f>$E$28</f>
        <v>40000</v>
      </c>
      <c r="P28" s="222"/>
      <c r="Q28" s="222">
        <f>$E$28</f>
        <v>40000</v>
      </c>
      <c r="R28" s="222"/>
      <c r="S28" s="222">
        <f>$E$28</f>
        <v>40000</v>
      </c>
      <c r="T28" s="222"/>
      <c r="U28" s="222">
        <f>$E$28</f>
        <v>40000</v>
      </c>
      <c r="V28" s="222"/>
      <c r="W28" s="222">
        <f>$E$28</f>
        <v>40000</v>
      </c>
      <c r="X28" s="222"/>
      <c r="Y28" s="222">
        <f>$E$28</f>
        <v>40000</v>
      </c>
      <c r="Z28" s="222"/>
      <c r="AA28" s="222">
        <f>$E$28</f>
        <v>40000</v>
      </c>
      <c r="AB28" s="222"/>
      <c r="AC28" s="222">
        <f>$E$28</f>
        <v>40000</v>
      </c>
      <c r="AD28" s="222"/>
      <c r="AE28" s="222">
        <f>$E$28</f>
        <v>40000</v>
      </c>
      <c r="AF28" s="222"/>
      <c r="AG28" s="222">
        <f>$E$28</f>
        <v>40000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997800</v>
      </c>
      <c r="G35" s="223">
        <f>SUM(G22:G33)</f>
        <v>1031173</v>
      </c>
      <c r="I35" s="223">
        <f>SUM(I22:I33)</f>
        <v>1065711.0549999997</v>
      </c>
      <c r="K35" s="223">
        <f>SUM(K22:K33)</f>
        <v>1101454.8819249999</v>
      </c>
      <c r="M35" s="223">
        <f>SUM(M22:M33)</f>
        <v>1138446.6215923748</v>
      </c>
      <c r="O35" s="223">
        <f>SUM(O22:O33)</f>
        <v>1176729.8885241076</v>
      </c>
      <c r="Q35" s="223">
        <f>SUM(Q22:Q33)</f>
        <v>1216349.8225019714</v>
      </c>
      <c r="S35" s="223">
        <f>SUM(S22:S33)</f>
        <v>1257353.1419266509</v>
      </c>
      <c r="U35" s="223">
        <f>SUM(U22:U33)</f>
        <v>1299788.1990439359</v>
      </c>
      <c r="W35" s="223">
        <f>SUM(W22:W33)</f>
        <v>1343705.0371033237</v>
      </c>
      <c r="Y35" s="223">
        <f>SUM(Y22:Y33)</f>
        <v>1389155.4495166463</v>
      </c>
      <c r="AA35" s="223">
        <f>SUM(AA22:AA33)</f>
        <v>1436193.0410867296</v>
      </c>
      <c r="AC35" s="223">
        <f>SUM(AC22:AC33)</f>
        <v>1484873.291378506</v>
      </c>
      <c r="AE35" s="223">
        <f>SUM(AE22:AE33)</f>
        <v>1535253.6203075692</v>
      </c>
      <c r="AG35" s="223">
        <f>SUM(AG22:AG33)</f>
        <v>1587393.456023766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2821276</v>
      </c>
      <c r="G37" s="223">
        <f>G11-G35</f>
        <v>2883379.8999999994</v>
      </c>
      <c r="I37" s="223">
        <f>I11-I35</f>
        <v>2946705.6674999995</v>
      </c>
      <c r="K37" s="223">
        <f>K11-K35</f>
        <v>3011272.2586374995</v>
      </c>
      <c r="M37" s="223">
        <f>M11-M35</f>
        <v>3077098.6974841869</v>
      </c>
      <c r="O37" s="223">
        <f>O11-O35</f>
        <v>3144204.0635293676</v>
      </c>
      <c r="Q37" s="223">
        <f>Q11-Q35</f>
        <v>3212607.4783528401</v>
      </c>
      <c r="S37" s="223">
        <f>S11-S35</f>
        <v>3282328.0914495308</v>
      </c>
      <c r="U37" s="223">
        <f>U11-U35</f>
        <v>3353385.0651666503</v>
      </c>
      <c r="W37" s="223">
        <f>W11-W35</f>
        <v>3425797.5587125267</v>
      </c>
      <c r="Y37" s="223">
        <f>Y11-Y35</f>
        <v>3499584.7111946</v>
      </c>
      <c r="AA37" s="223">
        <f>AA11-AA35</f>
        <v>3574765.6236422975</v>
      </c>
      <c r="AC37" s="223">
        <f>AC11-AC35</f>
        <v>3651359.339968747</v>
      </c>
      <c r="AE37" s="223">
        <f>AE11-AE35</f>
        <v>3729384.826823364</v>
      </c>
      <c r="AG37" s="223">
        <f>AG11-AG35</f>
        <v>3808860.9522854406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Citi-Tax Exempt Permanent</v>
      </c>
      <c r="B40" s="226"/>
      <c r="C40" s="220"/>
      <c r="E40" s="222">
        <f>Application!AF627</f>
        <v>2440961</v>
      </c>
      <c r="F40" s="222"/>
      <c r="G40" s="222">
        <f>$E$40</f>
        <v>2440961</v>
      </c>
      <c r="H40" s="222"/>
      <c r="I40" s="222">
        <f>$E$40</f>
        <v>2440961</v>
      </c>
      <c r="J40" s="222"/>
      <c r="K40" s="222">
        <f>$E$40</f>
        <v>2440961</v>
      </c>
      <c r="L40" s="222"/>
      <c r="M40" s="222">
        <f>$E$40</f>
        <v>2440961</v>
      </c>
      <c r="N40" s="222"/>
      <c r="O40" s="222">
        <f>$E$40</f>
        <v>2440961</v>
      </c>
      <c r="P40" s="222"/>
      <c r="Q40" s="222">
        <f>$E$40</f>
        <v>2440961</v>
      </c>
      <c r="R40" s="222"/>
      <c r="S40" s="222">
        <f>$E$40</f>
        <v>2440961</v>
      </c>
      <c r="T40" s="222"/>
      <c r="U40" s="222">
        <f>$E$40</f>
        <v>2440961</v>
      </c>
      <c r="V40" s="222"/>
      <c r="W40" s="222">
        <f>$E$40</f>
        <v>2440961</v>
      </c>
      <c r="X40" s="222"/>
      <c r="Y40" s="222">
        <f>$E$40</f>
        <v>2440961</v>
      </c>
      <c r="Z40" s="222"/>
      <c r="AA40" s="222">
        <f>$E$40</f>
        <v>2440961</v>
      </c>
      <c r="AB40" s="222"/>
      <c r="AC40" s="222">
        <f>$E$40</f>
        <v>2440961</v>
      </c>
      <c r="AD40" s="222"/>
      <c r="AE40" s="222">
        <f>$E$40</f>
        <v>2440961</v>
      </c>
      <c r="AF40" s="222"/>
      <c r="AG40" s="222">
        <f>$E$40</f>
        <v>2440961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2440961</v>
      </c>
      <c r="G43" s="223">
        <f>SUM(G40:G42)</f>
        <v>2440961</v>
      </c>
      <c r="I43" s="223">
        <f>SUM(I40:I42)</f>
        <v>2440961</v>
      </c>
      <c r="K43" s="223">
        <f>SUM(K40:K42)</f>
        <v>2440961</v>
      </c>
      <c r="M43" s="223">
        <f>SUM(M40:M42)</f>
        <v>2440961</v>
      </c>
      <c r="O43" s="223">
        <f>SUM(O40:O42)</f>
        <v>2440961</v>
      </c>
      <c r="Q43" s="223">
        <f>SUM(Q40:Q42)</f>
        <v>2440961</v>
      </c>
      <c r="S43" s="223">
        <f>SUM(S40:S42)</f>
        <v>2440961</v>
      </c>
      <c r="U43" s="223">
        <f>SUM(U40:U42)</f>
        <v>2440961</v>
      </c>
      <c r="W43" s="223">
        <f>SUM(W40:W42)</f>
        <v>2440961</v>
      </c>
      <c r="Y43" s="223">
        <f>SUM(Y40:Y42)</f>
        <v>2440961</v>
      </c>
      <c r="AA43" s="223">
        <f>SUM(AA40:AA42)</f>
        <v>2440961</v>
      </c>
      <c r="AC43" s="223">
        <f>SUM(AC40:AC42)</f>
        <v>2440961</v>
      </c>
      <c r="AE43" s="223">
        <f>SUM(AE40:AE42)</f>
        <v>2440961</v>
      </c>
      <c r="AG43" s="223">
        <f>SUM(AG40:AG42)</f>
        <v>2440961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380315</v>
      </c>
      <c r="G45" s="223">
        <f>G37-G43</f>
        <v>442418.89999999944</v>
      </c>
      <c r="I45" s="223">
        <f>I37-I43</f>
        <v>505744.66749999952</v>
      </c>
      <c r="K45" s="223">
        <f>K37-K43</f>
        <v>570311.25863749953</v>
      </c>
      <c r="M45" s="223">
        <f>M37-M43</f>
        <v>636137.69748418685</v>
      </c>
      <c r="O45" s="223">
        <f>O37-O43</f>
        <v>703243.06352936756</v>
      </c>
      <c r="Q45" s="223">
        <f>Q37-Q43</f>
        <v>771646.47835284006</v>
      </c>
      <c r="S45" s="223">
        <f>S37-S43</f>
        <v>841367.0914495308</v>
      </c>
      <c r="U45" s="223">
        <f>U37-U43</f>
        <v>912424.06516665034</v>
      </c>
      <c r="W45" s="223">
        <f>W37-W43</f>
        <v>984836.55871252669</v>
      </c>
      <c r="Y45" s="223">
        <f>Y37-Y43</f>
        <v>1058623.7111946</v>
      </c>
      <c r="AA45" s="223">
        <f>AA37-AA43</f>
        <v>1133804.6236422975</v>
      </c>
      <c r="AC45" s="223">
        <f>AC37-AC43</f>
        <v>1210398.339968747</v>
      </c>
      <c r="AE45" s="223">
        <f>AE37-AE43</f>
        <v>1288423.826823364</v>
      </c>
      <c r="AG45" s="223">
        <f>AG37-AG43</f>
        <v>1367899.9522854406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9.4603838729577519E-2</v>
      </c>
      <c r="G47" s="227">
        <f>G45/(G4+G6+G8)</f>
        <v>0.10736806111369693</v>
      </c>
      <c r="I47" s="227">
        <f>I45/(I4+I6+I8)</f>
        <v>0.11974265569944166</v>
      </c>
      <c r="K47" s="227">
        <f>K45/(K4+K6+K8)</f>
        <v>0.13173635818483279</v>
      </c>
      <c r="M47" s="227">
        <f>M45/(M4+M6+M8)</f>
        <v>0.14335768373197313</v>
      </c>
      <c r="O47" s="227">
        <f>O45/(O4+O6+O8)</f>
        <v>0.1546149322730104</v>
      </c>
      <c r="Q47" s="227">
        <f>Q45/(Q4+Q6+Q8)</f>
        <v>0.165516193685975</v>
      </c>
      <c r="S47" s="227">
        <f>S45/(S4+S6+S8)</f>
        <v>0.17606935284366038</v>
      </c>
      <c r="U47" s="227">
        <f>U45/(U4+U6+U8)</f>
        <v>0.1862820945386334</v>
      </c>
      <c r="W47" s="227">
        <f>W45/(W4+W6+W8)</f>
        <v>0.19616190828739061</v>
      </c>
      <c r="Y47" s="227">
        <f>Y45/(Y4+Y6+Y8)</f>
        <v>0.20571609301660146</v>
      </c>
      <c r="AA47" s="227">
        <f>AA45/(AA4+AA6+AA8)</f>
        <v>0.21495176163430368</v>
      </c>
      <c r="AC47" s="227">
        <f>AC45/(AC4+AC6+AC8)</f>
        <v>0.22387584548885442</v>
      </c>
      <c r="AE47" s="227">
        <f>AE45/(AE4+AE6+AE8)</f>
        <v>0.23249509871836302</v>
      </c>
      <c r="AG47" s="227">
        <f>AG45/(AG4+AG6+AG8)</f>
        <v>0.24081610249327345</v>
      </c>
    </row>
    <row r="48" spans="1:33" s="227" customFormat="1" ht="14.25">
      <c r="A48" s="227" t="s">
        <v>852</v>
      </c>
      <c r="C48" s="220"/>
      <c r="E48" s="227">
        <f>E45/E43</f>
        <v>0.1558054389234404</v>
      </c>
      <c r="G48" s="227">
        <f>G45/G43</f>
        <v>0.1812478364054155</v>
      </c>
      <c r="I48" s="227">
        <f>I45/I43</f>
        <v>0.20719080210621943</v>
      </c>
      <c r="K48" s="227">
        <f>K45/K43</f>
        <v>0.23364210187606418</v>
      </c>
      <c r="M48" s="227">
        <f>M45/M43</f>
        <v>0.26060952939608084</v>
      </c>
      <c r="O48" s="227">
        <f>O45/O43</f>
        <v>0.28810090105059749</v>
      </c>
      <c r="Q48" s="227">
        <f>Q45/Q43</f>
        <v>0.31612405046735287</v>
      </c>
      <c r="S48" s="227">
        <f>S45/S43</f>
        <v>0.34468682271020751</v>
      </c>
      <c r="U48" s="227">
        <f>U45/U43</f>
        <v>0.37379706810827801</v>
      </c>
      <c r="W48" s="227">
        <f>W45/W43</f>
        <v>0.40346263570475999</v>
      </c>
      <c r="Y48" s="227">
        <f>Y45/Y43</f>
        <v>0.43369136630802374</v>
      </c>
      <c r="AA48" s="227">
        <f>AA45/AA43</f>
        <v>0.4644910851268404</v>
      </c>
      <c r="AC48" s="227">
        <f>AC45/AC43</f>
        <v>0.49586959397087743</v>
      </c>
      <c r="AE48" s="227">
        <f>AE45/AE43</f>
        <v>0.52783466299681314</v>
      </c>
      <c r="AG48" s="227">
        <f>AG45/AG43</f>
        <v>0.56039402197963861</v>
      </c>
    </row>
    <row r="49" spans="1:34" s="228" customFormat="1" ht="14.25">
      <c r="A49" s="228" t="s">
        <v>850</v>
      </c>
      <c r="C49" s="229"/>
      <c r="E49" s="228">
        <f>E37/E43</f>
        <v>1.1558054389234405</v>
      </c>
      <c r="G49" s="228">
        <f>G37/G43</f>
        <v>1.1812478364054155</v>
      </c>
      <c r="I49" s="228">
        <f>I37/I43</f>
        <v>1.2071908021062194</v>
      </c>
      <c r="K49" s="228">
        <f>K37/K43</f>
        <v>1.2336421018760642</v>
      </c>
      <c r="M49" s="228">
        <f>M37/M43</f>
        <v>1.2606095293960808</v>
      </c>
      <c r="O49" s="228">
        <f>O37/O43</f>
        <v>1.2881009010505975</v>
      </c>
      <c r="Q49" s="228">
        <f>Q37/Q43</f>
        <v>1.3161240504673528</v>
      </c>
      <c r="S49" s="228">
        <f>S37/S43</f>
        <v>1.3446868227102076</v>
      </c>
      <c r="U49" s="228">
        <f>U37/U43</f>
        <v>1.3737970681082781</v>
      </c>
      <c r="W49" s="228">
        <f>W37/W43</f>
        <v>1.4034626357047599</v>
      </c>
      <c r="Y49" s="228">
        <f>Y37/Y43</f>
        <v>1.4336913663080237</v>
      </c>
      <c r="AA49" s="228">
        <f>AA37/AA43</f>
        <v>1.4644910851268405</v>
      </c>
      <c r="AC49" s="228">
        <f>AC37/AC43</f>
        <v>1.4958695939708775</v>
      </c>
      <c r="AE49" s="228">
        <f>AE37/AE43</f>
        <v>1.5278346629968131</v>
      </c>
      <c r="AG49" s="228">
        <f>AG37/AG43</f>
        <v>1.5603940219796386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1184</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f>Application!AO628</f>
        <v>10497331</v>
      </c>
      <c r="E60" s="962">
        <f>E45-E58</f>
        <v>380315</v>
      </c>
      <c r="G60" s="962">
        <f>G45-G58</f>
        <v>442418.89999999944</v>
      </c>
      <c r="I60" s="962">
        <f>I45-I58</f>
        <v>505744.66749999952</v>
      </c>
      <c r="K60" s="962">
        <f>K45-K58</f>
        <v>570311.25863749953</v>
      </c>
      <c r="M60" s="962">
        <f>M45-M58</f>
        <v>636137.69748418685</v>
      </c>
      <c r="O60" s="962">
        <f>O45-O58</f>
        <v>703243.06352936756</v>
      </c>
      <c r="Q60" s="962">
        <f>Q45-Q58</f>
        <v>771646.47835284006</v>
      </c>
      <c r="S60" s="962">
        <f>S45-S58</f>
        <v>841367.0914495308</v>
      </c>
      <c r="U60" s="962">
        <f>U45-U58</f>
        <v>912424.06516665034</v>
      </c>
      <c r="W60" s="962">
        <f>W45-W58</f>
        <v>984836.55871252669</v>
      </c>
      <c r="Y60" s="962">
        <f>Y45-Y58</f>
        <v>1058623.7111946</v>
      </c>
      <c r="AA60" s="962">
        <f>AA45-AA58</f>
        <v>1133804.6236422975</v>
      </c>
      <c r="AC60" s="962">
        <f>AC45-AC58</f>
        <v>1210398.339968747</v>
      </c>
      <c r="AE60" s="962">
        <f>AE45-AE58</f>
        <v>1288423.826823364</v>
      </c>
      <c r="AG60" s="962">
        <f>AG45-AG58</f>
        <v>1367899.9522854406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380315</v>
      </c>
      <c r="G62" s="962">
        <f>G60*$C$62</f>
        <v>442418.89999999944</v>
      </c>
      <c r="I62" s="962">
        <f>I60*$C$62</f>
        <v>505744.66749999952</v>
      </c>
      <c r="K62" s="962">
        <f>K60*$C$62</f>
        <v>570311.25863749953</v>
      </c>
      <c r="M62" s="962">
        <f>M60*$C$62</f>
        <v>636137.69748418685</v>
      </c>
      <c r="O62" s="962">
        <f>O60*$C$62</f>
        <v>703243.06352936756</v>
      </c>
      <c r="Q62" s="962">
        <f>Q60*$C$62</f>
        <v>771646.47835284006</v>
      </c>
      <c r="S62" s="962">
        <f>S60*$C$62</f>
        <v>841367.0914495308</v>
      </c>
      <c r="U62" s="962">
        <f>U60*$C$62</f>
        <v>912424.06516665034</v>
      </c>
      <c r="W62" s="962">
        <f>W60*$C$62</f>
        <v>984836.55871252669</v>
      </c>
      <c r="Y62" s="962">
        <f>Y60*$C$62</f>
        <v>1058623.7111946</v>
      </c>
      <c r="AA62" s="962">
        <f>AA60*$C$62</f>
        <v>1133804.6236422975</v>
      </c>
      <c r="AC62" s="962">
        <f>AC60*$C$62</f>
        <v>1210398.339968747</v>
      </c>
      <c r="AE62" s="962">
        <f>C60-SUM(E62:AC62)</f>
        <v>346059.54436175339</v>
      </c>
      <c r="AG62" s="962">
        <v>0</v>
      </c>
    </row>
    <row r="63" spans="1:34" s="962" customFormat="1">
      <c r="A63" s="2689" t="s">
        <v>2732</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942364.28246161062</v>
      </c>
      <c r="AG72" s="962">
        <f>AG60-AG62-AG70</f>
        <v>1367899.9522854406</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3500000</v>
      </c>
      <c r="C5" s="266">
        <f>'Sources and Uses Budget'!$C4</f>
        <v>3500000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3500000</v>
      </c>
      <c r="C9" s="270">
        <f>SUM(C5:C8)</f>
        <v>3500000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3500000</v>
      </c>
      <c r="C13" s="270">
        <f>SUM(C9+C12)</f>
        <v>3500000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1563337</v>
      </c>
      <c r="C30" s="266">
        <f>'Sources and Uses Budget'!$C29</f>
        <v>1563337</v>
      </c>
      <c r="D30" s="270">
        <f t="shared" si="0"/>
        <v>0</v>
      </c>
      <c r="E30" s="268"/>
      <c r="F30" s="267"/>
    </row>
    <row r="31" spans="1:6" s="352" customFormat="1">
      <c r="A31" s="145" t="s">
        <v>599</v>
      </c>
      <c r="B31" s="266">
        <f>'Sources and Uses Budget'!$C30</f>
        <v>46647344</v>
      </c>
      <c r="C31" s="266">
        <f>'Sources and Uses Budget'!$C30</f>
        <v>46647344</v>
      </c>
      <c r="D31" s="270">
        <f t="shared" si="0"/>
        <v>0</v>
      </c>
      <c r="E31" s="268"/>
      <c r="F31" s="267"/>
    </row>
    <row r="32" spans="1:6" s="352" customFormat="1">
      <c r="A32" s="145" t="s">
        <v>600</v>
      </c>
      <c r="B32" s="266">
        <f>'Sources and Uses Budget'!$C31</f>
        <v>634172</v>
      </c>
      <c r="C32" s="266">
        <f>'Sources and Uses Budget'!$C31</f>
        <v>634172</v>
      </c>
      <c r="D32" s="270">
        <f t="shared" si="0"/>
        <v>0</v>
      </c>
      <c r="E32" s="268"/>
      <c r="F32" s="267"/>
    </row>
    <row r="33" spans="1:6" s="352" customFormat="1">
      <c r="A33" s="145" t="s">
        <v>137</v>
      </c>
      <c r="B33" s="266">
        <f>'Sources and Uses Budget'!$C32</f>
        <v>1339792</v>
      </c>
      <c r="C33" s="266">
        <f>'Sources and Uses Budget'!$C32</f>
        <v>1339792</v>
      </c>
      <c r="D33" s="270">
        <f t="shared" si="0"/>
        <v>0</v>
      </c>
      <c r="E33" s="268"/>
      <c r="F33" s="267"/>
    </row>
    <row r="34" spans="1:6" s="352" customFormat="1">
      <c r="A34" s="145" t="s">
        <v>138</v>
      </c>
      <c r="B34" s="266">
        <f>'Sources and Uses Budget'!$C33</f>
        <v>1362678</v>
      </c>
      <c r="C34" s="266">
        <f>'Sources and Uses Budget'!$C33</f>
        <v>1362678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393000</v>
      </c>
      <c r="C36" s="266">
        <f>'Sources and Uses Budget'!$C35</f>
        <v>393000</v>
      </c>
      <c r="D36" s="270">
        <f t="shared" si="0"/>
        <v>0</v>
      </c>
      <c r="E36" s="268"/>
      <c r="F36" s="267"/>
    </row>
    <row r="37" spans="1:6" s="352" customFormat="1">
      <c r="A37" s="283" t="s">
        <v>1640</v>
      </c>
      <c r="B37" s="266">
        <f>'Sources and Uses Budget'!$C36</f>
        <v>1300000</v>
      </c>
      <c r="C37" s="266">
        <f>'Sources and Uses Budget'!$C36</f>
        <v>1300000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53240323</v>
      </c>
      <c r="C39" s="270">
        <f>SUM(C30:C38)</f>
        <v>53240323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1650000</v>
      </c>
      <c r="C43" s="270">
        <f>SUM(C41:C42)</f>
        <v>1650000</v>
      </c>
      <c r="D43" s="270">
        <f t="shared" si="0"/>
        <v>0</v>
      </c>
      <c r="E43" s="268"/>
      <c r="F43" s="267"/>
    </row>
    <row r="44" spans="1:6" s="352" customFormat="1">
      <c r="A44" s="271" t="s">
        <v>148</v>
      </c>
      <c r="B44" s="266">
        <f>'Sources and Uses Budget'!$C43</f>
        <v>1470000</v>
      </c>
      <c r="C44" s="266">
        <f>'Sources and Uses Budget'!$C43</f>
        <v>1470000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8033500</v>
      </c>
      <c r="C46" s="266">
        <f>'Sources and Uses Budget'!$C45</f>
        <v>8033500</v>
      </c>
      <c r="D46" s="270">
        <f t="shared" si="0"/>
        <v>0</v>
      </c>
      <c r="E46" s="268"/>
      <c r="F46" s="267"/>
    </row>
    <row r="47" spans="1:6" s="352" customFormat="1">
      <c r="A47" s="145" t="s">
        <v>151</v>
      </c>
      <c r="B47" s="266">
        <f>'Sources and Uses Budget'!$C46</f>
        <v>710000</v>
      </c>
      <c r="C47" s="266">
        <f>'Sources and Uses Budget'!$C46</f>
        <v>710000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462000</v>
      </c>
      <c r="C50" s="266">
        <f>'Sources and Uses Budget'!$C49</f>
        <v>462000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1200000</v>
      </c>
      <c r="C53" s="266">
        <f>'Sources and Uses Budget'!$C52</f>
        <v>1200000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10505500</v>
      </c>
      <c r="C55" s="273">
        <f>SUM(C46:C54)</f>
        <v>10505500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70000</v>
      </c>
      <c r="C57" s="266">
        <f>'Sources and Uses Budget'!$C56</f>
        <v>70000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70000</v>
      </c>
      <c r="C63" s="270">
        <f>SUM(C57:C62)</f>
        <v>70000</v>
      </c>
      <c r="D63" s="270">
        <f t="shared" si="0"/>
        <v>0</v>
      </c>
      <c r="E63" s="268"/>
      <c r="F63" s="267"/>
    </row>
    <row r="64" spans="1:6" s="352" customFormat="1">
      <c r="A64" s="274" t="s">
        <v>301</v>
      </c>
      <c r="B64" s="270">
        <f>SUM(B9+B12+B14+B15+B17+B26+B28+B39+B43+B44+B55+B63)</f>
        <v>70435823</v>
      </c>
      <c r="C64" s="270">
        <f>SUM(C9+C12+C14+C15+C17+C26+C28+C39+C43+C44+C55+C63)</f>
        <v>70435823</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135000</v>
      </c>
      <c r="C66" s="266">
        <f>'Sources and Uses Budget'!$C65</f>
        <v>135000</v>
      </c>
      <c r="D66" s="270">
        <f t="shared" si="0"/>
        <v>0</v>
      </c>
      <c r="E66" s="268"/>
      <c r="F66" s="267"/>
    </row>
    <row r="67" spans="1:6" s="352" customFormat="1" ht="24">
      <c r="A67" s="283" t="s">
        <v>1641</v>
      </c>
      <c r="B67" s="266">
        <f>'Sources and Uses Budget'!$C66</f>
        <v>100000</v>
      </c>
      <c r="C67" s="266">
        <f>'Sources and Uses Budget'!$C66</f>
        <v>100000</v>
      </c>
      <c r="D67" s="270"/>
      <c r="E67" s="268"/>
      <c r="F67" s="267"/>
    </row>
    <row r="68" spans="1:6" s="352" customFormat="1" ht="24">
      <c r="A68" s="283" t="s">
        <v>1642</v>
      </c>
      <c r="B68" s="266">
        <f>'Sources and Uses Budget'!$C67</f>
        <v>4250000</v>
      </c>
      <c r="C68" s="266">
        <f>'Sources and Uses Budget'!$C67</f>
        <v>4250000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Transaction Legal</v>
      </c>
      <c r="B70" s="266">
        <f>'Sources and Uses Budget'!$C69</f>
        <v>120000</v>
      </c>
      <c r="C70" s="266">
        <f>'Sources and Uses Budget'!$C69</f>
        <v>120000</v>
      </c>
      <c r="D70" s="270">
        <f t="shared" si="0"/>
        <v>0</v>
      </c>
      <c r="E70" s="268"/>
      <c r="F70" s="267"/>
    </row>
    <row r="71" spans="1:6" s="352" customFormat="1">
      <c r="A71" s="149" t="s">
        <v>1645</v>
      </c>
      <c r="B71" s="270">
        <f>SUM(B66:B70)</f>
        <v>4605000</v>
      </c>
      <c r="C71" s="270">
        <f>SUM(C66:C70)</f>
        <v>4605000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800000</v>
      </c>
      <c r="C76" s="266">
        <f>'Sources and Uses Budget'!$C75</f>
        <v>800000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800000</v>
      </c>
      <c r="C78" s="270">
        <f>SUM(C73:C77)</f>
        <v>800000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3000000</v>
      </c>
      <c r="C80" s="266">
        <f>'Sources and Uses Budget'!$C79</f>
        <v>3000000</v>
      </c>
      <c r="D80" s="270">
        <f t="shared" si="1"/>
        <v>0</v>
      </c>
      <c r="E80" s="268"/>
      <c r="F80" s="267"/>
    </row>
    <row r="81" spans="1:6" s="352" customFormat="1">
      <c r="A81" s="510" t="s">
        <v>58</v>
      </c>
      <c r="B81" s="266">
        <f>'Sources and Uses Budget'!$C80</f>
        <v>613500</v>
      </c>
      <c r="C81" s="266">
        <f>'Sources and Uses Budget'!$C80</f>
        <v>613500</v>
      </c>
      <c r="D81" s="270">
        <f>C81-B81</f>
        <v>0</v>
      </c>
      <c r="E81" s="268"/>
      <c r="F81" s="267"/>
    </row>
    <row r="82" spans="1:6" s="352" customFormat="1">
      <c r="A82" s="271" t="s">
        <v>1209</v>
      </c>
      <c r="B82" s="270">
        <f>SUM(B80:B81)</f>
        <v>3613500</v>
      </c>
      <c r="C82" s="270">
        <f>SUM(C80:C81)</f>
        <v>3613500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0</v>
      </c>
      <c r="C84" s="266">
        <f>'Sources and Uses Budget'!$C83</f>
        <v>0</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477677</v>
      </c>
      <c r="C87" s="266">
        <f>'Sources and Uses Budget'!$C86</f>
        <v>477677</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350000</v>
      </c>
      <c r="C90" s="266">
        <f>'Sources and Uses Budget'!$C89</f>
        <v>350000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371</v>
      </c>
      <c r="B92" s="266">
        <f>'Sources and Uses Budget'!$C91</f>
        <v>86000</v>
      </c>
      <c r="C92" s="266">
        <f>'Sources and Uses Budget'!$C91</f>
        <v>86000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978677</v>
      </c>
      <c r="C97" s="270">
        <f>SUM(C84:C96)</f>
        <v>978677</v>
      </c>
      <c r="D97" s="270">
        <f t="shared" si="1"/>
        <v>0</v>
      </c>
      <c r="E97" s="268"/>
      <c r="F97" s="267"/>
    </row>
    <row r="98" spans="1:6" s="352" customFormat="1">
      <c r="A98" s="271" t="s">
        <v>775</v>
      </c>
      <c r="B98" s="270">
        <f>SUM(B64+B71+B78+B82+B97)</f>
        <v>80433000</v>
      </c>
      <c r="C98" s="270">
        <f>SUM(C64+C71+C78+C82+C97)</f>
        <v>80433000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11250000</v>
      </c>
      <c r="C100" s="266">
        <f>'Sources and Uses Budget'!$C99</f>
        <v>11250000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11250000</v>
      </c>
      <c r="C105" s="270">
        <f>SUM(C100:C104)</f>
        <v>11250000</v>
      </c>
      <c r="D105" s="270">
        <f t="shared" si="1"/>
        <v>0</v>
      </c>
      <c r="E105" s="268"/>
      <c r="F105" s="267"/>
    </row>
    <row r="106" spans="1:6" s="352" customFormat="1">
      <c r="A106" s="271" t="s">
        <v>780</v>
      </c>
      <c r="B106" s="273">
        <f>SUM(B98+B105)</f>
        <v>91683000</v>
      </c>
      <c r="C106" s="273">
        <f>SUM(C98+C105)</f>
        <v>91683000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095" workbookViewId="0">
      <selection activeCell="B1123" sqref="B1123"/>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2738</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25">
      <c r="A20" s="484"/>
      <c r="B20" s="485" t="s">
        <v>2738</v>
      </c>
      <c r="D20" s="1301" t="s">
        <v>1922</v>
      </c>
      <c r="E20" s="1301"/>
      <c r="F20" s="1301"/>
      <c r="I20" s="490"/>
    </row>
    <row r="21" spans="1:9" ht="14.25">
      <c r="A21" s="484"/>
      <c r="D21" s="1301"/>
      <c r="E21" s="1301"/>
      <c r="F21" s="1301"/>
      <c r="I21" s="490"/>
    </row>
    <row r="22" spans="1:9" ht="14.25">
      <c r="A22" s="484"/>
      <c r="D22" s="392"/>
      <c r="E22" s="96" t="s">
        <v>1918</v>
      </c>
      <c r="F22" s="392"/>
      <c r="I22" s="490"/>
    </row>
    <row r="23" spans="1:9" ht="14.25">
      <c r="A23" s="484"/>
      <c r="B23" s="484"/>
      <c r="D23" s="446"/>
      <c r="I23" s="490"/>
    </row>
    <row r="24" spans="1:9" ht="14.25">
      <c r="A24" s="484"/>
      <c r="B24" s="485" t="s">
        <v>2739</v>
      </c>
      <c r="D24" s="1301" t="s">
        <v>1091</v>
      </c>
      <c r="E24" s="1301"/>
      <c r="F24" s="1301"/>
      <c r="I24" s="490"/>
    </row>
    <row r="25" spans="1:9" ht="14.25">
      <c r="A25" s="484"/>
      <c r="B25" s="484"/>
      <c r="D25" s="1301"/>
      <c r="E25" s="1301"/>
      <c r="F25" s="1301"/>
      <c r="I25" s="490"/>
    </row>
    <row r="26" spans="1:9">
      <c r="I26" s="490"/>
    </row>
    <row r="27" spans="1:9" ht="14.25">
      <c r="A27" s="484"/>
      <c r="B27" s="485" t="s">
        <v>2738</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2739</v>
      </c>
      <c r="D33" s="1301" t="s">
        <v>2048</v>
      </c>
      <c r="E33" s="1301"/>
      <c r="F33" s="1301"/>
      <c r="I33" s="490"/>
    </row>
    <row r="34" spans="1:9">
      <c r="D34" s="1301"/>
      <c r="E34" s="1301"/>
      <c r="F34" s="1301"/>
      <c r="I34" s="490"/>
    </row>
    <row r="35" spans="1:9" ht="14.25">
      <c r="A35" s="484"/>
      <c r="B35" s="484"/>
      <c r="D35" s="447"/>
      <c r="I35" s="490"/>
    </row>
    <row r="36" spans="1:9" ht="14.45" customHeight="1">
      <c r="A36" s="484"/>
      <c r="B36" s="485" t="s">
        <v>2739</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2739</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2739</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2739</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2738</v>
      </c>
      <c r="D56" s="1324" t="s">
        <v>1095</v>
      </c>
      <c r="E56" s="1324"/>
      <c r="F56" s="1324"/>
      <c r="I56" s="490"/>
    </row>
    <row r="57" spans="1:9" ht="14.25">
      <c r="A57" s="484"/>
      <c r="B57" s="484"/>
      <c r="D57" s="1324"/>
      <c r="E57" s="1324"/>
      <c r="F57" s="1324"/>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2739</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2739</v>
      </c>
      <c r="D65" s="1301" t="s">
        <v>1097</v>
      </c>
      <c r="E65" s="1301"/>
      <c r="F65" s="1301"/>
      <c r="I65" s="490"/>
    </row>
    <row r="66" spans="1:9">
      <c r="D66" s="1301"/>
      <c r="E66" s="1301"/>
      <c r="F66" s="1301"/>
      <c r="I66" s="490"/>
    </row>
    <row r="67" spans="1:9">
      <c r="I67" s="490"/>
    </row>
    <row r="68" spans="1:9" ht="14.25">
      <c r="A68" s="484"/>
      <c r="B68" s="485" t="s">
        <v>2738</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2738</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2738</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2738</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2738</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2738</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2739</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2739</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2739</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2738</v>
      </c>
      <c r="C128" s="402"/>
      <c r="D128" s="1323" t="s">
        <v>2049</v>
      </c>
      <c r="E128" s="1323"/>
      <c r="F128" s="1323"/>
      <c r="I128" s="490"/>
    </row>
    <row r="129" spans="1:9" ht="14.25">
      <c r="A129" s="484"/>
      <c r="B129" s="484"/>
      <c r="C129" s="402"/>
      <c r="D129" s="1323"/>
      <c r="E129" s="1323"/>
      <c r="F129" s="1323"/>
      <c r="I129" s="490"/>
    </row>
    <row r="130" spans="1:9">
      <c r="I130" s="490"/>
    </row>
    <row r="131" spans="1:9" ht="14.25">
      <c r="A131" s="484"/>
      <c r="B131" s="485" t="s">
        <v>2739</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2738</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2739</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2739</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2739</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2739</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2738</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2739</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2739</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2739</v>
      </c>
      <c r="D209" s="386" t="s">
        <v>1894</v>
      </c>
      <c r="E209" s="385"/>
      <c r="F209" s="385"/>
      <c r="I209" s="490"/>
    </row>
    <row r="210" spans="1:9" ht="14.25">
      <c r="A210" s="484"/>
      <c r="B210" s="484"/>
      <c r="D210" s="1288" t="s">
        <v>1901</v>
      </c>
      <c r="E210" s="1288"/>
      <c r="F210" s="1288"/>
      <c r="I210" s="490"/>
    </row>
    <row r="211" spans="1:9">
      <c r="D211" s="385"/>
      <c r="E211" s="1325" t="s">
        <v>1927</v>
      </c>
      <c r="F211" s="1325"/>
      <c r="I211" s="490"/>
    </row>
    <row r="212" spans="1:9">
      <c r="D212" s="447"/>
      <c r="I212" s="490"/>
    </row>
    <row r="213" spans="1:9">
      <c r="B213" s="485" t="s">
        <v>2739</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ht="14.25">
      <c r="A217" s="484"/>
      <c r="B217" s="485" t="s">
        <v>2739</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2738</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2738</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2738</v>
      </c>
      <c r="D245" s="1301" t="s">
        <v>2052</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2739</v>
      </c>
      <c r="D250" s="1301" t="s">
        <v>2053</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2738</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2738</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2738</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2739</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2739</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2739</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2739</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2739</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2739</v>
      </c>
      <c r="D305" s="1299" t="s">
        <v>1129</v>
      </c>
      <c r="E305" s="1299"/>
      <c r="F305" s="1299"/>
      <c r="I305" s="490"/>
    </row>
    <row r="306" spans="1:9" ht="14.25">
      <c r="A306" s="484"/>
      <c r="B306" s="484"/>
      <c r="D306" s="494"/>
      <c r="E306" s="495"/>
      <c r="F306" s="495"/>
      <c r="I306" s="490"/>
    </row>
    <row r="307" spans="1:9" ht="13.7" customHeight="1">
      <c r="B307" s="485" t="s">
        <v>2739</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2739</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2739</v>
      </c>
      <c r="D316" s="1299" t="s">
        <v>1131</v>
      </c>
      <c r="E316" s="1299"/>
      <c r="F316" s="1299"/>
      <c r="I316" s="490"/>
    </row>
    <row r="317" spans="1:9">
      <c r="E317" s="446"/>
      <c r="F317" s="446"/>
      <c r="I317" s="490"/>
    </row>
    <row r="318" spans="1:9" ht="14.25">
      <c r="A318" s="484"/>
      <c r="B318" s="485" t="s">
        <v>2739</v>
      </c>
      <c r="D318" s="1301" t="s">
        <v>2244</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2739</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2739</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2739</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2739</v>
      </c>
      <c r="C360" s="476"/>
      <c r="D360" s="1318" t="s">
        <v>2056</v>
      </c>
      <c r="E360" s="1318"/>
      <c r="F360" s="1318"/>
      <c r="I360" s="480"/>
    </row>
    <row r="361" spans="1:9">
      <c r="A361" s="476"/>
      <c r="B361" s="476"/>
      <c r="C361" s="476"/>
      <c r="D361" s="447"/>
      <c r="E361" s="447"/>
      <c r="F361" s="446"/>
      <c r="I361" s="490"/>
    </row>
    <row r="362" spans="1:9">
      <c r="A362" s="476"/>
      <c r="B362" s="485" t="s">
        <v>2739</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2739</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2739</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2739</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2739</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2739</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2739</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25">
      <c r="A435" s="484"/>
      <c r="B435" s="485" t="s">
        <v>2739</v>
      </c>
      <c r="C435" s="487"/>
      <c r="D435" s="1301" t="s">
        <v>2058</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2739</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2739</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2739</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2739</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2739</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2739</v>
      </c>
      <c r="C486" s="402"/>
      <c r="D486" s="1301"/>
      <c r="E486" s="1301"/>
      <c r="F486" s="1301"/>
      <c r="I486" s="490"/>
    </row>
    <row r="487" spans="1:9">
      <c r="A487" s="402"/>
      <c r="C487" s="402"/>
      <c r="D487" s="1301"/>
      <c r="E487" s="1301"/>
      <c r="F487" s="1301"/>
      <c r="I487" s="490"/>
    </row>
    <row r="488" spans="1:9">
      <c r="A488" s="402"/>
      <c r="B488" s="485" t="s">
        <v>2739</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2739</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2739</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2739</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2739</v>
      </c>
      <c r="D509" s="1299" t="s">
        <v>1143</v>
      </c>
      <c r="E509" s="1299"/>
      <c r="F509" s="1299"/>
      <c r="I509" s="490"/>
    </row>
    <row r="510" spans="1:9" ht="14.25">
      <c r="A510" s="484"/>
      <c r="B510" s="484"/>
      <c r="D510" s="446"/>
      <c r="I510" s="490"/>
    </row>
    <row r="511" spans="1:9" ht="14.25">
      <c r="A511" s="484"/>
      <c r="B511" s="485" t="s">
        <v>2739</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2739</v>
      </c>
      <c r="D514" s="1299" t="s">
        <v>1145</v>
      </c>
      <c r="E514" s="1299"/>
      <c r="F514" s="1299"/>
      <c r="I514" s="490"/>
    </row>
    <row r="515" spans="1:9">
      <c r="D515" s="446"/>
      <c r="E515" s="446"/>
      <c r="F515" s="446"/>
      <c r="I515" s="490"/>
    </row>
    <row r="516" spans="1:9">
      <c r="B516" s="485" t="s">
        <v>2739</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2738</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2738</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2739</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2738</v>
      </c>
      <c r="C548" s="487"/>
      <c r="D548" s="1299" t="s">
        <v>884</v>
      </c>
      <c r="E548" s="1299"/>
      <c r="F548" s="1299"/>
      <c r="I548" s="490"/>
    </row>
    <row r="549" spans="1:9" ht="13.7" customHeight="1">
      <c r="A549" s="487"/>
      <c r="B549" s="487"/>
      <c r="C549" s="487"/>
      <c r="D549" s="446"/>
      <c r="I549" s="490"/>
    </row>
    <row r="550" spans="1:9" ht="14.25">
      <c r="A550" s="484"/>
      <c r="B550" s="485" t="s">
        <v>2738</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2738</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2738</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2738</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2739</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2739</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2738</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2738</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2738</v>
      </c>
      <c r="C578" s="487"/>
      <c r="D578" s="1301" t="s">
        <v>2062</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2738</v>
      </c>
      <c r="D588" s="1313" t="s">
        <v>888</v>
      </c>
      <c r="E588" s="1313"/>
      <c r="F588" s="1313"/>
      <c r="I588" s="490"/>
    </row>
    <row r="589" spans="1:9">
      <c r="A589" s="490"/>
      <c r="B589" s="490"/>
      <c r="D589" s="476"/>
      <c r="I589" s="490"/>
    </row>
    <row r="590" spans="1:9">
      <c r="A590" s="490"/>
      <c r="B590" s="485" t="s">
        <v>2738</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2739</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2738</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2739</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2738</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2738</v>
      </c>
      <c r="D620" s="1307" t="s">
        <v>1111</v>
      </c>
      <c r="E620" s="1307"/>
      <c r="F620" s="1307"/>
      <c r="I620" s="490"/>
    </row>
    <row r="621" spans="1:9">
      <c r="D621" s="1307"/>
      <c r="E621" s="1307"/>
      <c r="F621" s="1307"/>
      <c r="I621" s="490"/>
    </row>
    <row r="622" spans="1:9">
      <c r="I622" s="490"/>
    </row>
    <row r="623" spans="1:9">
      <c r="B623" s="485" t="s">
        <v>2738</v>
      </c>
      <c r="D623" s="1307" t="s">
        <v>1112</v>
      </c>
      <c r="E623" s="1307"/>
      <c r="F623" s="1307"/>
      <c r="I623" s="490"/>
    </row>
    <row r="624" spans="1:9">
      <c r="C624" s="500"/>
      <c r="D624" s="1307"/>
      <c r="E624" s="1307"/>
      <c r="F624" s="1307"/>
      <c r="I624" s="490"/>
    </row>
    <row r="625" spans="1:9">
      <c r="C625" s="500"/>
      <c r="I625" s="490"/>
    </row>
    <row r="626" spans="1:9">
      <c r="B626" s="485" t="s">
        <v>2739</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2738</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2739</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2739</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2739</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2738</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2739</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2739</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2739</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2738</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2738</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2738</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2739</v>
      </c>
      <c r="C698" s="483"/>
      <c r="D698" s="1299" t="s">
        <v>2468</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2739</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2739</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2739</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2739</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2739</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2739</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2739</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2738</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2738</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2738</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2739</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2739</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2739</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2738</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2739</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2739</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2739</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2739</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2739</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2739</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2738</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2738</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2739</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2739</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2739</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2738</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2738</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2739</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2739</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2739</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2738</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2738</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2738</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2739</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2739</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2739</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2739</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2738</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2738</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2738</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2739</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2739</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2739</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2738</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2740</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2739</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2739</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2739</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2739</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2738</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2738</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2739</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2739</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2739</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2739</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2738</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2739</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2739</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2738</v>
      </c>
      <c r="C1062" s="402"/>
      <c r="D1062" s="402" t="s">
        <v>1812</v>
      </c>
      <c r="I1062" s="490"/>
    </row>
    <row r="1063" spans="1:9">
      <c r="A1063" s="402"/>
      <c r="B1063" s="402"/>
      <c r="C1063" s="402"/>
      <c r="I1063" s="490"/>
    </row>
    <row r="1064" spans="1:9">
      <c r="A1064" s="402"/>
      <c r="B1064" s="485" t="s">
        <v>2738</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2738</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2739</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2739</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2739</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2739</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2739</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2739</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2739</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2739</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2738</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2739</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AC893" sqref="AC893:AH893"/>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City of Los Angeles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35</v>
      </c>
    </row>
    <row r="8" spans="1:58" ht="26.25" customHeight="1">
      <c r="A8" s="1404" t="s">
        <v>100</v>
      </c>
      <c r="B8" s="1404"/>
      <c r="C8" s="1404"/>
      <c r="D8" s="1404"/>
      <c r="E8" s="1404"/>
      <c r="F8" s="1404"/>
      <c r="G8" s="1404"/>
      <c r="H8" s="1404"/>
      <c r="I8" s="1404"/>
      <c r="J8" s="1404"/>
      <c r="K8" s="1404"/>
      <c r="L8" s="1404"/>
      <c r="M8" s="1404"/>
      <c r="N8" s="1404"/>
      <c r="O8" s="1404"/>
      <c r="P8" s="1404"/>
      <c r="Q8" s="1404"/>
      <c r="R8" s="1404"/>
      <c r="S8" s="1404"/>
      <c r="T8" s="1404"/>
      <c r="U8" s="1404"/>
      <c r="V8" s="1404"/>
      <c r="W8" s="1404"/>
      <c r="X8" s="1404"/>
      <c r="Y8" s="1404"/>
      <c r="Z8" s="1404"/>
      <c r="AA8" s="1404"/>
      <c r="AB8" s="1404"/>
      <c r="AC8" s="1404"/>
      <c r="AD8" s="1404"/>
      <c r="AE8" s="1404"/>
      <c r="AF8" s="1404"/>
      <c r="AG8" s="1404"/>
      <c r="AH8" s="1404"/>
      <c r="AI8" s="1404"/>
      <c r="AJ8" s="1404"/>
      <c r="AK8" s="1404"/>
      <c r="AL8" s="1404"/>
      <c r="AM8" s="1404"/>
      <c r="AN8" s="1404"/>
      <c r="AO8" s="1404"/>
      <c r="AP8" s="1404"/>
      <c r="AQ8" s="1404"/>
      <c r="AR8" s="1404"/>
      <c r="AS8" s="1404"/>
      <c r="AT8" s="1404"/>
      <c r="AU8" s="898"/>
      <c r="AV8" s="898"/>
      <c r="AW8" s="898"/>
      <c r="AX8" s="898"/>
      <c r="AY8" s="898"/>
      <c r="BD8" s="3" t="s">
        <v>2509</v>
      </c>
      <c r="BE8" s="1249">
        <f>SUMIF($AC$718:$AC$752,"&lt;=35%",$G$718:G$752)-SUM($BE$5:BE7)</f>
        <v>0</v>
      </c>
    </row>
    <row r="9" spans="1:58" ht="12.95" customHeight="1">
      <c r="A9" s="1365" t="s">
        <v>2076</v>
      </c>
      <c r="B9" s="1365"/>
      <c r="C9" s="1365"/>
      <c r="D9" s="1365"/>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
      <c r="AV9" s="13"/>
      <c r="AW9" s="13"/>
      <c r="AX9" s="13"/>
      <c r="AY9" s="13"/>
      <c r="BD9" s="1248" t="s">
        <v>2501</v>
      </c>
      <c r="BE9" s="1249">
        <f>SUMIF($AC$718:$AC$752,"&lt;=40%",$G$718:G$752)-SUM($BE$5:BE8)</f>
        <v>0</v>
      </c>
    </row>
    <row r="10" spans="1:58" ht="12.95" customHeight="1">
      <c r="A10" s="1365" t="s">
        <v>2458</v>
      </c>
      <c r="B10" s="1365"/>
      <c r="C10" s="1365"/>
      <c r="D10" s="1365"/>
      <c r="E10" s="1365"/>
      <c r="F10" s="1365"/>
      <c r="G10" s="1365"/>
      <c r="H10" s="1365"/>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
      <c r="AV10" s="13"/>
      <c r="AW10" s="13"/>
      <c r="AX10" s="13"/>
      <c r="AY10" s="13"/>
      <c r="BD10" s="3" t="s">
        <v>2510</v>
      </c>
      <c r="BE10" s="1249">
        <f>SUMIF($AC$718:$AC$752,"&lt;=45%",$G$718:G$752)-SUM($BE$5:BE9)</f>
        <v>0</v>
      </c>
    </row>
    <row r="11" spans="1:58" ht="12.95" customHeight="1">
      <c r="A11" s="1365" t="s">
        <v>2604</v>
      </c>
      <c r="B11" s="1365"/>
      <c r="C11" s="1365"/>
      <c r="D11" s="1365"/>
      <c r="E11" s="1365"/>
      <c r="F11" s="1365"/>
      <c r="G11" s="1365"/>
      <c r="H11" s="1365"/>
      <c r="I11" s="1365"/>
      <c r="J11" s="1365"/>
      <c r="K11" s="1365"/>
      <c r="L11" s="1365"/>
      <c r="M11" s="1365"/>
      <c r="N11" s="1365"/>
      <c r="O11" s="1365"/>
      <c r="P11" s="1365"/>
      <c r="Q11" s="1365"/>
      <c r="R11" s="1365"/>
      <c r="S11" s="1365"/>
      <c r="T11" s="1365"/>
      <c r="U11" s="1365"/>
      <c r="V11" s="1365"/>
      <c r="W11" s="1365"/>
      <c r="X11" s="1365"/>
      <c r="Y11" s="1365"/>
      <c r="Z11" s="1365"/>
      <c r="AA11" s="1365"/>
      <c r="AB11" s="1365"/>
      <c r="AC11" s="1365"/>
      <c r="AD11" s="1365"/>
      <c r="AE11" s="1365"/>
      <c r="AF11" s="1365"/>
      <c r="AG11" s="1365"/>
      <c r="AH11" s="1365"/>
      <c r="AI11" s="1365"/>
      <c r="AJ11" s="1365"/>
      <c r="AK11" s="1365"/>
      <c r="AL11" s="1365"/>
      <c r="AM11" s="1365"/>
      <c r="AN11" s="1365"/>
      <c r="AO11" s="1365"/>
      <c r="AP11" s="1365"/>
      <c r="AQ11" s="1365"/>
      <c r="AR11" s="1365"/>
      <c r="AS11" s="1365"/>
      <c r="AT11" s="1365"/>
      <c r="AU11" s="13"/>
      <c r="AV11" s="13"/>
      <c r="AW11" s="13"/>
      <c r="AX11" s="13"/>
      <c r="AY11" s="13"/>
      <c r="BD11" s="1247" t="s">
        <v>2502</v>
      </c>
      <c r="BE11" s="1249">
        <f>SUMIF($AC$718:$AC$752,"&lt;=50%",$G$718:G$752)-SUM($BE$5:BE10)</f>
        <v>0</v>
      </c>
    </row>
    <row r="12" spans="1:58" ht="12.95" customHeight="1">
      <c r="A12" s="1405" t="s">
        <v>2610</v>
      </c>
      <c r="B12" s="1405"/>
      <c r="C12" s="1405"/>
      <c r="D12" s="1405"/>
      <c r="E12" s="1405"/>
      <c r="F12" s="1405"/>
      <c r="G12" s="1405"/>
      <c r="H12" s="1405"/>
      <c r="I12" s="1405"/>
      <c r="J12" s="1405"/>
      <c r="K12" s="1405"/>
      <c r="L12" s="1405"/>
      <c r="M12" s="1405"/>
      <c r="N12" s="1405"/>
      <c r="O12" s="1405"/>
      <c r="P12" s="1405"/>
      <c r="Q12" s="1405"/>
      <c r="R12" s="1405"/>
      <c r="S12" s="1405"/>
      <c r="T12" s="1405"/>
      <c r="U12" s="1405"/>
      <c r="V12" s="1405"/>
      <c r="W12" s="1405"/>
      <c r="X12" s="1405"/>
      <c r="Y12" s="1405"/>
      <c r="Z12" s="1405"/>
      <c r="AA12" s="1405"/>
      <c r="AB12" s="1405"/>
      <c r="AC12" s="1405"/>
      <c r="AD12" s="1405"/>
      <c r="AE12" s="1405"/>
      <c r="AF12" s="1405"/>
      <c r="AG12" s="1405"/>
      <c r="AH12" s="1405"/>
      <c r="AI12" s="1405"/>
      <c r="AJ12" s="1405"/>
      <c r="AK12" s="1405"/>
      <c r="AL12" s="1405"/>
      <c r="AM12" s="1405"/>
      <c r="AN12" s="1405"/>
      <c r="AO12" s="1405"/>
      <c r="AP12" s="1405"/>
      <c r="AQ12" s="1405"/>
      <c r="AR12" s="1405"/>
      <c r="AS12" s="1405"/>
      <c r="AT12" s="1405"/>
      <c r="AU12" s="6"/>
      <c r="AV12" s="6"/>
      <c r="AW12" s="6"/>
      <c r="AX12" s="6"/>
      <c r="AY12" s="6"/>
      <c r="BD12" s="3" t="s">
        <v>2511</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18</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105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412" t="s">
        <v>2612</v>
      </c>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BD16" s="1248" t="s">
        <v>656</v>
      </c>
      <c r="BE16" s="1249" t="str">
        <f>Application!H18</f>
        <v>West Hills Family Apartments</v>
      </c>
    </row>
    <row r="17" spans="1:58" ht="12.95" customHeight="1">
      <c r="BD17" s="1247" t="s">
        <v>2518</v>
      </c>
      <c r="BE17" s="1249">
        <f>Application!AA934</f>
        <v>0</v>
      </c>
    </row>
    <row r="18" spans="1:58" ht="12.95" customHeight="1">
      <c r="A18" s="57" t="s">
        <v>101</v>
      </c>
      <c r="C18" s="4"/>
      <c r="D18" s="4"/>
      <c r="E18" s="4"/>
      <c r="F18" s="4"/>
      <c r="G18" s="4"/>
      <c r="H18" s="1359" t="s">
        <v>2613</v>
      </c>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BD18" s="1248" t="s">
        <v>2519</v>
      </c>
      <c r="BE18" s="1249">
        <f>'CalHFA Addendum'!N11</f>
        <v>0</v>
      </c>
    </row>
    <row r="19" spans="1:58" ht="12.95" customHeight="1">
      <c r="BD19" s="1247" t="s">
        <v>2520</v>
      </c>
      <c r="BE19" s="1249">
        <f>Application!M26</f>
        <v>3450253</v>
      </c>
    </row>
    <row r="20" spans="1:58" ht="12.95" customHeight="1">
      <c r="A20" s="1406" t="s">
        <v>873</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c r="AM20" s="1406"/>
      <c r="AN20" s="1406"/>
      <c r="AO20" s="1406"/>
      <c r="AP20" s="1406"/>
      <c r="AQ20" s="1406"/>
      <c r="AR20" s="1406"/>
      <c r="AS20" s="1406"/>
      <c r="AT20" s="1406"/>
      <c r="AU20" s="900"/>
      <c r="AV20" s="900"/>
      <c r="AW20" s="900"/>
      <c r="AX20" s="900"/>
      <c r="AY20" s="900"/>
      <c r="BD20" s="1248" t="s">
        <v>2521</v>
      </c>
      <c r="BE20" s="1249">
        <f>Application!M27</f>
        <v>11500000</v>
      </c>
    </row>
    <row r="21" spans="1:58" ht="12.95" customHeight="1">
      <c r="A21" s="1414" t="s">
        <v>1009</v>
      </c>
      <c r="B21" s="1414"/>
      <c r="C21" s="1414"/>
      <c r="D21" s="1414"/>
      <c r="E21" s="1414"/>
      <c r="F21" s="1414"/>
      <c r="G21" s="1414"/>
      <c r="H21" s="1414"/>
      <c r="I21" s="1414"/>
      <c r="J21" s="1414"/>
      <c r="K21" s="1414"/>
      <c r="L21" s="1414"/>
      <c r="M21" s="1414"/>
      <c r="N21" s="1414"/>
      <c r="O21" s="1414"/>
      <c r="P21" s="1414"/>
      <c r="Q21" s="1414"/>
      <c r="R21" s="1414"/>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901"/>
      <c r="AN21" s="901"/>
      <c r="AO21" s="901"/>
      <c r="AP21" s="901"/>
      <c r="AQ21" s="901"/>
      <c r="AR21" s="901"/>
      <c r="AS21" s="901"/>
      <c r="AT21" s="901"/>
      <c r="AU21" s="901"/>
      <c r="AV21" s="901"/>
      <c r="AW21" s="901"/>
      <c r="AX21" s="901"/>
      <c r="AY21" s="901"/>
      <c r="BD21" s="1247" t="s">
        <v>2522</v>
      </c>
      <c r="BE21" s="1249">
        <f>Application!AM554</f>
        <v>22500000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91683000</v>
      </c>
      <c r="BF22" s="3" t="s">
        <v>2595</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3500000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257608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411">
        <f>'Basis &amp; Credits'!AB56</f>
        <v>3450253</v>
      </c>
      <c r="N26" s="1411"/>
      <c r="O26" s="1411"/>
      <c r="P26" s="1411"/>
      <c r="Q26" s="1411"/>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2">
        <f>'Basis &amp; Credits'!AB78</f>
        <v>11500000</v>
      </c>
      <c r="N27" s="1362"/>
      <c r="O27" s="1362"/>
      <c r="P27" s="1362"/>
      <c r="Q27" s="1362"/>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07" t="s">
        <v>2147</v>
      </c>
      <c r="B29" s="1407"/>
      <c r="C29" s="1407"/>
      <c r="D29" s="1407"/>
      <c r="E29" s="1407"/>
      <c r="F29" s="1407"/>
      <c r="G29" s="1407"/>
      <c r="H29" s="1407"/>
      <c r="I29" s="1407"/>
      <c r="J29" s="1407"/>
      <c r="K29" s="1407"/>
      <c r="L29" s="1407"/>
      <c r="M29" s="1407"/>
      <c r="N29" s="1407"/>
      <c r="O29" s="1407"/>
      <c r="P29" s="1407"/>
      <c r="Q29" s="1407"/>
      <c r="R29" s="1407"/>
      <c r="S29" s="1407"/>
      <c r="T29" s="1407"/>
      <c r="U29" s="1407"/>
      <c r="V29" s="1407"/>
      <c r="W29" s="1407"/>
      <c r="X29" s="1407"/>
      <c r="Y29" s="1407"/>
      <c r="Z29" s="1407"/>
      <c r="AA29" s="1407"/>
      <c r="AB29" s="1407"/>
      <c r="AC29" s="1407"/>
      <c r="AD29" s="1407"/>
      <c r="AE29" s="1407"/>
      <c r="AF29" s="1407"/>
      <c r="AG29" s="1407"/>
      <c r="AH29" s="1407"/>
      <c r="AI29" s="1407"/>
      <c r="AJ29" s="1407"/>
      <c r="AK29" s="1407"/>
      <c r="AL29" s="1407"/>
      <c r="AM29" s="1407"/>
      <c r="AN29" s="1407"/>
      <c r="AO29" s="1407"/>
      <c r="AP29" s="1407"/>
      <c r="AQ29" s="1407"/>
      <c r="AR29" s="1407"/>
      <c r="AS29" s="1407"/>
      <c r="AT29" s="1407"/>
      <c r="BD29" s="1247" t="s">
        <v>2527</v>
      </c>
      <c r="BE29" s="1249" t="b">
        <f>Application!M358="Yes"</f>
        <v>0</v>
      </c>
    </row>
    <row r="30" spans="1:58" ht="12.95" customHeight="1">
      <c r="A30" s="1407"/>
      <c r="B30" s="1407"/>
      <c r="C30" s="1407"/>
      <c r="D30" s="1407"/>
      <c r="E30" s="1407"/>
      <c r="F30" s="1407"/>
      <c r="G30" s="1407"/>
      <c r="H30" s="1407"/>
      <c r="I30" s="1407"/>
      <c r="J30" s="1407"/>
      <c r="K30" s="1407"/>
      <c r="L30" s="1407"/>
      <c r="M30" s="1407"/>
      <c r="N30" s="1407"/>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407"/>
      <c r="AM30" s="1407"/>
      <c r="AN30" s="1407"/>
      <c r="AO30" s="1407"/>
      <c r="AP30" s="1407"/>
      <c r="AQ30" s="1407"/>
      <c r="AR30" s="1407"/>
      <c r="AS30" s="1407"/>
      <c r="AT30" s="1407"/>
      <c r="AZ30" s="20"/>
      <c r="BD30" s="1248" t="s">
        <v>28</v>
      </c>
      <c r="BE30" s="1249" t="b">
        <f>Application!AJ355="Yes"</f>
        <v>0</v>
      </c>
    </row>
    <row r="31" spans="1:58" ht="12.95" customHeight="1">
      <c r="A31" s="1407"/>
      <c r="B31" s="1407"/>
      <c r="C31" s="1407"/>
      <c r="D31" s="1407"/>
      <c r="E31" s="1407"/>
      <c r="F31" s="1407"/>
      <c r="G31" s="1407"/>
      <c r="H31" s="1407"/>
      <c r="I31" s="1407"/>
      <c r="J31" s="1407"/>
      <c r="K31" s="1407"/>
      <c r="L31" s="1407"/>
      <c r="M31" s="1407"/>
      <c r="N31" s="1407"/>
      <c r="O31" s="1407"/>
      <c r="P31" s="1407"/>
      <c r="Q31" s="1407"/>
      <c r="R31" s="1407"/>
      <c r="S31" s="1407"/>
      <c r="T31" s="1407"/>
      <c r="U31" s="1407"/>
      <c r="V31" s="1407"/>
      <c r="W31" s="1407"/>
      <c r="X31" s="1407"/>
      <c r="Y31" s="1407"/>
      <c r="Z31" s="1407"/>
      <c r="AA31" s="1407"/>
      <c r="AB31" s="1407"/>
      <c r="AC31" s="1407"/>
      <c r="AD31" s="1407"/>
      <c r="AE31" s="1407"/>
      <c r="AF31" s="1407"/>
      <c r="AG31" s="1407"/>
      <c r="AH31" s="1407"/>
      <c r="AI31" s="1407"/>
      <c r="AJ31" s="1407"/>
      <c r="AK31" s="1407"/>
      <c r="AL31" s="1407"/>
      <c r="AM31" s="1407"/>
      <c r="AN31" s="1407"/>
      <c r="AO31" s="1407"/>
      <c r="AP31" s="1407"/>
      <c r="AQ31" s="1407"/>
      <c r="AR31" s="1407"/>
      <c r="AS31" s="1407"/>
      <c r="AT31" s="1407"/>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545</v>
      </c>
      <c r="P33" s="1332"/>
      <c r="Q33" s="1408" t="s">
        <v>2148</v>
      </c>
      <c r="R33" s="1408"/>
      <c r="S33" s="1408"/>
      <c r="T33" s="1408"/>
      <c r="U33" s="1408"/>
      <c r="V33" s="1408"/>
      <c r="W33" s="1408"/>
      <c r="X33" s="1408"/>
      <c r="Y33" s="1408"/>
      <c r="Z33" s="1408"/>
      <c r="AA33" s="1408"/>
      <c r="AB33" s="1408"/>
      <c r="AC33" s="1408"/>
      <c r="AD33" s="1408"/>
      <c r="AE33" s="1408"/>
      <c r="AF33" s="1408"/>
      <c r="AG33" s="1408"/>
      <c r="AH33" s="1408"/>
      <c r="AI33" s="1408"/>
      <c r="AJ33" s="1408"/>
      <c r="AK33" s="1408"/>
      <c r="AL33" s="1408"/>
      <c r="AM33" s="1408"/>
      <c r="AN33" s="1408"/>
      <c r="AO33" s="1408"/>
      <c r="AP33" s="1408"/>
      <c r="AQ33" s="1408"/>
      <c r="AR33" s="1408"/>
      <c r="AS33" s="1408"/>
      <c r="AT33" s="1408"/>
      <c r="AU33" s="20"/>
      <c r="AV33" s="20"/>
      <c r="AW33" s="20"/>
      <c r="AX33" s="20"/>
      <c r="AY33" s="20"/>
      <c r="BD33" s="1247" t="s">
        <v>2596</v>
      </c>
      <c r="BE33" s="1249" t="str">
        <f>Application!D220</f>
        <v>City of Los Angeles</v>
      </c>
    </row>
    <row r="34" spans="1:57" ht="12.95" customHeight="1">
      <c r="A34" s="1407" t="s">
        <v>2149</v>
      </c>
      <c r="B34" s="1407"/>
      <c r="C34" s="1407"/>
      <c r="D34" s="1407"/>
      <c r="E34" s="1407"/>
      <c r="F34" s="1407"/>
      <c r="G34" s="1407"/>
      <c r="H34" s="1407"/>
      <c r="I34" s="1407"/>
      <c r="J34" s="1407"/>
      <c r="K34" s="1407"/>
      <c r="L34" s="1407"/>
      <c r="M34" s="1407"/>
      <c r="N34" s="1407"/>
      <c r="O34" s="1407"/>
      <c r="P34" s="1407"/>
      <c r="Q34" s="1407"/>
      <c r="R34" s="1407"/>
      <c r="S34" s="1407"/>
      <c r="T34" s="1407"/>
      <c r="U34" s="1407"/>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1407"/>
      <c r="AS34" s="1407"/>
      <c r="AT34" s="1407"/>
      <c r="AU34" s="20"/>
      <c r="AV34" s="20"/>
      <c r="AW34" s="20"/>
      <c r="AX34" s="20"/>
      <c r="AY34" s="20"/>
      <c r="AZ34" s="20"/>
      <c r="BD34" s="1248" t="s">
        <v>2530</v>
      </c>
      <c r="BE34" s="1249" t="str">
        <f>Application!I185</f>
        <v>7566 Woodlake Avenue</v>
      </c>
    </row>
    <row r="35" spans="1:57" ht="12.95" customHeight="1">
      <c r="A35" s="1407"/>
      <c r="B35" s="1407"/>
      <c r="C35" s="1407"/>
      <c r="D35" s="1407"/>
      <c r="E35" s="1407"/>
      <c r="F35" s="1407"/>
      <c r="G35" s="1407"/>
      <c r="H35" s="1407"/>
      <c r="I35" s="1407"/>
      <c r="J35" s="1407"/>
      <c r="K35" s="1407"/>
      <c r="L35" s="1407"/>
      <c r="M35" s="1407"/>
      <c r="N35" s="1407"/>
      <c r="O35" s="1407"/>
      <c r="P35" s="1407"/>
      <c r="Q35" s="1407"/>
      <c r="R35" s="1407"/>
      <c r="S35" s="1407"/>
      <c r="T35" s="1407"/>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20"/>
      <c r="AV35" s="20"/>
      <c r="AW35" s="20"/>
      <c r="AX35" s="20"/>
      <c r="AY35" s="20"/>
      <c r="AZ35" s="20"/>
      <c r="BD35" s="1247" t="s">
        <v>2531</v>
      </c>
      <c r="BE35" s="1249" t="str">
        <f>IF(Application!E187="","",Application!E187)</f>
        <v/>
      </c>
    </row>
    <row r="36" spans="1:57" ht="12.95" customHeight="1">
      <c r="A36" s="1407"/>
      <c r="B36" s="1407"/>
      <c r="C36" s="1407"/>
      <c r="D36" s="1407"/>
      <c r="E36" s="1407"/>
      <c r="F36" s="1407"/>
      <c r="G36" s="1407"/>
      <c r="H36" s="1407"/>
      <c r="I36" s="1407"/>
      <c r="J36" s="1407"/>
      <c r="K36" s="1407"/>
      <c r="L36" s="1407"/>
      <c r="M36" s="1407"/>
      <c r="N36" s="1407"/>
      <c r="O36" s="1407"/>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20"/>
      <c r="AV36" s="20"/>
      <c r="AW36" s="20"/>
      <c r="AX36" s="20"/>
      <c r="AY36" s="20"/>
      <c r="AZ36" s="20"/>
      <c r="BD36" s="1248" t="s">
        <v>2532</v>
      </c>
      <c r="BE36" s="1249" t="str">
        <f>Application!I189</f>
        <v>Los Angeles</v>
      </c>
    </row>
    <row r="37" spans="1:57" ht="12.95" customHeight="1">
      <c r="A37" s="1407"/>
      <c r="B37" s="1407"/>
      <c r="C37" s="1407"/>
      <c r="D37" s="1407"/>
      <c r="E37" s="1407"/>
      <c r="F37" s="1407"/>
      <c r="G37" s="1407"/>
      <c r="H37" s="1407"/>
      <c r="I37" s="1407"/>
      <c r="J37" s="1407"/>
      <c r="K37" s="1407"/>
      <c r="L37" s="1407"/>
      <c r="M37" s="1407"/>
      <c r="N37" s="1407"/>
      <c r="O37" s="1407"/>
      <c r="P37" s="1407"/>
      <c r="Q37" s="1407"/>
      <c r="R37" s="1407"/>
      <c r="S37" s="1407"/>
      <c r="T37" s="1407"/>
      <c r="U37" s="1407"/>
      <c r="V37" s="1407"/>
      <c r="W37" s="1407"/>
      <c r="X37" s="1407"/>
      <c r="Y37" s="1407"/>
      <c r="Z37" s="1407"/>
      <c r="AA37" s="1407"/>
      <c r="AB37" s="1407"/>
      <c r="AC37" s="1407"/>
      <c r="AD37" s="1407"/>
      <c r="AE37" s="1407"/>
      <c r="AF37" s="1407"/>
      <c r="AG37" s="1407"/>
      <c r="AH37" s="1407"/>
      <c r="AI37" s="1407"/>
      <c r="AJ37" s="1407"/>
      <c r="AK37" s="1407"/>
      <c r="AL37" s="1407"/>
      <c r="AM37" s="1407"/>
      <c r="AN37" s="1407"/>
      <c r="AO37" s="1407"/>
      <c r="AP37" s="1407"/>
      <c r="AQ37" s="1407"/>
      <c r="AR37" s="1407"/>
      <c r="AS37" s="1407"/>
      <c r="AT37" s="1407"/>
      <c r="AZ37" s="20"/>
      <c r="BD37" s="1247" t="s">
        <v>2533</v>
      </c>
      <c r="BE37" s="1249" t="str">
        <f>Application!T189</f>
        <v>Los Angeles</v>
      </c>
    </row>
    <row r="38" spans="1:57" ht="12.95" customHeight="1">
      <c r="A38" s="3"/>
      <c r="AZ38" s="20"/>
      <c r="BD38" s="1248" t="s">
        <v>2534</v>
      </c>
      <c r="BE38" s="1249">
        <f>Application!I190</f>
        <v>91304</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160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158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0.6000189862194919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573018.75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Las Palmas Foundation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Noami Pines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f>Application!AA249</f>
        <v>0</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Elysian West Hills,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Brian Mikail</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Capstone Equities, LLC / Elysian Housing, LLC</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Las Palmas Foundation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531 Encinitas Blvd, Suite 206</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Encinitas, CA 92024</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Noami Pines</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npines@laspalmashousing.com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0.91990806514176648</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5" customHeight="1">
      <c r="A65" s="1409" t="s">
        <v>2156</v>
      </c>
      <c r="B65" s="1409"/>
      <c r="C65" s="1409"/>
      <c r="D65" s="1409"/>
      <c r="E65" s="1409"/>
      <c r="F65" s="1409"/>
      <c r="G65" s="1409"/>
      <c r="H65" s="1409"/>
      <c r="I65" s="1409"/>
      <c r="J65" s="1409"/>
      <c r="K65" s="1409"/>
      <c r="L65" s="1409"/>
      <c r="M65" s="1409"/>
      <c r="N65" s="1409"/>
      <c r="O65" s="1409"/>
      <c r="P65" s="1409"/>
      <c r="Q65" s="1409"/>
      <c r="R65" s="1409"/>
      <c r="S65" s="1409"/>
      <c r="T65" s="1409"/>
      <c r="U65" s="1409"/>
      <c r="V65" s="1409"/>
      <c r="W65" s="1409"/>
      <c r="X65" s="1409"/>
      <c r="Y65" s="1409"/>
      <c r="Z65" s="1409"/>
      <c r="AA65" s="1409"/>
      <c r="AB65" s="1409"/>
      <c r="AC65" s="1409"/>
      <c r="AD65" s="1409"/>
      <c r="AE65" s="1409"/>
      <c r="AF65" s="1409"/>
      <c r="AG65" s="1409"/>
      <c r="AH65" s="1409"/>
      <c r="AI65" s="1409"/>
      <c r="AJ65" s="1409"/>
      <c r="AK65" s="1409"/>
      <c r="AL65" s="1409"/>
      <c r="AM65" s="1409"/>
      <c r="AN65" s="1409"/>
      <c r="AO65" s="1409"/>
      <c r="AP65" s="1409"/>
      <c r="AQ65" s="1409"/>
      <c r="AR65" s="1409"/>
      <c r="AS65" s="1409"/>
      <c r="AT65" s="1409"/>
      <c r="AU65" s="21"/>
      <c r="AV65" s="21"/>
      <c r="AW65" s="21"/>
      <c r="AX65" s="21"/>
      <c r="AY65" s="21"/>
      <c r="AZ65" s="20"/>
      <c r="BD65" s="1247" t="s">
        <v>2593</v>
      </c>
      <c r="BE65" s="1249" t="str">
        <f>Z205</f>
        <v>$500M</v>
      </c>
    </row>
    <row r="66" spans="1:57" ht="12.95" customHeight="1">
      <c r="A66" s="1409"/>
      <c r="B66" s="1409"/>
      <c r="C66" s="1409"/>
      <c r="D66" s="1409"/>
      <c r="E66" s="1409"/>
      <c r="F66" s="1409"/>
      <c r="G66" s="1409"/>
      <c r="H66" s="1409"/>
      <c r="I66" s="1409"/>
      <c r="J66" s="1409"/>
      <c r="K66" s="1409"/>
      <c r="L66" s="1409"/>
      <c r="M66" s="1409"/>
      <c r="N66" s="1409"/>
      <c r="O66" s="1409"/>
      <c r="P66" s="1409"/>
      <c r="Q66" s="1409"/>
      <c r="R66" s="1409"/>
      <c r="S66" s="1409"/>
      <c r="T66" s="1409"/>
      <c r="U66" s="1409"/>
      <c r="V66" s="1409"/>
      <c r="W66" s="1409"/>
      <c r="X66" s="1409"/>
      <c r="Y66" s="1409"/>
      <c r="Z66" s="1409"/>
      <c r="AA66" s="1409"/>
      <c r="AB66" s="1409"/>
      <c r="AC66" s="1409"/>
      <c r="AD66" s="1409"/>
      <c r="AE66" s="1409"/>
      <c r="AF66" s="1409"/>
      <c r="AG66" s="1409"/>
      <c r="AH66" s="1409"/>
      <c r="AI66" s="1409"/>
      <c r="AJ66" s="1409"/>
      <c r="AK66" s="1409"/>
      <c r="AL66" s="1409"/>
      <c r="AM66" s="1409"/>
      <c r="AN66" s="1409"/>
      <c r="AO66" s="1409"/>
      <c r="AP66" s="1409"/>
      <c r="AQ66" s="1409"/>
      <c r="AR66" s="1409"/>
      <c r="AS66" s="1409"/>
      <c r="AT66" s="1409"/>
      <c r="AU66" s="21"/>
      <c r="AV66" s="21"/>
      <c r="AW66" s="21"/>
      <c r="AX66" s="21"/>
      <c r="AY66" s="21"/>
      <c r="AZ66" s="20"/>
      <c r="BD66" s="1248" t="s">
        <v>2558</v>
      </c>
      <c r="BE66" s="1249" t="b">
        <f>Application!Z205="State Farmworker Credit"</f>
        <v>0</v>
      </c>
    </row>
    <row r="67" spans="1:57" ht="12.95" customHeight="1">
      <c r="A67" s="1409"/>
      <c r="B67" s="1409"/>
      <c r="C67" s="1409"/>
      <c r="D67" s="1409"/>
      <c r="E67" s="1409"/>
      <c r="F67" s="1409"/>
      <c r="G67" s="1409"/>
      <c r="H67" s="1409"/>
      <c r="I67" s="1409"/>
      <c r="J67" s="1409"/>
      <c r="K67" s="1409"/>
      <c r="L67" s="1409"/>
      <c r="M67" s="1409"/>
      <c r="N67" s="1409"/>
      <c r="O67" s="1409"/>
      <c r="P67" s="1409"/>
      <c r="Q67" s="1409"/>
      <c r="R67" s="1409"/>
      <c r="S67" s="1409"/>
      <c r="T67" s="1409"/>
      <c r="U67" s="1409"/>
      <c r="V67" s="1409"/>
      <c r="W67" s="1409"/>
      <c r="X67" s="1409"/>
      <c r="Y67" s="1409"/>
      <c r="Z67" s="1409"/>
      <c r="AA67" s="1409"/>
      <c r="AB67" s="1409"/>
      <c r="AC67" s="1409"/>
      <c r="AD67" s="1409"/>
      <c r="AE67" s="1409"/>
      <c r="AF67" s="1409"/>
      <c r="AG67" s="1409"/>
      <c r="AH67" s="1409"/>
      <c r="AI67" s="1409"/>
      <c r="AJ67" s="1409"/>
      <c r="AK67" s="1409"/>
      <c r="AL67" s="1409"/>
      <c r="AM67" s="1409"/>
      <c r="AN67" s="1409"/>
      <c r="AO67" s="1409"/>
      <c r="AP67" s="1409"/>
      <c r="AQ67" s="1409"/>
      <c r="AR67" s="1409"/>
      <c r="AS67" s="1409"/>
      <c r="AT67" s="1409"/>
      <c r="AZ67" s="20"/>
      <c r="BD67" s="1247" t="s">
        <v>2559</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09" t="s">
        <v>2157</v>
      </c>
      <c r="B69" s="1409"/>
      <c r="C69" s="1409"/>
      <c r="D69" s="1409"/>
      <c r="E69" s="1409"/>
      <c r="F69" s="1409"/>
      <c r="G69" s="1409"/>
      <c r="H69" s="1409"/>
      <c r="I69" s="1409"/>
      <c r="J69" s="1409"/>
      <c r="K69" s="1409"/>
      <c r="L69" s="1409"/>
      <c r="M69" s="1409"/>
      <c r="N69" s="1409"/>
      <c r="O69" s="1409"/>
      <c r="P69" s="1409"/>
      <c r="Q69" s="1409"/>
      <c r="R69" s="1409"/>
      <c r="S69" s="1409"/>
      <c r="T69" s="1409"/>
      <c r="U69" s="1409"/>
      <c r="V69" s="1409"/>
      <c r="W69" s="1409"/>
      <c r="X69" s="1409"/>
      <c r="Y69" s="1409"/>
      <c r="Z69" s="1409"/>
      <c r="AA69" s="1409"/>
      <c r="AB69" s="1409"/>
      <c r="AC69" s="1409"/>
      <c r="AD69" s="1409"/>
      <c r="AE69" s="1409"/>
      <c r="AF69" s="1409"/>
      <c r="AG69" s="1409"/>
      <c r="AH69" s="1409"/>
      <c r="AI69" s="1409"/>
      <c r="AJ69" s="1409"/>
      <c r="AK69" s="1409"/>
      <c r="AL69" s="1409"/>
      <c r="AM69" s="1409"/>
      <c r="AN69" s="1409"/>
      <c r="AO69" s="1409"/>
      <c r="AP69" s="1409"/>
      <c r="AQ69" s="1409"/>
      <c r="AR69" s="1409"/>
      <c r="AS69" s="1409"/>
      <c r="AT69" s="1409"/>
      <c r="AZ69" s="20"/>
      <c r="BD69" s="1247" t="s">
        <v>2561</v>
      </c>
      <c r="BE69" s="1249" t="str">
        <f>Application!W700</f>
        <v xml:space="preserve">California Municipal Finance Authority </v>
      </c>
    </row>
    <row r="70" spans="1:57" ht="12.95" customHeight="1">
      <c r="A70" s="1409"/>
      <c r="B70" s="1409"/>
      <c r="C70" s="1409"/>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c r="AH70" s="1409"/>
      <c r="AI70" s="1409"/>
      <c r="AJ70" s="1409"/>
      <c r="AK70" s="1409"/>
      <c r="AL70" s="1409"/>
      <c r="AM70" s="1409"/>
      <c r="AN70" s="1409"/>
      <c r="AO70" s="1409"/>
      <c r="AP70" s="1409"/>
      <c r="AQ70" s="1409"/>
      <c r="AR70" s="1409"/>
      <c r="AS70" s="1409"/>
      <c r="AT70" s="1409"/>
      <c r="AU70" s="20"/>
      <c r="AV70" s="20"/>
      <c r="AW70" s="20"/>
      <c r="AX70" s="20"/>
      <c r="AY70" s="20"/>
      <c r="AZ70" s="20"/>
      <c r="BD70" s="1248" t="s">
        <v>2562</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407" t="s">
        <v>2158</v>
      </c>
      <c r="B72" s="1407"/>
      <c r="C72" s="1407"/>
      <c r="D72" s="1407"/>
      <c r="E72" s="1407"/>
      <c r="F72" s="1407"/>
      <c r="G72" s="1407"/>
      <c r="H72" s="1407"/>
      <c r="I72" s="1407"/>
      <c r="J72" s="1407"/>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c r="AL72" s="1407"/>
      <c r="AM72" s="1407"/>
      <c r="AN72" s="1407"/>
      <c r="AO72" s="1407"/>
      <c r="AP72" s="1407"/>
      <c r="AQ72" s="1407"/>
      <c r="AR72" s="1407"/>
      <c r="AS72" s="1407"/>
      <c r="AT72" s="1407"/>
      <c r="AU72" s="20"/>
      <c r="AV72" s="20"/>
      <c r="AW72" s="20"/>
      <c r="AX72" s="20"/>
      <c r="AY72" s="20"/>
      <c r="AZ72" s="20"/>
      <c r="BD72" s="1248" t="s">
        <v>2564</v>
      </c>
      <c r="BE72" s="1249">
        <f>'Points System'!AF805</f>
        <v>10</v>
      </c>
    </row>
    <row r="73" spans="1:57" ht="12.95" customHeight="1">
      <c r="A73" s="1407"/>
      <c r="B73" s="1407"/>
      <c r="C73" s="1407"/>
      <c r="D73" s="1407"/>
      <c r="E73" s="1407"/>
      <c r="F73" s="1407"/>
      <c r="G73" s="1407"/>
      <c r="H73" s="1407"/>
      <c r="I73" s="1407"/>
      <c r="J73" s="1407"/>
      <c r="K73" s="1407"/>
      <c r="L73" s="1407"/>
      <c r="M73" s="1407"/>
      <c r="N73" s="1407"/>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c r="AL73" s="1407"/>
      <c r="AM73" s="1407"/>
      <c r="AN73" s="1407"/>
      <c r="AO73" s="1407"/>
      <c r="AP73" s="1407"/>
      <c r="AQ73" s="1407"/>
      <c r="AR73" s="1407"/>
      <c r="AS73" s="1407"/>
      <c r="AT73" s="1407"/>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83" t="s">
        <v>2159</v>
      </c>
      <c r="B75" s="1783"/>
      <c r="C75" s="1783"/>
      <c r="D75" s="1783"/>
      <c r="E75" s="1783"/>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3"/>
      <c r="AK75" s="1783"/>
      <c r="AL75" s="1783"/>
      <c r="AM75" s="1783"/>
      <c r="AN75" s="1783"/>
      <c r="AO75" s="1783"/>
      <c r="AP75" s="1783"/>
      <c r="AQ75" s="1783"/>
      <c r="AR75" s="1783"/>
      <c r="AS75" s="1783"/>
      <c r="AT75" s="1783"/>
      <c r="AU75" s="20"/>
      <c r="AV75" s="20"/>
      <c r="AW75" s="20"/>
      <c r="AX75" s="20"/>
      <c r="AY75" s="20"/>
      <c r="AZ75" s="20"/>
      <c r="BD75" s="1247" t="s">
        <v>2567</v>
      </c>
      <c r="BE75" s="1249">
        <f>'Points System'!AF808</f>
        <v>10</v>
      </c>
    </row>
    <row r="76" spans="1:57" ht="12.95" customHeight="1">
      <c r="A76" s="1783"/>
      <c r="B76" s="1783"/>
      <c r="C76" s="1783"/>
      <c r="D76" s="1783"/>
      <c r="E76" s="1783"/>
      <c r="F76" s="1783"/>
      <c r="G76" s="1783"/>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20"/>
      <c r="AV76" s="20"/>
      <c r="AW76" s="20"/>
      <c r="AX76" s="20"/>
      <c r="AY76" s="20"/>
      <c r="AZ76" s="17"/>
      <c r="BD76" s="1248" t="s">
        <v>2568</v>
      </c>
      <c r="BE76" s="1249">
        <f>'Points System'!AF811</f>
        <v>10</v>
      </c>
    </row>
    <row r="77" spans="1:57" ht="12.95" customHeight="1">
      <c r="A77" s="1783"/>
      <c r="B77" s="1783"/>
      <c r="C77" s="1783"/>
      <c r="D77" s="1783"/>
      <c r="E77" s="1783"/>
      <c r="F77" s="1783"/>
      <c r="G77" s="1783"/>
      <c r="H77" s="1783"/>
      <c r="I77" s="1783"/>
      <c r="J77" s="1783"/>
      <c r="K77" s="1783"/>
      <c r="L77" s="1783"/>
      <c r="M77" s="1783"/>
      <c r="N77" s="1783"/>
      <c r="O77" s="1783"/>
      <c r="P77" s="1783"/>
      <c r="Q77" s="1783"/>
      <c r="R77" s="1783"/>
      <c r="S77" s="1783"/>
      <c r="T77" s="1783"/>
      <c r="U77" s="1783"/>
      <c r="V77" s="1783"/>
      <c r="W77" s="1783"/>
      <c r="X77" s="1783"/>
      <c r="Y77" s="1783"/>
      <c r="Z77" s="1783"/>
      <c r="AA77" s="1783"/>
      <c r="AB77" s="1783"/>
      <c r="AC77" s="1783"/>
      <c r="AD77" s="1783"/>
      <c r="AE77" s="1783"/>
      <c r="AF77" s="1783"/>
      <c r="AG77" s="1783"/>
      <c r="AH77" s="1783"/>
      <c r="AI77" s="1783"/>
      <c r="AJ77" s="1783"/>
      <c r="AK77" s="1783"/>
      <c r="AL77" s="1783"/>
      <c r="AM77" s="1783"/>
      <c r="AN77" s="1783"/>
      <c r="AO77" s="1783"/>
      <c r="AP77" s="1783"/>
      <c r="AQ77" s="1783"/>
      <c r="AR77" s="1783"/>
      <c r="AS77" s="1783"/>
      <c r="AT77" s="1783"/>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09" t="s">
        <v>2160</v>
      </c>
      <c r="B79" s="1409"/>
      <c r="C79" s="1409"/>
      <c r="D79" s="1409"/>
      <c r="E79" s="1409"/>
      <c r="F79" s="1409"/>
      <c r="G79" s="1409"/>
      <c r="H79" s="1409"/>
      <c r="I79" s="1409"/>
      <c r="J79" s="1409"/>
      <c r="K79" s="1409"/>
      <c r="L79" s="1409"/>
      <c r="M79" s="1409"/>
      <c r="N79" s="1409"/>
      <c r="O79" s="1409"/>
      <c r="P79" s="1409"/>
      <c r="Q79" s="1409"/>
      <c r="R79" s="1409"/>
      <c r="S79" s="1409"/>
      <c r="T79" s="1409"/>
      <c r="U79" s="1409"/>
      <c r="V79" s="1409"/>
      <c r="W79" s="1409"/>
      <c r="X79" s="1409"/>
      <c r="Y79" s="1409"/>
      <c r="Z79" s="1409"/>
      <c r="AA79" s="1409"/>
      <c r="AB79" s="1409"/>
      <c r="AC79" s="1409"/>
      <c r="AD79" s="1409"/>
      <c r="AE79" s="1409"/>
      <c r="AF79" s="1409"/>
      <c r="AG79" s="1409"/>
      <c r="AH79" s="1409"/>
      <c r="AI79" s="1409"/>
      <c r="AJ79" s="1409"/>
      <c r="AK79" s="1409"/>
      <c r="AL79" s="1409"/>
      <c r="AM79" s="1409"/>
      <c r="AN79" s="1409"/>
      <c r="AO79" s="1409"/>
      <c r="AP79" s="1409"/>
      <c r="AQ79" s="1409"/>
      <c r="AR79" s="1409"/>
      <c r="AS79" s="1409"/>
      <c r="AT79" s="1409"/>
      <c r="AU79" s="20"/>
      <c r="AV79" s="20"/>
      <c r="AW79" s="20"/>
      <c r="AX79" s="20"/>
      <c r="AY79" s="20"/>
      <c r="AZ79" s="20"/>
      <c r="BD79" s="1247" t="s">
        <v>2571</v>
      </c>
      <c r="BE79" s="1249">
        <f>'Points System'!AF815</f>
        <v>10</v>
      </c>
    </row>
    <row r="80" spans="1:57" ht="12.95" customHeight="1">
      <c r="A80" s="1409"/>
      <c r="B80" s="1409"/>
      <c r="C80" s="1409"/>
      <c r="D80" s="1409"/>
      <c r="E80" s="1409"/>
      <c r="F80" s="1409"/>
      <c r="G80" s="1409"/>
      <c r="H80" s="1409"/>
      <c r="I80" s="1409"/>
      <c r="J80" s="1409"/>
      <c r="K80" s="1409"/>
      <c r="L80" s="1409"/>
      <c r="M80" s="1409"/>
      <c r="N80" s="1409"/>
      <c r="O80" s="1409"/>
      <c r="P80" s="1409"/>
      <c r="Q80" s="1409"/>
      <c r="R80" s="1409"/>
      <c r="S80" s="1409"/>
      <c r="T80" s="1409"/>
      <c r="U80" s="1409"/>
      <c r="V80" s="1409"/>
      <c r="W80" s="1409"/>
      <c r="X80" s="1409"/>
      <c r="Y80" s="1409"/>
      <c r="Z80" s="1409"/>
      <c r="AA80" s="1409"/>
      <c r="AB80" s="1409"/>
      <c r="AC80" s="1409"/>
      <c r="AD80" s="1409"/>
      <c r="AE80" s="1409"/>
      <c r="AF80" s="1409"/>
      <c r="AG80" s="1409"/>
      <c r="AH80" s="1409"/>
      <c r="AI80" s="1409"/>
      <c r="AJ80" s="1409"/>
      <c r="AK80" s="1409"/>
      <c r="AL80" s="1409"/>
      <c r="AM80" s="1409"/>
      <c r="AN80" s="1409"/>
      <c r="AO80" s="1409"/>
      <c r="AP80" s="1409"/>
      <c r="AQ80" s="1409"/>
      <c r="AR80" s="1409"/>
      <c r="AS80" s="1409"/>
      <c r="AT80" s="1409"/>
      <c r="AU80" s="20"/>
      <c r="AV80" s="20"/>
      <c r="AW80" s="20"/>
      <c r="AX80" s="20"/>
      <c r="AY80" s="20"/>
      <c r="AZ80" s="20"/>
      <c r="BD80" s="1248" t="s">
        <v>2572</v>
      </c>
      <c r="BE80" s="1249">
        <f>'Points System'!AF817</f>
        <v>10</v>
      </c>
    </row>
    <row r="81" spans="1:57" ht="12.95" customHeight="1">
      <c r="A81" s="1409"/>
      <c r="B81" s="1409"/>
      <c r="C81" s="1409"/>
      <c r="D81" s="1409"/>
      <c r="E81" s="1409"/>
      <c r="F81" s="1409"/>
      <c r="G81" s="1409"/>
      <c r="H81" s="1409"/>
      <c r="I81" s="1409"/>
      <c r="J81" s="1409"/>
      <c r="K81" s="1409"/>
      <c r="L81" s="1409"/>
      <c r="M81" s="1409"/>
      <c r="N81" s="1409"/>
      <c r="O81" s="1409"/>
      <c r="P81" s="1409"/>
      <c r="Q81" s="1409"/>
      <c r="R81" s="1409"/>
      <c r="S81" s="1409"/>
      <c r="T81" s="1409"/>
      <c r="U81" s="1409"/>
      <c r="V81" s="1409"/>
      <c r="W81" s="1409"/>
      <c r="X81" s="1409"/>
      <c r="Y81" s="1409"/>
      <c r="Z81" s="1409"/>
      <c r="AA81" s="1409"/>
      <c r="AB81" s="1409"/>
      <c r="AC81" s="1409"/>
      <c r="AD81" s="1409"/>
      <c r="AE81" s="1409"/>
      <c r="AF81" s="1409"/>
      <c r="AG81" s="1409"/>
      <c r="AH81" s="1409"/>
      <c r="AI81" s="1409"/>
      <c r="AJ81" s="1409"/>
      <c r="AK81" s="1409"/>
      <c r="AL81" s="1409"/>
      <c r="AM81" s="1409"/>
      <c r="AN81" s="1409"/>
      <c r="AO81" s="1409"/>
      <c r="AP81" s="1409"/>
      <c r="AQ81" s="1409"/>
      <c r="AR81" s="1409"/>
      <c r="AS81" s="1409"/>
      <c r="AT81" s="1409"/>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1.6035050335385463</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Matthew W. Szabo</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200 N Main Street, Suite 1500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v>
      </c>
    </row>
    <row r="89" spans="1:57" ht="12.95" customHeight="1">
      <c r="A89" s="1782" t="s">
        <v>2163</v>
      </c>
      <c r="B89" s="1782"/>
      <c r="C89" s="1782"/>
      <c r="D89" s="1782"/>
      <c r="E89" s="1782"/>
      <c r="F89" s="1782"/>
      <c r="G89" s="1782"/>
      <c r="H89" s="1782"/>
      <c r="I89" s="1782"/>
      <c r="J89" s="1782"/>
      <c r="K89" s="1782"/>
      <c r="L89" s="1782"/>
      <c r="M89" s="1782"/>
      <c r="N89" s="1782"/>
      <c r="O89" s="1782"/>
      <c r="P89" s="1782"/>
      <c r="Q89" s="1782"/>
      <c r="R89" s="1782"/>
      <c r="S89" s="1782"/>
      <c r="T89" s="1782"/>
      <c r="U89" s="1782"/>
      <c r="V89" s="1782"/>
      <c r="W89" s="1782"/>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
      <c r="AV89" s="17"/>
      <c r="AW89" s="17"/>
      <c r="AX89" s="17"/>
      <c r="AY89" s="17"/>
      <c r="AZ89" s="20"/>
      <c r="BD89" s="1247" t="s">
        <v>2581</v>
      </c>
      <c r="BE89" s="1249">
        <f>Application!O158</f>
        <v>90012</v>
      </c>
    </row>
    <row r="90" spans="1:57" ht="12.95" customHeight="1">
      <c r="A90" s="1782"/>
      <c r="B90" s="1782"/>
      <c r="C90" s="1782"/>
      <c r="D90" s="1782"/>
      <c r="E90" s="1782"/>
      <c r="F90" s="1782"/>
      <c r="G90" s="1782"/>
      <c r="H90" s="1782"/>
      <c r="I90" s="1782"/>
      <c r="J90" s="1782"/>
      <c r="K90" s="1782"/>
      <c r="L90" s="1782"/>
      <c r="M90" s="1782"/>
      <c r="N90" s="1782"/>
      <c r="O90" s="1782"/>
      <c r="P90" s="1782"/>
      <c r="Q90" s="1782"/>
      <c r="R90" s="1782"/>
      <c r="S90" s="1782"/>
      <c r="T90" s="1782"/>
      <c r="U90" s="1782"/>
      <c r="V90" s="1782"/>
      <c r="W90" s="1782"/>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
      <c r="AV90" s="17"/>
      <c r="AW90" s="17"/>
      <c r="AX90" s="17"/>
      <c r="AY90" s="17"/>
      <c r="AZ90" s="20"/>
      <c r="BD90" s="1248" t="s">
        <v>2582</v>
      </c>
      <c r="BE90" s="1249" t="str">
        <f>Application!H16</f>
        <v>Las Palmas Foundation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531 Encinitas Blvd, Suite 206</v>
      </c>
    </row>
    <row r="92" spans="1:57" ht="12.95" customHeight="1">
      <c r="A92" s="1783" t="s">
        <v>2164</v>
      </c>
      <c r="B92" s="1783"/>
      <c r="C92" s="1783"/>
      <c r="D92" s="1783"/>
      <c r="E92" s="1783"/>
      <c r="F92" s="1783"/>
      <c r="G92" s="1783"/>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c r="AD92" s="1783"/>
      <c r="AE92" s="1783"/>
      <c r="AF92" s="1783"/>
      <c r="AG92" s="1783"/>
      <c r="AH92" s="1783"/>
      <c r="AI92" s="1783"/>
      <c r="AJ92" s="1783"/>
      <c r="AK92" s="1783"/>
      <c r="AL92" s="1783"/>
      <c r="AM92" s="1783"/>
      <c r="AN92" s="1783"/>
      <c r="AO92" s="1783"/>
      <c r="AP92" s="1783"/>
      <c r="AQ92" s="1783"/>
      <c r="AR92" s="1783"/>
      <c r="AS92" s="1783"/>
      <c r="AT92" s="1783"/>
      <c r="AU92" s="20"/>
      <c r="AV92" s="20"/>
      <c r="AW92" s="20"/>
      <c r="AX92" s="20"/>
      <c r="AY92" s="20"/>
      <c r="AZ92" s="20"/>
      <c r="BD92" s="1248" t="s">
        <v>2584</v>
      </c>
      <c r="BE92" s="1249" t="str">
        <f>Application!M234</f>
        <v>Encinitas</v>
      </c>
    </row>
    <row r="93" spans="1:57" ht="12.95" customHeight="1">
      <c r="A93" s="1783"/>
      <c r="B93" s="1783"/>
      <c r="C93" s="1783"/>
      <c r="D93" s="1783"/>
      <c r="E93" s="1783"/>
      <c r="F93" s="1783"/>
      <c r="G93" s="1783"/>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c r="AD93" s="1783"/>
      <c r="AE93" s="1783"/>
      <c r="AF93" s="1783"/>
      <c r="AG93" s="1783"/>
      <c r="AH93" s="1783"/>
      <c r="AI93" s="1783"/>
      <c r="AJ93" s="1783"/>
      <c r="AK93" s="1783"/>
      <c r="AL93" s="1783"/>
      <c r="AM93" s="1783"/>
      <c r="AN93" s="1783"/>
      <c r="AO93" s="1783"/>
      <c r="AP93" s="1783"/>
      <c r="AQ93" s="1783"/>
      <c r="AR93" s="1783"/>
      <c r="AS93" s="1783"/>
      <c r="AT93" s="1783"/>
      <c r="AU93" s="20"/>
      <c r="AV93" s="20"/>
      <c r="AW93" s="20"/>
      <c r="AX93" s="20"/>
      <c r="AY93" s="20"/>
      <c r="AZ93" s="20"/>
      <c r="BD93" s="1247" t="s">
        <v>2585</v>
      </c>
      <c r="BE93" s="1249" t="str">
        <f>Application!W234</f>
        <v>CA</v>
      </c>
    </row>
    <row r="94" spans="1:57" ht="12.95" customHeight="1">
      <c r="A94" s="1783"/>
      <c r="B94" s="1783"/>
      <c r="C94" s="1783"/>
      <c r="D94" s="1783"/>
      <c r="E94" s="1783"/>
      <c r="F94" s="1783"/>
      <c r="G94" s="1783"/>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c r="AD94" s="1783"/>
      <c r="AE94" s="1783"/>
      <c r="AF94" s="1783"/>
      <c r="AG94" s="1783"/>
      <c r="AH94" s="1783"/>
      <c r="AI94" s="1783"/>
      <c r="AJ94" s="1783"/>
      <c r="AK94" s="1783"/>
      <c r="AL94" s="1783"/>
      <c r="AM94" s="1783"/>
      <c r="AN94" s="1783"/>
      <c r="AO94" s="1783"/>
      <c r="AP94" s="1783"/>
      <c r="AQ94" s="1783"/>
      <c r="AR94" s="1783"/>
      <c r="AS94" s="1783"/>
      <c r="AT94" s="1783"/>
      <c r="AU94" s="20"/>
      <c r="AV94" s="20"/>
      <c r="AW94" s="20"/>
      <c r="AX94" s="20"/>
      <c r="AY94" s="20"/>
      <c r="AZ94" s="20"/>
      <c r="BD94" s="1248" t="s">
        <v>2586</v>
      </c>
      <c r="BE94" s="1249">
        <f>Application!AC234</f>
        <v>92024</v>
      </c>
    </row>
    <row r="95" spans="1:57" ht="12.95" customHeight="1">
      <c r="A95" s="1783"/>
      <c r="B95" s="1783"/>
      <c r="C95" s="1783"/>
      <c r="D95" s="1783"/>
      <c r="E95" s="1783"/>
      <c r="F95" s="1783"/>
      <c r="G95" s="1783"/>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c r="AD95" s="1783"/>
      <c r="AE95" s="1783"/>
      <c r="AF95" s="1783"/>
      <c r="AG95" s="1783"/>
      <c r="AH95" s="1783"/>
      <c r="AI95" s="1783"/>
      <c r="AJ95" s="1783"/>
      <c r="AK95" s="1783"/>
      <c r="AL95" s="1783"/>
      <c r="AM95" s="1783"/>
      <c r="AN95" s="1783"/>
      <c r="AO95" s="1783"/>
      <c r="AP95" s="1783"/>
      <c r="AQ95" s="1783"/>
      <c r="AR95" s="1783"/>
      <c r="AS95" s="1783"/>
      <c r="AT95" s="1783"/>
      <c r="AU95" s="20"/>
      <c r="AV95" s="20"/>
      <c r="AW95" s="20"/>
      <c r="AX95" s="20"/>
      <c r="AY95" s="20"/>
      <c r="AZ95" s="20"/>
      <c r="BD95" s="1247" t="s">
        <v>2587</v>
      </c>
      <c r="BE95" s="1249" t="str">
        <f>Application!M235</f>
        <v>Noami Pines</v>
      </c>
    </row>
    <row r="96" spans="1:57" ht="12.95" customHeight="1">
      <c r="A96" s="1783"/>
      <c r="B96" s="1783"/>
      <c r="C96" s="1783"/>
      <c r="D96" s="1783"/>
      <c r="E96" s="1783"/>
      <c r="F96" s="1783"/>
      <c r="G96" s="1783"/>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c r="AD96" s="1783"/>
      <c r="AE96" s="1783"/>
      <c r="AF96" s="1783"/>
      <c r="AG96" s="1783"/>
      <c r="AH96" s="1783"/>
      <c r="AI96" s="1783"/>
      <c r="AJ96" s="1783"/>
      <c r="AK96" s="1783"/>
      <c r="AL96" s="1783"/>
      <c r="AM96" s="1783"/>
      <c r="AN96" s="1783"/>
      <c r="AO96" s="1783"/>
      <c r="AP96" s="1783"/>
      <c r="AQ96" s="1783"/>
      <c r="AR96" s="1783"/>
      <c r="AS96" s="1783"/>
      <c r="AT96" s="1783"/>
      <c r="AU96" s="20"/>
      <c r="AV96" s="20"/>
      <c r="AW96" s="20"/>
      <c r="AX96" s="20"/>
      <c r="AY96" s="20"/>
      <c r="AZ96" s="20"/>
      <c r="BD96" s="1248" t="s">
        <v>2588</v>
      </c>
      <c r="BE96" s="1249" t="str">
        <f>Application!M237</f>
        <v>npines@laspalmashousing.com</v>
      </c>
    </row>
    <row r="97" spans="1:57" ht="12.95" customHeight="1">
      <c r="A97" s="1783"/>
      <c r="B97" s="1783"/>
      <c r="C97" s="1783"/>
      <c r="D97" s="1783"/>
      <c r="E97" s="1783"/>
      <c r="F97" s="1783"/>
      <c r="G97" s="1783"/>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c r="AD97" s="1783"/>
      <c r="AE97" s="1783"/>
      <c r="AF97" s="1783"/>
      <c r="AG97" s="1783"/>
      <c r="AH97" s="1783"/>
      <c r="AI97" s="1783"/>
      <c r="AJ97" s="1783"/>
      <c r="AK97" s="1783"/>
      <c r="AL97" s="1783"/>
      <c r="AM97" s="1783"/>
      <c r="AN97" s="1783"/>
      <c r="AO97" s="1783"/>
      <c r="AP97" s="1783"/>
      <c r="AQ97" s="1783"/>
      <c r="AR97" s="1783"/>
      <c r="AS97" s="1783"/>
      <c r="AT97" s="1783"/>
      <c r="AU97" s="20"/>
      <c r="AV97" s="20"/>
      <c r="AW97" s="20"/>
      <c r="AX97" s="20"/>
      <c r="AY97" s="20"/>
      <c r="AZ97" s="20"/>
      <c r="BD97" s="1247" t="s">
        <v>2589</v>
      </c>
      <c r="BE97" s="1249" t="str">
        <f>Application!M248</f>
        <v>npines@laspalmashousing.com</v>
      </c>
    </row>
    <row r="98" spans="1:57" ht="12.95" customHeight="1">
      <c r="A98" s="1783"/>
      <c r="B98" s="1783"/>
      <c r="C98" s="1783"/>
      <c r="D98" s="1783"/>
      <c r="E98" s="1783"/>
      <c r="F98" s="1783"/>
      <c r="G98" s="1783"/>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c r="AD98" s="1783"/>
      <c r="AE98" s="1783"/>
      <c r="AF98" s="1783"/>
      <c r="AG98" s="1783"/>
      <c r="AH98" s="1783"/>
      <c r="AI98" s="1783"/>
      <c r="AJ98" s="1783"/>
      <c r="AK98" s="1783"/>
      <c r="AL98" s="1783"/>
      <c r="AM98" s="1783"/>
      <c r="AN98" s="1783"/>
      <c r="AO98" s="1783"/>
      <c r="AP98" s="1783"/>
      <c r="AQ98" s="1783"/>
      <c r="AR98" s="1783"/>
      <c r="AS98" s="1783"/>
      <c r="AT98" s="1783"/>
      <c r="AU98" s="20"/>
      <c r="AV98" s="20"/>
      <c r="AW98" s="20"/>
      <c r="AX98" s="20"/>
      <c r="AY98" s="20"/>
      <c r="AZ98" s="20"/>
      <c r="BD98" s="1248" t="s">
        <v>2590</v>
      </c>
      <c r="BE98" s="1249" t="str">
        <f>Application!M256</f>
        <v>bmikail@capstoneequities.com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84" t="s">
        <v>2165</v>
      </c>
      <c r="B100" s="1784"/>
      <c r="C100" s="1784"/>
      <c r="D100" s="1784"/>
      <c r="E100" s="1784"/>
      <c r="F100" s="1784"/>
      <c r="G100" s="1784"/>
      <c r="H100" s="1784"/>
      <c r="I100" s="1784"/>
      <c r="J100" s="1784"/>
      <c r="K100" s="1784"/>
      <c r="L100" s="1784"/>
      <c r="M100" s="1784"/>
      <c r="N100" s="1784"/>
      <c r="O100" s="1784"/>
      <c r="P100" s="1784"/>
      <c r="Q100" s="1784"/>
      <c r="R100" s="1784"/>
      <c r="S100" s="1784"/>
      <c r="T100" s="1784"/>
      <c r="U100" s="1784"/>
      <c r="V100" s="1784"/>
      <c r="W100" s="1784"/>
      <c r="X100" s="1784"/>
      <c r="Y100" s="1784"/>
      <c r="Z100" s="1784"/>
      <c r="AA100" s="1784"/>
      <c r="AB100" s="1784"/>
      <c r="AC100" s="1784"/>
      <c r="AD100" s="1784"/>
      <c r="AE100" s="1784"/>
      <c r="AF100" s="1784"/>
      <c r="AG100" s="1784"/>
      <c r="AH100" s="1784"/>
      <c r="AI100" s="1784"/>
      <c r="AJ100" s="1784"/>
      <c r="AK100" s="1784"/>
      <c r="AL100" s="1784"/>
      <c r="AM100" s="1784"/>
      <c r="AN100" s="1784"/>
      <c r="AO100" s="1784"/>
      <c r="AP100" s="1784"/>
      <c r="AQ100" s="1784"/>
      <c r="AR100" s="1784"/>
      <c r="AS100" s="1784"/>
      <c r="AT100" s="1784"/>
      <c r="AU100" s="20"/>
      <c r="AV100" s="20"/>
      <c r="AW100" s="20"/>
      <c r="AX100" s="20"/>
      <c r="AY100" s="20"/>
      <c r="AZ100" s="20"/>
      <c r="BD100" s="1248" t="s">
        <v>2592</v>
      </c>
      <c r="BE100" s="1249" t="str">
        <f>Application!L279</f>
        <v>sstrain@sabelhauslaw.com</v>
      </c>
    </row>
    <row r="101" spans="1:57" ht="12.95" customHeight="1">
      <c r="A101" s="1784"/>
      <c r="B101" s="1784"/>
      <c r="C101" s="1784"/>
      <c r="D101" s="1784"/>
      <c r="E101" s="1784"/>
      <c r="F101" s="1784"/>
      <c r="G101" s="1784"/>
      <c r="H101" s="1784"/>
      <c r="I101" s="1784"/>
      <c r="J101" s="1784"/>
      <c r="K101" s="1784"/>
      <c r="L101" s="1784"/>
      <c r="M101" s="1784"/>
      <c r="N101" s="1784"/>
      <c r="O101" s="1784"/>
      <c r="P101" s="1784"/>
      <c r="Q101" s="1784"/>
      <c r="R101" s="1784"/>
      <c r="S101" s="1784"/>
      <c r="T101" s="1784"/>
      <c r="U101" s="1784"/>
      <c r="V101" s="1784"/>
      <c r="W101" s="1784"/>
      <c r="X101" s="1784"/>
      <c r="Y101" s="1784"/>
      <c r="Z101" s="1784"/>
      <c r="AA101" s="1784"/>
      <c r="AB101" s="1784"/>
      <c r="AC101" s="1784"/>
      <c r="AD101" s="1784"/>
      <c r="AE101" s="1784"/>
      <c r="AF101" s="1784"/>
      <c r="AG101" s="1784"/>
      <c r="AH101" s="1784"/>
      <c r="AI101" s="1784"/>
      <c r="AJ101" s="1784"/>
      <c r="AK101" s="1784"/>
      <c r="AL101" s="1784"/>
      <c r="AM101" s="1784"/>
      <c r="AN101" s="1784"/>
      <c r="AO101" s="1784"/>
      <c r="AP101" s="1784"/>
      <c r="AQ101" s="1784"/>
      <c r="AR101" s="1784"/>
      <c r="AS101" s="1784"/>
      <c r="AT101" s="1784"/>
      <c r="AU101" s="20"/>
      <c r="AV101" s="20"/>
      <c r="AW101" s="20"/>
      <c r="AX101" s="20"/>
      <c r="AY101" s="20"/>
      <c r="AZ101" s="20"/>
      <c r="BD101" s="3" t="s">
        <v>2597</v>
      </c>
      <c r="BE101">
        <f>'Sources and Uses Budget'!C105</f>
        <v>91683000</v>
      </c>
    </row>
    <row r="102" spans="1:57" ht="12.95" customHeight="1">
      <c r="A102" s="1784"/>
      <c r="B102" s="1784"/>
      <c r="C102" s="1784"/>
      <c r="D102" s="1784"/>
      <c r="E102" s="1784"/>
      <c r="F102" s="1784"/>
      <c r="G102" s="1784"/>
      <c r="H102" s="1784"/>
      <c r="I102" s="1784"/>
      <c r="J102" s="1784"/>
      <c r="K102" s="1784"/>
      <c r="L102" s="1784"/>
      <c r="M102" s="1784"/>
      <c r="N102" s="1784"/>
      <c r="O102" s="1784"/>
      <c r="P102" s="1784"/>
      <c r="Q102" s="1784"/>
      <c r="R102" s="1784"/>
      <c r="S102" s="1784"/>
      <c r="T102" s="1784"/>
      <c r="U102" s="1784"/>
      <c r="V102" s="1784"/>
      <c r="W102" s="1784"/>
      <c r="X102" s="1784"/>
      <c r="Y102" s="1784"/>
      <c r="Z102" s="1784"/>
      <c r="AA102" s="1784"/>
      <c r="AB102" s="1784"/>
      <c r="AC102" s="1784"/>
      <c r="AD102" s="1784"/>
      <c r="AE102" s="1784"/>
      <c r="AF102" s="1784"/>
      <c r="AG102" s="1784"/>
      <c r="AH102" s="1784"/>
      <c r="AI102" s="1784"/>
      <c r="AJ102" s="1784"/>
      <c r="AK102" s="1784"/>
      <c r="AL102" s="1784"/>
      <c r="AM102" s="1784"/>
      <c r="AN102" s="1784"/>
      <c r="AO102" s="1784"/>
      <c r="AP102" s="1784"/>
      <c r="AQ102" s="1784"/>
      <c r="AR102" s="1784"/>
      <c r="AS102" s="1784"/>
      <c r="AT102" s="1784"/>
      <c r="AU102" s="20"/>
      <c r="AV102" s="20"/>
      <c r="AW102" s="20"/>
      <c r="AX102" s="20"/>
      <c r="AY102" s="20"/>
      <c r="AZ102" s="20"/>
      <c r="BD102" s="3" t="s">
        <v>2598</v>
      </c>
      <c r="BE102" t="b">
        <f>T197="Yes"</f>
        <v>0</v>
      </c>
    </row>
    <row r="103" spans="1:57" ht="12.95" customHeight="1">
      <c r="A103" s="1784"/>
      <c r="B103" s="1784"/>
      <c r="C103" s="1784"/>
      <c r="D103" s="1784"/>
      <c r="E103" s="1784"/>
      <c r="F103" s="1784"/>
      <c r="G103" s="1784"/>
      <c r="H103" s="1784"/>
      <c r="I103" s="1784"/>
      <c r="J103" s="1784"/>
      <c r="K103" s="1784"/>
      <c r="L103" s="1784"/>
      <c r="M103" s="1784"/>
      <c r="N103" s="1784"/>
      <c r="O103" s="1784"/>
      <c r="P103" s="1784"/>
      <c r="Q103" s="1784"/>
      <c r="R103" s="1784"/>
      <c r="S103" s="1784"/>
      <c r="T103" s="1784"/>
      <c r="U103" s="1784"/>
      <c r="V103" s="1784"/>
      <c r="W103" s="1784"/>
      <c r="X103" s="1784"/>
      <c r="Y103" s="1784"/>
      <c r="Z103" s="1784"/>
      <c r="AA103" s="1784"/>
      <c r="AB103" s="1784"/>
      <c r="AC103" s="1784"/>
      <c r="AD103" s="1784"/>
      <c r="AE103" s="1784"/>
      <c r="AF103" s="1784"/>
      <c r="AG103" s="1784"/>
      <c r="AH103" s="1784"/>
      <c r="AI103" s="1784"/>
      <c r="AJ103" s="1784"/>
      <c r="AK103" s="1784"/>
      <c r="AL103" s="1784"/>
      <c r="AM103" s="1784"/>
      <c r="AN103" s="1784"/>
      <c r="AO103" s="1784"/>
      <c r="AP103" s="1784"/>
      <c r="AQ103" s="1784"/>
      <c r="AR103" s="1784"/>
      <c r="AS103" s="1784"/>
      <c r="AT103" s="1784"/>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4" t="s">
        <v>2166</v>
      </c>
      <c r="B105" s="1784"/>
      <c r="C105" s="1784"/>
      <c r="D105" s="1784"/>
      <c r="E105" s="1784"/>
      <c r="F105" s="1784"/>
      <c r="G105" s="1784"/>
      <c r="H105" s="1784"/>
      <c r="I105" s="1784"/>
      <c r="J105" s="1784"/>
      <c r="K105" s="1784"/>
      <c r="L105" s="1784"/>
      <c r="M105" s="1784"/>
      <c r="N105" s="1784"/>
      <c r="O105" s="1784"/>
      <c r="P105" s="1784"/>
      <c r="Q105" s="1784"/>
      <c r="R105" s="1784"/>
      <c r="S105" s="1784"/>
      <c r="T105" s="1784"/>
      <c r="U105" s="1784"/>
      <c r="V105" s="1784"/>
      <c r="W105" s="1784"/>
      <c r="X105" s="1784"/>
      <c r="Y105" s="1784"/>
      <c r="Z105" s="1784"/>
      <c r="AA105" s="1784"/>
      <c r="AB105" s="1784"/>
      <c r="AC105" s="1784"/>
      <c r="AD105" s="1784"/>
      <c r="AE105" s="1784"/>
      <c r="AF105" s="1784"/>
      <c r="AG105" s="1784"/>
      <c r="AH105" s="1784"/>
      <c r="AI105" s="1784"/>
      <c r="AJ105" s="1784"/>
      <c r="AK105" s="1784"/>
      <c r="AL105" s="1784"/>
      <c r="AM105" s="1784"/>
      <c r="AN105" s="1784"/>
      <c r="AO105" s="1784"/>
      <c r="AP105" s="1784"/>
      <c r="AQ105" s="1784"/>
      <c r="AR105" s="1784"/>
      <c r="AS105" s="1784"/>
      <c r="AT105" s="1784"/>
      <c r="AU105" s="20"/>
      <c r="AV105" s="20"/>
      <c r="AW105" s="20"/>
      <c r="AX105" s="20"/>
      <c r="AY105" s="20"/>
    </row>
    <row r="106" spans="1:57" ht="12.95" customHeight="1">
      <c r="A106" s="1784"/>
      <c r="B106" s="1784"/>
      <c r="C106" s="1784"/>
      <c r="D106" s="1784"/>
      <c r="E106" s="1784"/>
      <c r="F106" s="1784"/>
      <c r="G106" s="1784"/>
      <c r="H106" s="1784"/>
      <c r="I106" s="1784"/>
      <c r="J106" s="1784"/>
      <c r="K106" s="1784"/>
      <c r="L106" s="1784"/>
      <c r="M106" s="1784"/>
      <c r="N106" s="1784"/>
      <c r="O106" s="1784"/>
      <c r="P106" s="1784"/>
      <c r="Q106" s="1784"/>
      <c r="R106" s="1784"/>
      <c r="S106" s="1784"/>
      <c r="T106" s="1784"/>
      <c r="U106" s="1784"/>
      <c r="V106" s="1784"/>
      <c r="W106" s="1784"/>
      <c r="X106" s="1784"/>
      <c r="Y106" s="1784"/>
      <c r="Z106" s="1784"/>
      <c r="AA106" s="1784"/>
      <c r="AB106" s="1784"/>
      <c r="AC106" s="1784"/>
      <c r="AD106" s="1784"/>
      <c r="AE106" s="1784"/>
      <c r="AF106" s="1784"/>
      <c r="AG106" s="1784"/>
      <c r="AH106" s="1784"/>
      <c r="AI106" s="1784"/>
      <c r="AJ106" s="1784"/>
      <c r="AK106" s="1784"/>
      <c r="AL106" s="1784"/>
      <c r="AM106" s="1784"/>
      <c r="AN106" s="1784"/>
      <c r="AO106" s="1784"/>
      <c r="AP106" s="1784"/>
      <c r="AQ106" s="1784"/>
      <c r="AR106" s="1784"/>
      <c r="AS106" s="1784"/>
      <c r="AT106" s="178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0"/>
      <c r="H113" s="1780"/>
      <c r="I113" s="3" t="s">
        <v>181</v>
      </c>
      <c r="L113" s="1780"/>
      <c r="M113" s="1780"/>
      <c r="N113" s="1780"/>
      <c r="O113" s="1780"/>
      <c r="P113" s="1774" t="s">
        <v>2239</v>
      </c>
      <c r="Q113" s="1774"/>
      <c r="R113" s="1774"/>
      <c r="S113" s="177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4"/>
      <c r="D115" s="1794"/>
      <c r="E115" s="1794"/>
      <c r="F115" s="1794"/>
      <c r="G115" s="1794"/>
      <c r="H115" s="1794"/>
      <c r="I115" s="1794"/>
      <c r="J115" s="1794"/>
      <c r="K115" s="179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0"/>
      <c r="Z117" s="1780"/>
      <c r="AA117" s="1780"/>
      <c r="AB117" s="1780"/>
      <c r="AC117" s="1780"/>
      <c r="AD117" s="1780"/>
      <c r="AE117" s="1780"/>
      <c r="AF117" s="1780"/>
      <c r="AG117" s="1780"/>
      <c r="AH117" s="1780"/>
      <c r="AI117" s="1780"/>
      <c r="AJ117" s="1780"/>
      <c r="AK117" s="178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0"/>
      <c r="Z120" s="1780"/>
      <c r="AA120" s="1780"/>
      <c r="AB120" s="1780"/>
      <c r="AC120" s="1780"/>
      <c r="AD120" s="1780"/>
      <c r="AE120" s="1780"/>
      <c r="AF120" s="1780"/>
      <c r="AG120" s="1780"/>
      <c r="AH120" s="1780"/>
      <c r="AI120" s="1780"/>
      <c r="AJ120" s="1780"/>
      <c r="AK120" s="178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3" t="s">
        <v>469</v>
      </c>
      <c r="CV122" s="1674"/>
      <c r="CW122" s="14"/>
      <c r="CX122" s="14" t="s">
        <v>634</v>
      </c>
      <c r="CY122" s="14"/>
      <c r="CZ122" s="14"/>
      <c r="DA122" s="14"/>
      <c r="DB122" s="14"/>
      <c r="DC122" s="14"/>
      <c r="DD122" s="14"/>
      <c r="DE122" s="14"/>
      <c r="DF122" s="14"/>
      <c r="DG122" s="1670" t="str">
        <f>T189</f>
        <v>Los Angeles</v>
      </c>
      <c r="DH122" s="1671"/>
      <c r="DI122" s="1671"/>
      <c r="DJ122" s="1671"/>
      <c r="DK122" s="1671"/>
      <c r="DL122" s="1671"/>
      <c r="DM122" s="1672"/>
    </row>
    <row r="123" spans="1:117" ht="12.95" customHeight="1">
      <c r="A123" s="3"/>
      <c r="B123" s="3"/>
      <c r="T123" s="3"/>
      <c r="U123" s="3"/>
      <c r="V123" s="3"/>
      <c r="W123" s="3"/>
      <c r="X123" s="3"/>
      <c r="Y123" s="1780"/>
      <c r="Z123" s="1780"/>
      <c r="AA123" s="1780"/>
      <c r="AB123" s="1780"/>
      <c r="AC123" s="1780"/>
      <c r="AD123" s="1780"/>
      <c r="AE123" s="1780"/>
      <c r="AF123" s="1780"/>
      <c r="AG123" s="1780"/>
      <c r="AH123" s="1780"/>
      <c r="AI123" s="1780"/>
      <c r="AJ123" s="1780"/>
      <c r="AK123" s="178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359" t="s">
        <v>875</v>
      </c>
      <c r="P153" s="1410"/>
      <c r="Q153" s="1410"/>
      <c r="R153" s="1410"/>
      <c r="S153" s="1410"/>
      <c r="T153" s="1410"/>
      <c r="U153" s="1410"/>
      <c r="V153" s="1410"/>
      <c r="W153" s="1410"/>
      <c r="X153" s="1410"/>
      <c r="Y153" s="1410"/>
      <c r="Z153" s="1410"/>
      <c r="AA153" s="1410"/>
      <c r="AB153" s="1410"/>
      <c r="AC153" s="1410"/>
      <c r="AD153" s="1410"/>
      <c r="AE153" s="1410"/>
      <c r="AF153" s="1410"/>
      <c r="AG153" s="1410"/>
      <c r="AH153" s="1410"/>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549" t="s">
        <v>2614</v>
      </c>
      <c r="P154" s="1434"/>
      <c r="Q154" s="1434"/>
      <c r="R154" s="1434"/>
      <c r="S154" s="1434"/>
      <c r="T154" s="1434"/>
      <c r="U154" s="1434"/>
      <c r="V154" s="1434"/>
      <c r="W154" s="1434"/>
      <c r="X154" s="1434"/>
      <c r="Y154" s="1434"/>
      <c r="Z154" s="1434"/>
      <c r="AA154" s="1434"/>
      <c r="AB154" s="1434"/>
      <c r="AC154" s="1434"/>
      <c r="AD154" s="1434"/>
      <c r="AE154" s="1434"/>
      <c r="AF154" s="1434"/>
      <c r="AG154" s="1434"/>
      <c r="AH154" s="1434"/>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779" t="s">
        <v>440</v>
      </c>
      <c r="P155" s="1779"/>
      <c r="Q155" s="1779"/>
      <c r="R155" s="1779"/>
      <c r="S155" s="1779"/>
      <c r="T155" s="1779"/>
      <c r="U155" s="1779"/>
      <c r="V155" s="1779"/>
      <c r="W155" s="1779"/>
      <c r="X155" s="1779"/>
      <c r="Y155" s="1779"/>
      <c r="Z155" s="1779"/>
      <c r="AA155" s="1779"/>
      <c r="AB155" s="1779"/>
      <c r="AC155" s="1779"/>
      <c r="AD155" s="1779"/>
      <c r="AE155" s="1779"/>
      <c r="AF155" s="1779"/>
      <c r="AG155" s="1779"/>
      <c r="AH155" s="1779"/>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60" t="s">
        <v>2615</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359" t="s">
        <v>494</v>
      </c>
      <c r="P157" s="1410"/>
      <c r="Q157" s="1410"/>
      <c r="R157" s="1410"/>
      <c r="S157" s="1410"/>
      <c r="T157" s="1410"/>
      <c r="U157" s="1410"/>
      <c r="V157" s="1410"/>
      <c r="W157" s="1410"/>
      <c r="X157" s="141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87">
        <v>90012</v>
      </c>
      <c r="P158" s="1787"/>
      <c r="Q158" s="1787"/>
      <c r="R158" s="178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5" t="s">
        <v>2616</v>
      </c>
      <c r="P159" s="1775"/>
      <c r="Q159" s="1775"/>
      <c r="R159" s="1775"/>
      <c r="S159" s="1775"/>
      <c r="T159" s="1775"/>
      <c r="V159" s="97" t="s">
        <v>270</v>
      </c>
      <c r="W159" s="1788"/>
      <c r="X159" s="1788"/>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75"/>
      <c r="P160" s="1775"/>
      <c r="Q160" s="1775"/>
      <c r="R160" s="1775"/>
      <c r="S160" s="1775"/>
      <c r="T160" s="177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72" t="s">
        <v>2617</v>
      </c>
      <c r="P161" s="1772"/>
      <c r="Q161" s="1772"/>
      <c r="R161" s="1772"/>
      <c r="S161" s="1772"/>
      <c r="T161" s="1772"/>
      <c r="U161" s="1772"/>
      <c r="V161" s="1772"/>
      <c r="W161" s="1772"/>
      <c r="X161" s="1772"/>
      <c r="Y161" s="1772"/>
      <c r="Z161" s="1772"/>
      <c r="AA161" s="1772"/>
      <c r="AB161" s="1772"/>
      <c r="AC161" s="1772"/>
      <c r="AD161" s="1772"/>
      <c r="AE161" s="1772"/>
      <c r="AF161" s="1772"/>
      <c r="AG161" s="1772"/>
      <c r="AH161" s="1772"/>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795" t="s">
        <v>2216</v>
      </c>
      <c r="E164" s="1795"/>
      <c r="F164" s="1795"/>
      <c r="G164" s="1795"/>
      <c r="H164" s="1795"/>
      <c r="I164" s="1795"/>
      <c r="J164" s="1795"/>
      <c r="K164" s="1795"/>
      <c r="L164" s="1795"/>
      <c r="M164" s="1795"/>
      <c r="N164" s="1795"/>
      <c r="O164" s="1795"/>
      <c r="P164" s="1795"/>
      <c r="Q164" s="1795"/>
      <c r="R164" s="1795"/>
      <c r="S164" s="1795"/>
      <c r="T164" s="1795"/>
      <c r="U164" s="1795"/>
      <c r="V164" s="1795"/>
      <c r="W164" s="1795"/>
      <c r="X164" s="1795"/>
      <c r="Y164" s="1795"/>
      <c r="Z164" s="1795"/>
      <c r="AA164" s="1795"/>
      <c r="AB164" s="1795"/>
      <c r="AC164" s="1795"/>
      <c r="AD164" s="1795"/>
      <c r="AE164" s="1795"/>
      <c r="AF164" s="1795"/>
      <c r="AG164" s="1795"/>
      <c r="AH164" s="1795"/>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19" t="s">
        <v>539</v>
      </c>
      <c r="B169" s="1419"/>
      <c r="C169" s="1419"/>
      <c r="D169" s="1419"/>
      <c r="E169" s="1419"/>
      <c r="F169" s="1419"/>
      <c r="G169" s="1419"/>
      <c r="H169" s="1419"/>
      <c r="I169" s="1419"/>
      <c r="J169" s="1419"/>
      <c r="K169" s="1419"/>
      <c r="L169" s="1419"/>
      <c r="M169" s="1419"/>
      <c r="N169" s="1419"/>
      <c r="O169" s="1419"/>
      <c r="P169" s="1419"/>
      <c r="Q169" s="1419"/>
      <c r="R169" s="1419"/>
      <c r="S169" s="1419"/>
      <c r="T169" s="1419"/>
      <c r="U169" s="1419"/>
      <c r="V169" s="1419"/>
      <c r="W169" s="1419"/>
      <c r="X169" s="1419"/>
      <c r="Y169" s="1419"/>
      <c r="Z169" s="1419"/>
      <c r="AA169" s="1419"/>
      <c r="AB169" s="1419"/>
      <c r="AC169" s="1419"/>
      <c r="AD169" s="1419"/>
      <c r="AE169" s="1419"/>
      <c r="AF169" s="1419"/>
      <c r="AG169" s="1419"/>
      <c r="AH169" s="1419"/>
      <c r="AI169" s="1419"/>
      <c r="AJ169" s="1419"/>
      <c r="AK169" s="1419"/>
      <c r="AL169" s="1419"/>
      <c r="AM169" s="1419"/>
      <c r="AN169" s="1419"/>
      <c r="AO169" s="1419"/>
      <c r="AP169" s="1419"/>
      <c r="AQ169" s="1419"/>
      <c r="AR169" s="1419"/>
      <c r="AS169" s="1419"/>
      <c r="AT169" s="141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19"/>
      <c r="B170" s="1419"/>
      <c r="C170" s="1419"/>
      <c r="D170" s="1419"/>
      <c r="E170" s="1419"/>
      <c r="F170" s="1419"/>
      <c r="G170" s="1419"/>
      <c r="H170" s="1419"/>
      <c r="I170" s="1419"/>
      <c r="J170" s="1419"/>
      <c r="K170" s="1419"/>
      <c r="L170" s="1419"/>
      <c r="M170" s="1419"/>
      <c r="N170" s="1419"/>
      <c r="O170" s="1419"/>
      <c r="P170" s="1419"/>
      <c r="Q170" s="1419"/>
      <c r="R170" s="1419"/>
      <c r="S170" s="1419"/>
      <c r="T170" s="1419"/>
      <c r="U170" s="1419"/>
      <c r="V170" s="1419"/>
      <c r="W170" s="1419"/>
      <c r="X170" s="1419"/>
      <c r="Y170" s="1419"/>
      <c r="Z170" s="1419"/>
      <c r="AA170" s="1419"/>
      <c r="AB170" s="1419"/>
      <c r="AC170" s="1419"/>
      <c r="AD170" s="1419"/>
      <c r="AE170" s="1419"/>
      <c r="AF170" s="1419"/>
      <c r="AG170" s="1419"/>
      <c r="AH170" s="1419"/>
      <c r="AI170" s="1419"/>
      <c r="AJ170" s="1419"/>
      <c r="AK170" s="1419"/>
      <c r="AL170" s="1419"/>
      <c r="AM170" s="1419"/>
      <c r="AN170" s="1419"/>
      <c r="AO170" s="1419"/>
      <c r="AP170" s="1419"/>
      <c r="AQ170" s="1419"/>
      <c r="AR170" s="1419"/>
      <c r="AS170" s="1419"/>
      <c r="AT170" s="141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2" t="s">
        <v>370</v>
      </c>
      <c r="K173" s="1802"/>
      <c r="L173" s="1802"/>
      <c r="M173" s="1802"/>
      <c r="N173" s="1802"/>
      <c r="O173" s="1802"/>
      <c r="P173" s="1802"/>
      <c r="Q173" s="1802"/>
      <c r="R173" s="1802"/>
      <c r="S173" s="1802"/>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60" t="s">
        <v>2101</v>
      </c>
      <c r="K174" s="1360"/>
      <c r="L174" s="1360"/>
      <c r="M174" s="1360"/>
      <c r="N174" s="1360"/>
      <c r="O174" s="1360"/>
      <c r="P174" s="1360"/>
      <c r="Q174" s="1360"/>
      <c r="R174" s="1360"/>
      <c r="S174" s="1360"/>
      <c r="T174" s="1360"/>
      <c r="U174" s="1360"/>
      <c r="V174" s="1360"/>
      <c r="W174" s="1360"/>
      <c r="X174" s="1360"/>
      <c r="Y174" s="1360"/>
      <c r="Z174" s="1360"/>
      <c r="AA174" s="1360"/>
      <c r="AB174" s="1360"/>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545</v>
      </c>
      <c r="V175" s="1332"/>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422">
        <v>25</v>
      </c>
      <c r="V176" s="1422"/>
      <c r="W176" s="1" t="s">
        <v>305</v>
      </c>
      <c r="X176" s="1778">
        <v>618</v>
      </c>
      <c r="Y176" s="1778"/>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669</v>
      </c>
      <c r="S177" s="1332"/>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777"/>
      <c r="AG178" s="1777"/>
      <c r="AH178" s="1" t="s">
        <v>305</v>
      </c>
      <c r="AI178" s="1781"/>
      <c r="AJ178" s="1781"/>
      <c r="AK178" s="1781"/>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32"/>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00" t="str">
        <f>H18</f>
        <v>West Hills Family Apartments</v>
      </c>
      <c r="J184" s="1400"/>
      <c r="K184" s="1400"/>
      <c r="L184" s="1400"/>
      <c r="M184" s="1400"/>
      <c r="N184" s="1400"/>
      <c r="O184" s="1400"/>
      <c r="P184" s="1400"/>
      <c r="Q184" s="1400"/>
      <c r="R184" s="1400"/>
      <c r="S184" s="1400"/>
      <c r="T184" s="1400"/>
      <c r="U184" s="1400"/>
      <c r="V184" s="1400"/>
      <c r="W184" s="1400"/>
      <c r="X184" s="1400"/>
      <c r="Y184" s="1400"/>
      <c r="Z184" s="1400"/>
      <c r="AA184" s="1400"/>
      <c r="AB184" s="1400"/>
      <c r="AC184" s="1400"/>
      <c r="AD184" s="1400"/>
      <c r="AE184" s="1400"/>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467" t="s">
        <v>2618</v>
      </c>
      <c r="J185" s="1467"/>
      <c r="K185" s="1467"/>
      <c r="L185" s="1467"/>
      <c r="M185" s="1467"/>
      <c r="N185" s="1467"/>
      <c r="O185" s="1467"/>
      <c r="P185" s="1467"/>
      <c r="Q185" s="1467"/>
      <c r="R185" s="1467"/>
      <c r="S185" s="1467"/>
      <c r="T185" s="1467"/>
      <c r="U185" s="1467"/>
      <c r="V185" s="1467"/>
      <c r="W185" s="1467"/>
      <c r="X185" s="1467"/>
      <c r="Y185" s="1467"/>
      <c r="Z185" s="1467"/>
      <c r="AA185" s="1467"/>
      <c r="AB185" s="1467"/>
      <c r="AC185" s="1467"/>
      <c r="AD185" s="1467"/>
      <c r="AE185" s="1467"/>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797"/>
      <c r="F187" s="1797"/>
      <c r="G187" s="1797"/>
      <c r="H187" s="1797"/>
      <c r="I187" s="1797"/>
      <c r="J187" s="1797"/>
      <c r="K187" s="1797"/>
      <c r="L187" s="1797"/>
      <c r="M187" s="1797"/>
      <c r="N187" s="1797"/>
      <c r="O187" s="1797"/>
      <c r="P187" s="1797"/>
      <c r="Q187" s="1797"/>
      <c r="R187" s="1797"/>
      <c r="S187" s="1797"/>
      <c r="T187" s="1797"/>
      <c r="U187" s="1797"/>
      <c r="V187" s="1797"/>
      <c r="W187" s="1797"/>
      <c r="X187" s="1797"/>
      <c r="Y187" s="1797"/>
      <c r="Z187" s="1797"/>
      <c r="AA187" s="1797"/>
      <c r="AB187" s="1797"/>
      <c r="AC187" s="1797"/>
      <c r="AD187" s="1797"/>
      <c r="AE187" s="1797"/>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98"/>
      <c r="F188" s="1798"/>
      <c r="G188" s="1798"/>
      <c r="H188" s="1798"/>
      <c r="I188" s="1798"/>
      <c r="J188" s="1798"/>
      <c r="K188" s="1798"/>
      <c r="L188" s="1798"/>
      <c r="M188" s="1798"/>
      <c r="N188" s="1798"/>
      <c r="O188" s="1798"/>
      <c r="P188" s="1798"/>
      <c r="Q188" s="1798"/>
      <c r="R188" s="1798"/>
      <c r="S188" s="1798"/>
      <c r="T188" s="1798"/>
      <c r="U188" s="1798"/>
      <c r="V188" s="1798"/>
      <c r="W188" s="1798"/>
      <c r="X188" s="1798"/>
      <c r="Y188" s="1798"/>
      <c r="Z188" s="1798"/>
      <c r="AA188" s="1798"/>
      <c r="AB188" s="1798"/>
      <c r="AC188" s="1798"/>
      <c r="AD188" s="1798"/>
      <c r="AE188" s="1798"/>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359" t="s">
        <v>494</v>
      </c>
      <c r="J189" s="1360"/>
      <c r="K189" s="1360"/>
      <c r="L189" s="1360"/>
      <c r="M189" s="1360"/>
      <c r="N189" s="1360"/>
      <c r="O189" s="1360"/>
      <c r="P189" s="1360"/>
      <c r="Q189" t="s">
        <v>582</v>
      </c>
      <c r="T189" s="1360" t="s">
        <v>494</v>
      </c>
      <c r="U189" s="1360"/>
      <c r="V189" s="1360"/>
      <c r="W189" s="1360"/>
      <c r="X189" s="1360"/>
      <c r="Y189" s="1360"/>
      <c r="Z189" s="1360"/>
      <c r="AA189" s="1360"/>
      <c r="AB189" s="1360"/>
      <c r="AC189" s="1360"/>
      <c r="AD189" s="1360"/>
      <c r="AE189" s="1360"/>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467">
        <v>91304</v>
      </c>
      <c r="J190" s="1467"/>
      <c r="K190" s="1467"/>
      <c r="L190" s="1467"/>
      <c r="M190" s="1467"/>
      <c r="N190" s="1467"/>
      <c r="O190" t="s">
        <v>585</v>
      </c>
      <c r="T190" s="1785" t="s">
        <v>2619</v>
      </c>
      <c r="U190" s="1785"/>
      <c r="V190" s="1785"/>
      <c r="W190" s="1785"/>
      <c r="X190" s="1785"/>
      <c r="Y190" s="1785"/>
      <c r="Z190" s="1785"/>
      <c r="AA190" s="1785"/>
      <c r="AB190" s="1785"/>
      <c r="AC190" s="1785"/>
      <c r="AD190" s="1785"/>
      <c r="AE190" s="1785"/>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797" t="s">
        <v>2620</v>
      </c>
      <c r="O191" s="1797"/>
      <c r="P191" s="1797"/>
      <c r="Q191" s="1797"/>
      <c r="R191" s="1797"/>
      <c r="S191" s="1797"/>
      <c r="T191" s="1797"/>
      <c r="U191" s="1797"/>
      <c r="V191" s="1797"/>
      <c r="W191" s="1797"/>
      <c r="X191" s="1797"/>
      <c r="Y191" s="1797"/>
      <c r="Z191" s="1797"/>
      <c r="AA191" s="1797"/>
      <c r="AB191" s="1797"/>
      <c r="AC191" s="1797"/>
      <c r="AD191" s="1797"/>
      <c r="AE191" s="179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98"/>
      <c r="O192" s="1798"/>
      <c r="P192" s="1798"/>
      <c r="Q192" s="1798"/>
      <c r="R192" s="1798"/>
      <c r="S192" s="1798"/>
      <c r="T192" s="1798"/>
      <c r="U192" s="1798"/>
      <c r="V192" s="1798"/>
      <c r="W192" s="1798"/>
      <c r="X192" s="1798"/>
      <c r="Y192" s="1798"/>
      <c r="Z192" s="1798"/>
      <c r="AA192" s="1798"/>
      <c r="AB192" s="1798"/>
      <c r="AC192" s="1798"/>
      <c r="AD192" s="1798"/>
      <c r="AE192" s="1798"/>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89" t="s">
        <v>1969</v>
      </c>
      <c r="U193" s="1789"/>
      <c r="V193" s="1789"/>
      <c r="W193" s="1789"/>
      <c r="X193" s="1789"/>
      <c r="Y193" s="1789"/>
      <c r="Z193" s="1789"/>
      <c r="AA193" s="1789"/>
      <c r="AB193" s="1789"/>
      <c r="AC193" s="1789"/>
      <c r="AD193" s="1789"/>
      <c r="AE193" s="1789"/>
      <c r="AF193" s="1789"/>
      <c r="AG193" s="1789"/>
      <c r="AH193" s="1789"/>
      <c r="AI193" s="1789"/>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669</v>
      </c>
      <c r="U195" s="1332"/>
      <c r="W195" t="s">
        <v>684</v>
      </c>
      <c r="AH195" s="1332">
        <v>32</v>
      </c>
      <c r="AI195" s="1332"/>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398" t="s">
        <v>669</v>
      </c>
      <c r="U196" s="1398"/>
      <c r="W196" t="s">
        <v>685</v>
      </c>
      <c r="AH196" s="1332">
        <v>46</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398" t="s">
        <v>669</v>
      </c>
      <c r="U197" s="1398"/>
      <c r="W197" t="s">
        <v>686</v>
      </c>
      <c r="AH197" s="1332">
        <v>27</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398" t="s">
        <v>591</v>
      </c>
      <c r="U198" s="1398"/>
      <c r="V198"/>
      <c r="X198" s="1407" t="s">
        <v>2513</v>
      </c>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c r="AS198" s="1407"/>
      <c r="AT198" s="1407"/>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2" t="s">
        <v>669</v>
      </c>
      <c r="U199" s="1332"/>
      <c r="V199"/>
      <c r="W199"/>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c r="AS199" s="1407"/>
      <c r="AT199" s="1407"/>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00" t="s">
        <v>384</v>
      </c>
      <c r="E204" s="1400"/>
      <c r="F204" s="1400"/>
      <c r="G204" s="1400"/>
      <c r="H204" s="1400"/>
      <c r="I204" s="1400"/>
      <c r="J204" s="1400"/>
      <c r="K204" s="1400"/>
      <c r="L204" s="1400"/>
      <c r="M204" s="1400"/>
      <c r="P204" s="1796">
        <f>M26</f>
        <v>3450253</v>
      </c>
      <c r="Q204" s="1776"/>
      <c r="R204" s="1776"/>
      <c r="S204" s="1776"/>
      <c r="T204" s="1776"/>
      <c r="U204" s="1776"/>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01" t="s">
        <v>1247</v>
      </c>
      <c r="E205" s="1400"/>
      <c r="F205" s="1400"/>
      <c r="G205" s="1400"/>
      <c r="H205" s="1400"/>
      <c r="I205" s="1400"/>
      <c r="J205" s="1400"/>
      <c r="K205" s="1400"/>
      <c r="L205" s="1400"/>
      <c r="M205" s="1400"/>
      <c r="P205" s="1776">
        <f>M27</f>
        <v>11500000</v>
      </c>
      <c r="Q205" s="1776"/>
      <c r="R205" s="1776"/>
      <c r="S205" s="1776"/>
      <c r="T205" s="1776"/>
      <c r="U205" s="1776"/>
      <c r="V205" s="28"/>
      <c r="W205" s="3" t="s">
        <v>1720</v>
      </c>
      <c r="Z205" s="1799" t="s">
        <v>2219</v>
      </c>
      <c r="AA205" s="1799"/>
      <c r="AB205" s="1799"/>
      <c r="AC205" s="1799"/>
      <c r="AD205" s="1799"/>
      <c r="AE205" s="1799"/>
      <c r="AF205" s="1799"/>
      <c r="AG205" s="1799"/>
      <c r="AH205" s="1799"/>
      <c r="AI205" s="1799"/>
      <c r="AJ205" s="1799"/>
      <c r="AK205" s="1799"/>
      <c r="AL205" s="1799"/>
      <c r="AM205" s="1799"/>
      <c r="AN205" s="1799"/>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0" t="s">
        <v>2621</v>
      </c>
      <c r="E208" s="1410"/>
      <c r="F208" s="1410"/>
      <c r="G208" s="1410"/>
      <c r="H208" s="1410"/>
      <c r="I208" s="1410"/>
      <c r="J208" s="1410"/>
      <c r="K208" s="1410"/>
      <c r="L208" s="1410"/>
      <c r="M208" s="1410"/>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0" t="s">
        <v>1041</v>
      </c>
      <c r="E211" s="1410"/>
      <c r="F211" s="1410"/>
      <c r="G211" s="1410"/>
      <c r="H211" s="1410"/>
      <c r="I211" s="1410"/>
      <c r="J211" s="1410"/>
      <c r="K211" s="1410"/>
      <c r="L211" s="1410"/>
      <c r="M211" s="1410"/>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2">
        <v>0</v>
      </c>
      <c r="R212" s="1332"/>
      <c r="T212" s="1790">
        <f>IFERROR(Q212/AG440,0)</f>
        <v>0</v>
      </c>
      <c r="U212" s="1791"/>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3" t="s">
        <v>591</v>
      </c>
      <c r="E214" s="1793"/>
      <c r="F214" s="1793"/>
      <c r="G214" s="1793"/>
      <c r="H214" s="1793"/>
      <c r="I214" s="1793"/>
      <c r="J214" s="1793"/>
      <c r="K214" s="1793"/>
      <c r="L214" s="1793"/>
      <c r="M214" s="1793"/>
      <c r="N214" s="1793"/>
      <c r="O214" s="1793"/>
      <c r="P214" s="1793"/>
      <c r="Q214" s="1793"/>
      <c r="R214" s="1793"/>
      <c r="S214" s="1793"/>
      <c r="T214" s="1793"/>
      <c r="U214" s="1793"/>
      <c r="V214" s="1793"/>
      <c r="W214" s="1793"/>
      <c r="X214" s="1793"/>
      <c r="Y214" s="1793"/>
      <c r="Z214" s="1793"/>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2"/>
      <c r="AC215" s="1792"/>
      <c r="AD215" s="1792"/>
      <c r="AE215" s="1792"/>
      <c r="AF215" s="1792"/>
      <c r="AG215" s="1792"/>
      <c r="AH215" s="1792"/>
      <c r="AI215" s="1792"/>
      <c r="AJ215" s="1792"/>
      <c r="AK215" s="1792"/>
      <c r="AL215" s="1792"/>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2"/>
      <c r="AC216" s="1792"/>
      <c r="AD216" s="1792"/>
      <c r="AE216" s="1792"/>
      <c r="AF216" s="1792"/>
      <c r="AG216" s="1792"/>
      <c r="AH216" s="1792"/>
      <c r="AI216" s="1792"/>
      <c r="AJ216" s="1792"/>
      <c r="AK216" s="1792"/>
      <c r="AL216" s="1792"/>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410" t="s">
        <v>875</v>
      </c>
      <c r="E220" s="1410"/>
      <c r="F220" s="1410"/>
      <c r="G220" s="1410"/>
      <c r="H220" s="1410"/>
      <c r="I220" s="1410"/>
      <c r="J220" s="1410"/>
      <c r="K220" s="1410"/>
      <c r="L220" s="1410"/>
      <c r="M220" s="1410"/>
      <c r="N220" s="1410"/>
      <c r="O220" s="1410"/>
      <c r="P220" s="1410"/>
      <c r="Q220" s="1410"/>
      <c r="R220" s="1410"/>
      <c r="S220" s="1410"/>
      <c r="T220" s="1410"/>
      <c r="U220" s="1410"/>
      <c r="V220" s="1410"/>
      <c r="W220" s="1410"/>
      <c r="X220" s="1410"/>
      <c r="Y220" s="1410"/>
      <c r="Z220" s="1410"/>
      <c r="AC220" s="1800" t="s">
        <v>875</v>
      </c>
      <c r="AD220" s="1800"/>
      <c r="AE220" s="1800"/>
      <c r="AF220" s="1800"/>
      <c r="AG220" s="1800"/>
      <c r="AH220" s="1800"/>
      <c r="AI220" s="1800"/>
      <c r="AJ220" s="1800"/>
      <c r="AK220" s="1800"/>
      <c r="AL220" s="1800"/>
      <c r="AM220" s="1800"/>
      <c r="AN220" s="1800"/>
      <c r="AO220" s="1800"/>
      <c r="AP220" s="1800"/>
      <c r="AQ220" s="1800"/>
      <c r="BA220" s="3"/>
      <c r="BC220" t="s">
        <v>299</v>
      </c>
    </row>
    <row r="221" spans="1:108" ht="12.95" customHeight="1">
      <c r="A221" s="2"/>
      <c r="B221" s="14"/>
      <c r="C221" s="2"/>
      <c r="BA221" s="3"/>
    </row>
    <row r="222" spans="1:108" ht="12.95" customHeight="1">
      <c r="A222" s="1419" t="s">
        <v>540</v>
      </c>
      <c r="B222" s="1419"/>
      <c r="C222" s="1419"/>
      <c r="D222" s="1419"/>
      <c r="E222" s="1419"/>
      <c r="F222" s="1419"/>
      <c r="G222" s="1419"/>
      <c r="H222" s="1419"/>
      <c r="I222" s="1419"/>
      <c r="J222" s="1419"/>
      <c r="K222" s="1419"/>
      <c r="L222" s="1419"/>
      <c r="M222" s="1419"/>
      <c r="N222" s="1419"/>
      <c r="O222" s="1419"/>
      <c r="P222" s="1419"/>
      <c r="Q222" s="1419"/>
      <c r="R222" s="1419"/>
      <c r="S222" s="1419"/>
      <c r="T222" s="1419"/>
      <c r="U222" s="1419"/>
      <c r="V222" s="1419"/>
      <c r="W222" s="1419"/>
      <c r="X222" s="1419"/>
      <c r="Y222" s="1419"/>
      <c r="Z222" s="1419"/>
      <c r="AA222" s="1419"/>
      <c r="AB222" s="1419"/>
      <c r="AC222" s="1419"/>
      <c r="AD222" s="1419"/>
      <c r="AE222" s="1419"/>
      <c r="AF222" s="1419"/>
      <c r="AG222" s="1419"/>
      <c r="AH222" s="1419"/>
      <c r="AI222" s="1419"/>
      <c r="AJ222" s="1419"/>
      <c r="AK222" s="1419"/>
      <c r="AL222" s="1419"/>
      <c r="AM222" s="1419"/>
      <c r="AN222" s="1419"/>
      <c r="AO222" s="1419"/>
      <c r="AP222" s="1419"/>
      <c r="AQ222" s="1419"/>
      <c r="AR222" s="1419"/>
      <c r="AS222" s="1419"/>
      <c r="AT222" s="1419"/>
      <c r="AU222" s="95"/>
      <c r="AV222" s="95"/>
      <c r="AW222" s="95"/>
      <c r="AX222" s="95"/>
      <c r="AY222" s="95"/>
      <c r="AZ222" s="3"/>
      <c r="BA222" s="3"/>
      <c r="BP222" s="34"/>
    </row>
    <row r="223" spans="1:108" ht="12.95" customHeight="1">
      <c r="A223" s="1419"/>
      <c r="B223" s="1419"/>
      <c r="C223" s="1419"/>
      <c r="D223" s="1419"/>
      <c r="E223" s="1419"/>
      <c r="F223" s="1419"/>
      <c r="G223" s="1419"/>
      <c r="H223" s="1419"/>
      <c r="I223" s="1419"/>
      <c r="J223" s="1419"/>
      <c r="K223" s="1419"/>
      <c r="L223" s="1419"/>
      <c r="M223" s="1419"/>
      <c r="N223" s="1419"/>
      <c r="O223" s="1419"/>
      <c r="P223" s="1419"/>
      <c r="Q223" s="1419"/>
      <c r="R223" s="1419"/>
      <c r="S223" s="1419"/>
      <c r="T223" s="1419"/>
      <c r="U223" s="1419"/>
      <c r="V223" s="1419"/>
      <c r="W223" s="1419"/>
      <c r="X223" s="1419"/>
      <c r="Y223" s="1419"/>
      <c r="Z223" s="1419"/>
      <c r="AA223" s="1419"/>
      <c r="AB223" s="1419"/>
      <c r="AC223" s="1419"/>
      <c r="AD223" s="1419"/>
      <c r="AE223" s="1419"/>
      <c r="AF223" s="1419"/>
      <c r="AG223" s="1419"/>
      <c r="AH223" s="1419"/>
      <c r="AI223" s="1419"/>
      <c r="AJ223" s="1419"/>
      <c r="AK223" s="1419"/>
      <c r="AL223" s="1419"/>
      <c r="AM223" s="1419"/>
      <c r="AN223" s="1419"/>
      <c r="AO223" s="1419"/>
      <c r="AP223" s="1419"/>
      <c r="AQ223" s="1419"/>
      <c r="AR223" s="1419"/>
      <c r="AS223" s="1419"/>
      <c r="AT223" s="1419"/>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86" t="str">
        <f>H16</f>
        <v>Las Palmas Foundation</v>
      </c>
      <c r="N232" s="1786"/>
      <c r="O232" s="1786"/>
      <c r="P232" s="1786"/>
      <c r="Q232" s="1786"/>
      <c r="R232" s="1786"/>
      <c r="S232" s="1786"/>
      <c r="T232" s="1786"/>
      <c r="U232" s="1786"/>
      <c r="V232" s="1786"/>
      <c r="W232" s="1786"/>
      <c r="X232" s="1786"/>
      <c r="Y232" s="1786"/>
      <c r="Z232" s="1786"/>
      <c r="AA232" s="1786"/>
      <c r="AB232" s="1786"/>
      <c r="AC232" s="1786"/>
      <c r="AD232" s="1786"/>
      <c r="AE232" s="1786"/>
      <c r="AF232" s="1786"/>
      <c r="AG232" s="1786"/>
      <c r="AH232" s="1786"/>
      <c r="AI232" s="1786"/>
      <c r="AJ232" s="1786"/>
      <c r="AK232" s="1786"/>
      <c r="AZ232" s="4"/>
      <c r="BA232" s="3"/>
      <c r="BB232" s="205" t="s">
        <v>538</v>
      </c>
      <c r="BG232" s="241">
        <f>IF(AND(AND($M$249="nonprofit",$M$257="nonprofit",$M$265="for profit")),2,0)</f>
        <v>0</v>
      </c>
    </row>
    <row r="233" spans="1:59" ht="12.95" customHeight="1">
      <c r="D233" s="4" t="s">
        <v>85</v>
      </c>
      <c r="E233" s="4"/>
      <c r="F233" s="4"/>
      <c r="G233" s="4"/>
      <c r="H233" s="4"/>
      <c r="I233" s="4"/>
      <c r="J233" s="4"/>
      <c r="K233" s="4"/>
      <c r="M233" s="1359" t="s">
        <v>2622</v>
      </c>
      <c r="N233" s="1410"/>
      <c r="O233" s="1410"/>
      <c r="P233" s="1410"/>
      <c r="Q233" s="1410"/>
      <c r="R233" s="1410"/>
      <c r="S233" s="1410"/>
      <c r="T233" s="1410"/>
      <c r="U233" s="1410"/>
      <c r="V233" s="1410"/>
      <c r="W233" s="1410"/>
      <c r="X233" s="1410"/>
      <c r="Y233" s="1410"/>
      <c r="Z233" s="1410"/>
      <c r="AA233" s="1410"/>
      <c r="AB233" s="1410"/>
      <c r="AC233" s="1410"/>
      <c r="AD233" s="1410"/>
      <c r="AE233" s="1410"/>
      <c r="BB233" s="205" t="s">
        <v>538</v>
      </c>
      <c r="BG233" s="241">
        <f>IF(AND(AND($M$249="nonprofit",$M$257="for profit",$M$265="nonprofit")),2,0)</f>
        <v>0</v>
      </c>
    </row>
    <row r="234" spans="1:59" ht="12.95" customHeight="1">
      <c r="D234" s="4" t="s">
        <v>580</v>
      </c>
      <c r="E234" s="4"/>
      <c r="M234" s="1359" t="s">
        <v>2623</v>
      </c>
      <c r="N234" s="1410"/>
      <c r="O234" s="1410"/>
      <c r="P234" s="1410"/>
      <c r="Q234" s="1410"/>
      <c r="R234" s="1410"/>
      <c r="S234" s="1410"/>
      <c r="T234" s="1410"/>
      <c r="V234" s="33" t="s">
        <v>86</v>
      </c>
      <c r="W234" s="1549" t="s">
        <v>2624</v>
      </c>
      <c r="X234" s="1434"/>
      <c r="Y234" s="4" t="s">
        <v>583</v>
      </c>
      <c r="AC234" s="1410">
        <v>92024</v>
      </c>
      <c r="AD234" s="1410"/>
      <c r="AE234" s="1410"/>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359" t="s">
        <v>2625</v>
      </c>
      <c r="N235" s="1410"/>
      <c r="O235" s="1410"/>
      <c r="P235" s="1410"/>
      <c r="Q235" s="1410"/>
      <c r="R235" s="1410"/>
      <c r="S235" s="1410"/>
      <c r="T235" s="1410"/>
      <c r="U235" s="1410"/>
      <c r="V235" s="1410"/>
      <c r="W235" s="1410"/>
      <c r="X235" s="1410"/>
      <c r="Y235" s="1410"/>
      <c r="Z235" s="1410"/>
      <c r="AA235" s="1410"/>
      <c r="AB235" s="1410"/>
      <c r="AC235" s="1410"/>
      <c r="AD235" s="1410"/>
      <c r="AE235" s="1410"/>
      <c r="AI235" s="4"/>
      <c r="AJ235" s="4"/>
      <c r="AK235" s="4"/>
      <c r="AL235" s="4"/>
      <c r="AM235" s="4"/>
      <c r="AN235" s="4"/>
      <c r="AO235" s="4"/>
      <c r="AP235" s="4"/>
      <c r="AQ235" s="4"/>
      <c r="AR235" s="4"/>
      <c r="AS235" s="4"/>
      <c r="AT235" s="4"/>
      <c r="BB235" s="205"/>
      <c r="BG235" s="204"/>
    </row>
    <row r="236" spans="1:59" ht="12.95" customHeight="1">
      <c r="D236" s="4" t="s">
        <v>88</v>
      </c>
      <c r="E236" s="4"/>
      <c r="F236" s="4"/>
      <c r="M236" s="1357" t="s">
        <v>2626</v>
      </c>
      <c r="N236" s="1358"/>
      <c r="O236" s="1358"/>
      <c r="P236" s="1358"/>
      <c r="Q236" s="1358"/>
      <c r="R236" s="1358"/>
      <c r="S236" s="4" t="s">
        <v>205</v>
      </c>
      <c r="T236" s="4"/>
      <c r="U236" s="1434"/>
      <c r="V236" s="1434"/>
      <c r="W236" s="1434"/>
      <c r="X236" s="4" t="s">
        <v>89</v>
      </c>
      <c r="Z236" s="1358"/>
      <c r="AA236" s="1358"/>
      <c r="AB236" s="1358"/>
      <c r="AC236" s="1358"/>
      <c r="AD236" s="1358"/>
      <c r="AE236" s="1358"/>
      <c r="AU236" s="4"/>
      <c r="AV236" s="4"/>
      <c r="AW236" s="4"/>
      <c r="AX236" s="4"/>
      <c r="AY236" s="4"/>
      <c r="AZ236" s="4"/>
      <c r="BB236" s="204" t="s">
        <v>537</v>
      </c>
      <c r="BG236" s="241">
        <f>IF(AND(AND($M$249="nonprofit",$M$257="nonprofit",$M$265="(select one)")),1,0)</f>
        <v>0</v>
      </c>
    </row>
    <row r="237" spans="1:59" ht="12.95" customHeight="1">
      <c r="D237" s="4" t="s">
        <v>90</v>
      </c>
      <c r="E237" s="4"/>
      <c r="F237" s="4"/>
      <c r="M237" s="1772" t="s">
        <v>2627</v>
      </c>
      <c r="N237" s="1772"/>
      <c r="O237" s="1772"/>
      <c r="P237" s="1772"/>
      <c r="Q237" s="1772"/>
      <c r="R237" s="1772"/>
      <c r="S237" s="1772"/>
      <c r="T237" s="1772"/>
      <c r="U237" s="1772"/>
      <c r="V237" s="1772"/>
      <c r="W237" s="1772"/>
      <c r="X237" s="1772"/>
      <c r="Y237" s="1772"/>
      <c r="Z237" s="1772"/>
      <c r="AA237" s="1772"/>
      <c r="AB237" s="1772"/>
      <c r="AC237" s="1772"/>
      <c r="AD237" s="1772"/>
      <c r="AE237" s="1772"/>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467" t="s">
        <v>376</v>
      </c>
      <c r="N238" s="1467"/>
      <c r="O238" s="1467"/>
      <c r="P238" s="1467"/>
      <c r="Q238" s="1467"/>
      <c r="R238" s="1467"/>
      <c r="S238" s="1467"/>
      <c r="T238" s="1467"/>
      <c r="U238" s="204" t="s">
        <v>906</v>
      </c>
      <c r="V238" s="204"/>
      <c r="W238" s="204"/>
      <c r="X238" s="204"/>
      <c r="Y238" s="204"/>
      <c r="Z238" s="204"/>
      <c r="AA238" s="1767"/>
      <c r="AB238" s="1767"/>
      <c r="AC238" s="1767"/>
      <c r="AD238" s="1767"/>
      <c r="AE238" s="1767"/>
      <c r="AF238" s="1767"/>
      <c r="AG238" s="1767"/>
      <c r="AH238" s="1767"/>
      <c r="AI238" s="1767"/>
      <c r="AJ238" s="1767"/>
      <c r="AK238" s="176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60"/>
      <c r="N239" s="1360"/>
      <c r="O239" s="1360"/>
      <c r="P239" s="1360"/>
      <c r="Q239" s="1360"/>
      <c r="R239" s="1360"/>
      <c r="S239" s="1360"/>
      <c r="T239" s="1360"/>
      <c r="U239" s="1360"/>
      <c r="V239" s="1360"/>
      <c r="W239" s="1360"/>
      <c r="X239" s="1360"/>
      <c r="Y239" s="1360"/>
      <c r="Z239" s="1360"/>
      <c r="AA239" s="1360"/>
      <c r="AB239" s="1360"/>
      <c r="AC239" s="1360"/>
      <c r="AD239" s="1360"/>
      <c r="AE239" s="1360"/>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12" t="s">
        <v>2612</v>
      </c>
      <c r="N243" s="1413"/>
      <c r="O243" s="1413"/>
      <c r="P243" s="1413"/>
      <c r="Q243" s="1413"/>
      <c r="R243" s="1413"/>
      <c r="S243" s="1413"/>
      <c r="T243" s="1413"/>
      <c r="U243" s="1413"/>
      <c r="V243" s="1413"/>
      <c r="W243" s="1413"/>
      <c r="X243" s="1413"/>
      <c r="Y243" s="1413"/>
      <c r="Z243" s="1413"/>
      <c r="AA243" s="1413"/>
      <c r="AB243" s="1413"/>
      <c r="AC243" s="1413"/>
      <c r="AD243" s="1413"/>
      <c r="AE243" s="1413"/>
      <c r="AF243" s="1413" t="s">
        <v>2628</v>
      </c>
      <c r="AG243" s="1413"/>
      <c r="AH243" s="1413"/>
      <c r="AI243" s="1413"/>
      <c r="AJ243" s="1413"/>
      <c r="AK243" s="141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359" t="s">
        <v>2629</v>
      </c>
      <c r="N244" s="1410"/>
      <c r="O244" s="1410"/>
      <c r="P244" s="1410"/>
      <c r="Q244" s="1410"/>
      <c r="R244" s="1410"/>
      <c r="S244" s="1410"/>
      <c r="T244" s="1410"/>
      <c r="U244" s="1410"/>
      <c r="V244" s="1410"/>
      <c r="W244" s="1410"/>
      <c r="X244" s="1410"/>
      <c r="Y244" s="1410"/>
      <c r="Z244" s="1410"/>
      <c r="AA244" s="1410"/>
      <c r="AB244" s="1410"/>
      <c r="AC244" s="1410"/>
      <c r="AD244" s="1410"/>
      <c r="AE244" s="1410"/>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359" t="s">
        <v>2623</v>
      </c>
      <c r="N245" s="1410"/>
      <c r="O245" s="1410"/>
      <c r="P245" s="1410"/>
      <c r="Q245" s="1410"/>
      <c r="R245" s="1410"/>
      <c r="S245" s="1410"/>
      <c r="T245" s="1410"/>
      <c r="V245" s="33" t="s">
        <v>86</v>
      </c>
      <c r="W245" s="1549" t="s">
        <v>2624</v>
      </c>
      <c r="X245" s="1434"/>
      <c r="Y245" s="4" t="s">
        <v>583</v>
      </c>
      <c r="AC245" s="1410">
        <v>92024</v>
      </c>
      <c r="AD245" s="1410"/>
      <c r="AE245" s="1410"/>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359" t="s">
        <v>2625</v>
      </c>
      <c r="N246" s="1410"/>
      <c r="O246" s="1410"/>
      <c r="P246" s="1410"/>
      <c r="Q246" s="1410"/>
      <c r="R246" s="1410"/>
      <c r="S246" s="1410"/>
      <c r="T246" s="1410"/>
      <c r="U246" s="1410"/>
      <c r="V246" s="1410"/>
      <c r="W246" s="1410"/>
      <c r="X246" s="1410"/>
      <c r="Y246" s="1410"/>
      <c r="Z246" s="1410"/>
      <c r="AA246" s="1410"/>
      <c r="AB246" s="1410"/>
      <c r="AC246" s="1410"/>
      <c r="AD246" s="1410"/>
      <c r="AE246" s="1410"/>
      <c r="AH246" s="1769">
        <v>1E-3</v>
      </c>
      <c r="AI246" s="1769"/>
      <c r="AJ246" s="1769"/>
      <c r="AK246" s="1769"/>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57" t="s">
        <v>2626</v>
      </c>
      <c r="N247" s="1358"/>
      <c r="O247" s="1358"/>
      <c r="P247" s="1358"/>
      <c r="Q247" s="1358"/>
      <c r="R247" s="1358"/>
      <c r="S247" s="4" t="s">
        <v>205</v>
      </c>
      <c r="T247" s="4"/>
      <c r="U247" s="1434"/>
      <c r="V247" s="1434"/>
      <c r="W247" s="1434"/>
      <c r="X247" s="4" t="s">
        <v>89</v>
      </c>
      <c r="Z247" s="1358"/>
      <c r="AA247" s="1358"/>
      <c r="AB247" s="1358"/>
      <c r="AC247" s="1358"/>
      <c r="AD247" s="1358"/>
      <c r="AE247" s="1358"/>
      <c r="AU247" s="4"/>
      <c r="AV247" s="4"/>
      <c r="AW247" s="4"/>
      <c r="AX247" s="4"/>
      <c r="AY247" s="4"/>
      <c r="BG247">
        <v>0</v>
      </c>
      <c r="BH247" s="3" t="str">
        <f>""</f>
        <v/>
      </c>
      <c r="BN247" s="34"/>
    </row>
    <row r="248" spans="1:67" ht="12.95" customHeight="1">
      <c r="A248" s="19"/>
      <c r="B248" s="4"/>
      <c r="C248" s="4"/>
      <c r="D248" s="4" t="s">
        <v>90</v>
      </c>
      <c r="E248" s="4"/>
      <c r="F248" s="4"/>
      <c r="M248" s="1772" t="s">
        <v>2627</v>
      </c>
      <c r="N248" s="1772"/>
      <c r="O248" s="1772"/>
      <c r="P248" s="1772"/>
      <c r="Q248" s="1772"/>
      <c r="R248" s="1772"/>
      <c r="S248" s="1772"/>
      <c r="T248" s="1772"/>
      <c r="U248" s="1772"/>
      <c r="V248" s="1772"/>
      <c r="W248" s="1772"/>
      <c r="X248" s="1772"/>
      <c r="Y248" s="1772"/>
      <c r="Z248" s="1772"/>
      <c r="AA248" s="1772"/>
      <c r="AB248" s="1772"/>
      <c r="AC248" s="1772"/>
      <c r="AD248" s="1772"/>
      <c r="AE248" s="1772"/>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467" t="s">
        <v>534</v>
      </c>
      <c r="N249" s="1467"/>
      <c r="O249" s="1467"/>
      <c r="P249" s="1467"/>
      <c r="Q249" s="1467"/>
      <c r="R249" s="1467"/>
      <c r="S249" s="1467"/>
      <c r="T249" s="1467"/>
      <c r="U249" s="204" t="s">
        <v>906</v>
      </c>
      <c r="V249" s="204"/>
      <c r="W249" s="204"/>
      <c r="X249" s="204"/>
      <c r="Y249" s="204"/>
      <c r="Z249" s="204"/>
      <c r="AA249" s="1767"/>
      <c r="AB249" s="1767"/>
      <c r="AC249" s="1767"/>
      <c r="AD249" s="1767"/>
      <c r="AE249" s="1767"/>
      <c r="AF249" s="1767"/>
      <c r="AG249" s="1767"/>
      <c r="AH249" s="1767"/>
      <c r="AI249" s="1767"/>
      <c r="AJ249" s="1767"/>
      <c r="AK249" s="176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12" t="s">
        <v>2630</v>
      </c>
      <c r="N251" s="1413"/>
      <c r="O251" s="1413"/>
      <c r="P251" s="1413"/>
      <c r="Q251" s="1413"/>
      <c r="R251" s="1413"/>
      <c r="S251" s="1413"/>
      <c r="T251" s="1413"/>
      <c r="U251" s="1413"/>
      <c r="V251" s="1413"/>
      <c r="W251" s="1413"/>
      <c r="X251" s="1413"/>
      <c r="Y251" s="1413"/>
      <c r="Z251" s="1413"/>
      <c r="AA251" s="1413"/>
      <c r="AB251" s="1413"/>
      <c r="AC251" s="1413"/>
      <c r="AD251" s="1413"/>
      <c r="AE251" s="1413"/>
      <c r="AF251" s="1413" t="s">
        <v>2631</v>
      </c>
      <c r="AG251" s="1413"/>
      <c r="AH251" s="1413"/>
      <c r="AI251" s="1413"/>
      <c r="AJ251" s="1413"/>
      <c r="AK251" s="1413"/>
      <c r="AU251" s="4"/>
      <c r="AV251" s="4"/>
      <c r="AW251" s="4"/>
      <c r="AX251" s="4"/>
      <c r="AY251" s="4"/>
      <c r="BN251" s="34"/>
    </row>
    <row r="252" spans="1:67" ht="12.95" customHeight="1">
      <c r="A252" s="19"/>
      <c r="B252" s="4"/>
      <c r="C252" s="4"/>
      <c r="D252" s="4" t="s">
        <v>85</v>
      </c>
      <c r="E252" s="4"/>
      <c r="F252" s="4"/>
      <c r="G252" s="4"/>
      <c r="H252" s="4"/>
      <c r="I252" s="4"/>
      <c r="J252" s="4"/>
      <c r="K252" s="4"/>
      <c r="L252" s="4"/>
      <c r="M252" s="1359" t="s">
        <v>2632</v>
      </c>
      <c r="N252" s="1410"/>
      <c r="O252" s="1410"/>
      <c r="P252" s="1410"/>
      <c r="Q252" s="1410"/>
      <c r="R252" s="1410"/>
      <c r="S252" s="1410"/>
      <c r="T252" s="1410"/>
      <c r="U252" s="1410"/>
      <c r="V252" s="1410"/>
      <c r="W252" s="1410"/>
      <c r="X252" s="1410"/>
      <c r="Y252" s="1410"/>
      <c r="Z252" s="1410"/>
      <c r="AA252" s="1410"/>
      <c r="AB252" s="1410"/>
      <c r="AC252" s="1410"/>
      <c r="AD252" s="1410"/>
      <c r="AE252" s="1410"/>
      <c r="AF252" s="3" t="s">
        <v>1179</v>
      </c>
      <c r="AL252" s="4"/>
      <c r="AM252" s="4"/>
      <c r="AN252" s="4"/>
      <c r="AO252" s="4"/>
      <c r="AP252" s="4"/>
      <c r="AQ252" s="4"/>
      <c r="AR252" s="4"/>
      <c r="AS252" s="4"/>
      <c r="AT252" s="4"/>
      <c r="BN252" s="34"/>
    </row>
    <row r="253" spans="1:67" ht="12.95" customHeight="1">
      <c r="A253" s="19"/>
      <c r="B253" s="4"/>
      <c r="C253" s="4"/>
      <c r="D253" s="4" t="s">
        <v>580</v>
      </c>
      <c r="E253" s="4"/>
      <c r="M253" s="1359" t="s">
        <v>494</v>
      </c>
      <c r="N253" s="1410"/>
      <c r="O253" s="1410"/>
      <c r="P253" s="1410"/>
      <c r="Q253" s="1410"/>
      <c r="R253" s="1410"/>
      <c r="S253" s="1410"/>
      <c r="T253" s="1410"/>
      <c r="V253" s="33" t="s">
        <v>86</v>
      </c>
      <c r="W253" s="1549" t="s">
        <v>2624</v>
      </c>
      <c r="X253" s="1434"/>
      <c r="Y253" s="4" t="s">
        <v>583</v>
      </c>
      <c r="AC253" s="1410">
        <v>90004</v>
      </c>
      <c r="AD253" s="1410"/>
      <c r="AE253" s="1410"/>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359" t="s">
        <v>2633</v>
      </c>
      <c r="N254" s="1410"/>
      <c r="O254" s="1410"/>
      <c r="P254" s="1410"/>
      <c r="Q254" s="1410"/>
      <c r="R254" s="1410"/>
      <c r="S254" s="1410"/>
      <c r="T254" s="1410"/>
      <c r="U254" s="1410"/>
      <c r="V254" s="1410"/>
      <c r="W254" s="1410"/>
      <c r="X254" s="1410"/>
      <c r="Y254" s="1410"/>
      <c r="Z254" s="1410"/>
      <c r="AA254" s="1410"/>
      <c r="AB254" s="1410"/>
      <c r="AC254" s="1410"/>
      <c r="AD254" s="1410"/>
      <c r="AE254" s="1410"/>
      <c r="AH254" s="1769">
        <v>8.9999999999999993E-3</v>
      </c>
      <c r="AI254" s="1769"/>
      <c r="AJ254" s="1769"/>
      <c r="AK254" s="1769"/>
      <c r="AL254" s="4"/>
      <c r="AM254" s="4"/>
      <c r="AN254" s="4"/>
      <c r="AO254" s="4"/>
      <c r="AP254" s="4"/>
      <c r="AQ254" s="4"/>
      <c r="AR254" s="4"/>
      <c r="AS254" s="4"/>
      <c r="AT254" s="4"/>
    </row>
    <row r="255" spans="1:67" ht="12.95" customHeight="1">
      <c r="A255" s="19"/>
      <c r="B255" s="4"/>
      <c r="C255" s="4"/>
      <c r="D255" s="4" t="s">
        <v>88</v>
      </c>
      <c r="E255" s="4"/>
      <c r="F255" s="4"/>
      <c r="M255" s="1357" t="s">
        <v>2634</v>
      </c>
      <c r="N255" s="1358"/>
      <c r="O255" s="1358"/>
      <c r="P255" s="1358"/>
      <c r="Q255" s="1358"/>
      <c r="R255" s="1358"/>
      <c r="S255" s="4" t="s">
        <v>205</v>
      </c>
      <c r="T255" s="4"/>
      <c r="U255" s="1434"/>
      <c r="V255" s="1434"/>
      <c r="W255" s="1434"/>
      <c r="X255" s="4" t="s">
        <v>89</v>
      </c>
      <c r="Z255" s="1358"/>
      <c r="AA255" s="1358"/>
      <c r="AB255" s="1358"/>
      <c r="AC255" s="1358"/>
      <c r="AD255" s="1358"/>
      <c r="AE255" s="1358"/>
      <c r="AU255" s="4"/>
      <c r="AV255" s="4"/>
      <c r="AW255" s="4"/>
      <c r="AX255" s="4"/>
      <c r="AY255" s="4"/>
      <c r="BN255" s="34"/>
    </row>
    <row r="256" spans="1:67" ht="12.95" customHeight="1">
      <c r="A256" s="19"/>
      <c r="B256" s="4"/>
      <c r="C256" s="4"/>
      <c r="D256" s="4" t="s">
        <v>90</v>
      </c>
      <c r="E256" s="4"/>
      <c r="F256" s="4"/>
      <c r="M256" s="1772" t="s">
        <v>2635</v>
      </c>
      <c r="N256" s="1772"/>
      <c r="O256" s="1772"/>
      <c r="P256" s="1772"/>
      <c r="Q256" s="1772"/>
      <c r="R256" s="1772"/>
      <c r="S256" s="1772"/>
      <c r="T256" s="1772"/>
      <c r="U256" s="1772"/>
      <c r="V256" s="1772"/>
      <c r="W256" s="1772"/>
      <c r="X256" s="1772"/>
      <c r="Y256" s="1772"/>
      <c r="Z256" s="1772"/>
      <c r="AA256" s="1772"/>
      <c r="AB256" s="1772"/>
      <c r="AC256" s="1772"/>
      <c r="AD256" s="1772"/>
      <c r="AE256" s="177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67" t="s">
        <v>536</v>
      </c>
      <c r="N257" s="1467"/>
      <c r="O257" s="1467"/>
      <c r="P257" s="1467"/>
      <c r="Q257" s="1467"/>
      <c r="R257" s="1467"/>
      <c r="S257" s="1467"/>
      <c r="T257" s="1467"/>
      <c r="U257" s="204" t="s">
        <v>906</v>
      </c>
      <c r="V257" s="204"/>
      <c r="W257" s="204"/>
      <c r="X257" s="204"/>
      <c r="Y257" s="204"/>
      <c r="Z257" s="204"/>
      <c r="AA257" s="1766" t="s">
        <v>2636</v>
      </c>
      <c r="AB257" s="1767"/>
      <c r="AC257" s="1767"/>
      <c r="AD257" s="1767"/>
      <c r="AE257" s="1767"/>
      <c r="AF257" s="1767"/>
      <c r="AG257" s="1767"/>
      <c r="AH257" s="1767"/>
      <c r="AI257" s="1767"/>
      <c r="AJ257" s="1767"/>
      <c r="AK257" s="176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13"/>
      <c r="N259" s="1413"/>
      <c r="O259" s="1413"/>
      <c r="P259" s="1413"/>
      <c r="Q259" s="1413"/>
      <c r="R259" s="1413"/>
      <c r="S259" s="1413"/>
      <c r="T259" s="1413"/>
      <c r="U259" s="1413"/>
      <c r="V259" s="1413"/>
      <c r="W259" s="1413"/>
      <c r="X259" s="1413"/>
      <c r="Y259" s="1413"/>
      <c r="Z259" s="1413"/>
      <c r="AA259" s="1413"/>
      <c r="AB259" s="1413"/>
      <c r="AC259" s="1413"/>
      <c r="AD259" s="1413"/>
      <c r="AE259" s="1413"/>
      <c r="AF259" s="1413" t="s">
        <v>306</v>
      </c>
      <c r="AG259" s="1413"/>
      <c r="AH259" s="1413"/>
      <c r="AI259" s="1413"/>
      <c r="AJ259" s="1413"/>
      <c r="AK259" s="141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0"/>
      <c r="N260" s="1410"/>
      <c r="O260" s="1410"/>
      <c r="P260" s="1410"/>
      <c r="Q260" s="1410"/>
      <c r="R260" s="1410"/>
      <c r="S260" s="1410"/>
      <c r="T260" s="1410"/>
      <c r="U260" s="1410"/>
      <c r="V260" s="1410"/>
      <c r="W260" s="1410"/>
      <c r="X260" s="1410"/>
      <c r="Y260" s="1410"/>
      <c r="Z260" s="1410"/>
      <c r="AA260" s="1410"/>
      <c r="AB260" s="1410"/>
      <c r="AC260" s="1410"/>
      <c r="AD260" s="1410"/>
      <c r="AE260" s="1410"/>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0"/>
      <c r="N261" s="1410"/>
      <c r="O261" s="1410"/>
      <c r="P261" s="1410"/>
      <c r="Q261" s="1410"/>
      <c r="R261" s="1410"/>
      <c r="S261" s="1410"/>
      <c r="T261" s="1410"/>
      <c r="V261" s="33" t="s">
        <v>86</v>
      </c>
      <c r="W261" s="1434"/>
      <c r="X261" s="1434"/>
      <c r="Y261" s="4" t="s">
        <v>583</v>
      </c>
      <c r="AC261" s="1410"/>
      <c r="AD261" s="1410"/>
      <c r="AE261" s="1410"/>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0"/>
      <c r="N262" s="1410"/>
      <c r="O262" s="1410"/>
      <c r="P262" s="1410"/>
      <c r="Q262" s="1410"/>
      <c r="R262" s="1410"/>
      <c r="S262" s="1410"/>
      <c r="T262" s="1410"/>
      <c r="U262" s="1410"/>
      <c r="V262" s="1410"/>
      <c r="W262" s="1410"/>
      <c r="X262" s="1410"/>
      <c r="Y262" s="1410"/>
      <c r="Z262" s="1410"/>
      <c r="AA262" s="1410"/>
      <c r="AB262" s="1410"/>
      <c r="AC262" s="1410"/>
      <c r="AD262" s="1410"/>
      <c r="AE262" s="1410"/>
      <c r="AH262" s="1769"/>
      <c r="AI262" s="1769"/>
      <c r="AJ262" s="1769"/>
      <c r="AK262" s="176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58"/>
      <c r="N263" s="1358"/>
      <c r="O263" s="1358"/>
      <c r="P263" s="1358"/>
      <c r="Q263" s="1358"/>
      <c r="R263" s="1358"/>
      <c r="S263" s="4" t="s">
        <v>205</v>
      </c>
      <c r="T263" s="4"/>
      <c r="U263" s="1434"/>
      <c r="V263" s="1434"/>
      <c r="W263" s="1434"/>
      <c r="X263" s="4" t="s">
        <v>89</v>
      </c>
      <c r="Z263" s="1358"/>
      <c r="AA263" s="1358"/>
      <c r="AB263" s="1358"/>
      <c r="AC263" s="1358"/>
      <c r="AD263" s="1358"/>
      <c r="AE263" s="135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72"/>
      <c r="N264" s="1772"/>
      <c r="O264" s="1772"/>
      <c r="P264" s="1772"/>
      <c r="Q264" s="1772"/>
      <c r="R264" s="1772"/>
      <c r="S264" s="1772"/>
      <c r="T264" s="1772"/>
      <c r="U264" s="1772"/>
      <c r="V264" s="1772"/>
      <c r="W264" s="1772"/>
      <c r="X264" s="1772"/>
      <c r="Y264" s="1772"/>
      <c r="Z264" s="1772"/>
      <c r="AA264" s="1773"/>
      <c r="AB264" s="1773"/>
      <c r="AC264" s="1773"/>
      <c r="AD264" s="1773"/>
      <c r="AE264" s="177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467" t="s">
        <v>306</v>
      </c>
      <c r="N265" s="1467"/>
      <c r="O265" s="1467"/>
      <c r="P265" s="1467"/>
      <c r="Q265" s="1467"/>
      <c r="R265" s="1467"/>
      <c r="S265" s="1467"/>
      <c r="T265" s="1467"/>
      <c r="U265" s="204" t="s">
        <v>906</v>
      </c>
      <c r="V265" s="204"/>
      <c r="W265" s="204"/>
      <c r="X265" s="204"/>
      <c r="Y265" s="204"/>
      <c r="Z265" s="204"/>
      <c r="AA265" s="1768"/>
      <c r="AB265" s="1768"/>
      <c r="AC265" s="1768"/>
      <c r="AD265" s="1768"/>
      <c r="AE265" s="1768"/>
      <c r="AF265" s="1768"/>
      <c r="AG265" s="1768"/>
      <c r="AH265" s="1768"/>
      <c r="AI265" s="1768"/>
      <c r="AJ265" s="1768"/>
      <c r="AK265" s="176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0" t="str">
        <f>IFERROR(BO245,"")</f>
        <v>Joint Venture</v>
      </c>
      <c r="U267" s="1770"/>
      <c r="V267" s="1770"/>
      <c r="W267" s="1770"/>
      <c r="X267" s="177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0" t="s">
        <v>172</v>
      </c>
      <c r="E270" s="1410"/>
      <c r="F270" s="1410"/>
      <c r="G270" s="1410"/>
      <c r="H270" s="1410"/>
      <c r="J270" t="s">
        <v>278</v>
      </c>
      <c r="X270" s="1675">
        <v>45992</v>
      </c>
      <c r="Y270" s="1675"/>
      <c r="Z270" s="1675"/>
      <c r="AA270" s="1675"/>
      <c r="AB270" s="1675"/>
      <c r="AC270" s="1675"/>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12" t="s">
        <v>2637</v>
      </c>
      <c r="M274" s="1413"/>
      <c r="N274" s="1413"/>
      <c r="O274" s="1413"/>
      <c r="P274" s="1413"/>
      <c r="Q274" s="1413"/>
      <c r="R274" s="1413"/>
      <c r="S274" s="1413"/>
      <c r="T274" s="1413"/>
      <c r="U274" s="1413"/>
      <c r="V274" s="1413"/>
      <c r="W274" s="1413"/>
      <c r="X274" s="1413"/>
      <c r="Y274" s="1413"/>
      <c r="Z274" s="1413"/>
      <c r="AA274" s="1413"/>
      <c r="AB274" s="1413"/>
      <c r="AC274" s="1413"/>
      <c r="AD274" s="1413"/>
      <c r="AE274" s="1413"/>
      <c r="AF274" s="1413"/>
      <c r="AG274" s="1413"/>
      <c r="AH274" s="1413"/>
      <c r="AI274" s="1413"/>
      <c r="AJ274" s="141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59" t="s">
        <v>2638</v>
      </c>
      <c r="M275" s="1410"/>
      <c r="N275" s="1410"/>
      <c r="O275" s="1410"/>
      <c r="P275" s="1410"/>
      <c r="Q275" s="1410"/>
      <c r="R275" s="1410"/>
      <c r="S275" s="1410"/>
      <c r="T275" s="1410"/>
      <c r="U275" s="1410"/>
      <c r="V275" s="1410"/>
      <c r="W275" s="1410"/>
      <c r="X275" s="1410"/>
      <c r="Y275" s="1410"/>
      <c r="Z275" s="1410"/>
      <c r="AA275" s="1410"/>
      <c r="AB275" s="1410"/>
      <c r="AC275" s="1410"/>
      <c r="AD275" s="1410"/>
      <c r="AK275" s="3"/>
      <c r="AL275" s="3"/>
      <c r="AM275" s="3"/>
      <c r="AN275" s="3"/>
      <c r="AO275" s="3"/>
      <c r="AP275" s="3"/>
      <c r="AQ275" s="3"/>
      <c r="AR275" s="3"/>
      <c r="AS275" s="3"/>
      <c r="AT275" s="3"/>
      <c r="AU275" s="3"/>
      <c r="AV275" s="3"/>
      <c r="AW275" s="3"/>
      <c r="AX275" s="3"/>
      <c r="AY275" s="3"/>
    </row>
    <row r="276" spans="1:51" ht="12.95" customHeight="1">
      <c r="D276" s="4" t="s">
        <v>580</v>
      </c>
      <c r="E276" s="4"/>
      <c r="L276" s="1359" t="s">
        <v>68</v>
      </c>
      <c r="M276" s="1410"/>
      <c r="N276" s="1410"/>
      <c r="O276" s="1410"/>
      <c r="P276" s="1410"/>
      <c r="Q276" s="1410"/>
      <c r="R276" s="1410"/>
      <c r="S276" s="1410"/>
      <c r="U276" s="33" t="s">
        <v>86</v>
      </c>
      <c r="V276" s="1549" t="s">
        <v>2624</v>
      </c>
      <c r="W276" s="1434"/>
      <c r="X276" s="4" t="s">
        <v>583</v>
      </c>
      <c r="AB276" s="1410">
        <v>95811</v>
      </c>
      <c r="AC276" s="1410"/>
      <c r="AD276" s="141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59" t="s">
        <v>2639</v>
      </c>
      <c r="M277" s="1410"/>
      <c r="N277" s="1410"/>
      <c r="O277" s="1410"/>
      <c r="P277" s="1410"/>
      <c r="Q277" s="1410"/>
      <c r="R277" s="1410"/>
      <c r="S277" s="1410"/>
      <c r="T277" s="1410"/>
      <c r="U277" s="1410"/>
      <c r="V277" s="1410"/>
      <c r="W277" s="1410"/>
      <c r="X277" s="1410"/>
      <c r="Y277" s="1410"/>
      <c r="Z277" s="1410"/>
      <c r="AA277" s="1410"/>
      <c r="AB277" s="1410"/>
      <c r="AC277" s="1410"/>
      <c r="AD277" s="1410"/>
      <c r="AI277" s="4"/>
      <c r="AJ277" s="4"/>
      <c r="AK277" s="3"/>
      <c r="AL277" s="3"/>
      <c r="AM277" s="3"/>
      <c r="AN277" s="3"/>
      <c r="AO277" s="3"/>
      <c r="AP277" s="3"/>
      <c r="AQ277" s="3"/>
      <c r="AR277" s="3"/>
      <c r="AS277" s="3"/>
      <c r="AT277" s="3"/>
    </row>
    <row r="278" spans="1:51" ht="12.95" customHeight="1">
      <c r="D278" s="4" t="s">
        <v>88</v>
      </c>
      <c r="E278" s="4"/>
      <c r="F278" s="4"/>
      <c r="L278" s="1357" t="s">
        <v>2640</v>
      </c>
      <c r="M278" s="1358"/>
      <c r="N278" s="1358"/>
      <c r="O278" s="1358"/>
      <c r="P278" s="1358"/>
      <c r="Q278" s="1358"/>
      <c r="R278" s="4" t="s">
        <v>205</v>
      </c>
      <c r="S278" s="4"/>
      <c r="T278" s="1434"/>
      <c r="U278" s="1434"/>
      <c r="V278" s="1434"/>
      <c r="W278" s="4" t="s">
        <v>89</v>
      </c>
      <c r="Y278" s="1358"/>
      <c r="Z278" s="1358"/>
      <c r="AA278" s="1358"/>
      <c r="AB278" s="1358"/>
      <c r="AC278" s="1358"/>
      <c r="AD278" s="1358"/>
    </row>
    <row r="279" spans="1:51" ht="12.95" customHeight="1">
      <c r="D279" s="4" t="s">
        <v>90</v>
      </c>
      <c r="E279" s="4"/>
      <c r="F279" s="4"/>
      <c r="L279" s="1772" t="s">
        <v>2641</v>
      </c>
      <c r="M279" s="1772"/>
      <c r="N279" s="1772"/>
      <c r="O279" s="1772"/>
      <c r="P279" s="1772"/>
      <c r="Q279" s="1772"/>
      <c r="R279" s="1772"/>
      <c r="S279" s="1772"/>
      <c r="T279" s="1772"/>
      <c r="U279" s="1772"/>
      <c r="V279" s="1772"/>
      <c r="W279" s="1772"/>
      <c r="X279" s="1772"/>
      <c r="Y279" s="1772"/>
      <c r="Z279" s="1772"/>
      <c r="AA279" s="1772"/>
      <c r="AB279" s="1772"/>
      <c r="AC279" s="1772"/>
      <c r="AD279" s="1772"/>
      <c r="AF279" s="4"/>
      <c r="AG279" s="4"/>
      <c r="AH279" s="4"/>
      <c r="AI279" s="4"/>
      <c r="AJ279" s="4"/>
      <c r="AU279" s="3"/>
      <c r="AV279" s="3"/>
      <c r="AW279" s="3"/>
      <c r="AX279" s="3"/>
      <c r="AY279" s="3"/>
    </row>
    <row r="280" spans="1:51" ht="12.95" customHeight="1">
      <c r="D280" s="3" t="s">
        <v>623</v>
      </c>
      <c r="E280" s="3"/>
      <c r="F280" s="3"/>
      <c r="G280" s="3"/>
      <c r="H280" s="3"/>
      <c r="I280" s="3"/>
      <c r="L280" s="1549" t="s">
        <v>2642</v>
      </c>
      <c r="M280" s="1549"/>
      <c r="N280" s="1549"/>
      <c r="O280" s="1549"/>
      <c r="P280" s="1549"/>
      <c r="Q280" s="1549"/>
      <c r="R280" s="1549"/>
      <c r="S280" s="1549"/>
      <c r="T280" s="1549"/>
      <c r="U280" s="1549"/>
      <c r="V280" s="1549"/>
      <c r="W280" s="1549"/>
      <c r="X280" s="1549"/>
      <c r="Y280" s="1549"/>
      <c r="Z280" s="1549"/>
      <c r="AA280" s="1549"/>
      <c r="AB280" s="1549"/>
      <c r="AC280" s="1549"/>
      <c r="AD280" s="1549"/>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19" t="s">
        <v>541</v>
      </c>
      <c r="B282" s="1419"/>
      <c r="C282" s="1419"/>
      <c r="D282" s="1419"/>
      <c r="E282" s="1419"/>
      <c r="F282" s="1419"/>
      <c r="G282" s="1419"/>
      <c r="H282" s="1419"/>
      <c r="I282" s="1419"/>
      <c r="J282" s="1419"/>
      <c r="K282" s="1419"/>
      <c r="L282" s="1419"/>
      <c r="M282" s="1419"/>
      <c r="N282" s="1419"/>
      <c r="O282" s="1419"/>
      <c r="P282" s="1419"/>
      <c r="Q282" s="1419"/>
      <c r="R282" s="1419"/>
      <c r="S282" s="1419"/>
      <c r="T282" s="1419"/>
      <c r="U282" s="1419"/>
      <c r="V282" s="1419"/>
      <c r="W282" s="1419"/>
      <c r="X282" s="1419"/>
      <c r="Y282" s="1419"/>
      <c r="Z282" s="1419"/>
      <c r="AA282" s="1419"/>
      <c r="AB282" s="1419"/>
      <c r="AC282" s="1419"/>
      <c r="AD282" s="1419"/>
      <c r="AE282" s="1419"/>
      <c r="AF282" s="1419"/>
      <c r="AG282" s="1419"/>
      <c r="AH282" s="1419"/>
      <c r="AI282" s="1419"/>
      <c r="AJ282" s="1419"/>
      <c r="AK282" s="1419"/>
      <c r="AL282" s="1419"/>
      <c r="AM282" s="1419"/>
      <c r="AN282" s="1419"/>
      <c r="AO282" s="1419"/>
      <c r="AP282" s="1419"/>
      <c r="AQ282" s="1419"/>
      <c r="AR282" s="1419"/>
      <c r="AS282" s="1419"/>
      <c r="AT282" s="1419"/>
      <c r="AU282" s="95"/>
      <c r="AV282" s="95"/>
      <c r="AW282" s="95"/>
      <c r="AX282" s="95"/>
      <c r="AY282" s="95"/>
    </row>
    <row r="283" spans="1:51" ht="12.95" customHeight="1">
      <c r="A283" s="1419"/>
      <c r="B283" s="1419"/>
      <c r="C283" s="1419"/>
      <c r="D283" s="1419"/>
      <c r="E283" s="1419"/>
      <c r="F283" s="1419"/>
      <c r="G283" s="1419"/>
      <c r="H283" s="1419"/>
      <c r="I283" s="1419"/>
      <c r="J283" s="1419"/>
      <c r="K283" s="1419"/>
      <c r="L283" s="1419"/>
      <c r="M283" s="1419"/>
      <c r="N283" s="1419"/>
      <c r="O283" s="1419"/>
      <c r="P283" s="1419"/>
      <c r="Q283" s="1419"/>
      <c r="R283" s="1419"/>
      <c r="S283" s="1419"/>
      <c r="T283" s="1419"/>
      <c r="U283" s="1419"/>
      <c r="V283" s="1419"/>
      <c r="W283" s="1419"/>
      <c r="X283" s="1419"/>
      <c r="Y283" s="1419"/>
      <c r="Z283" s="1419"/>
      <c r="AA283" s="1419"/>
      <c r="AB283" s="1419"/>
      <c r="AC283" s="1419"/>
      <c r="AD283" s="1419"/>
      <c r="AE283" s="1419"/>
      <c r="AF283" s="1419"/>
      <c r="AG283" s="1419"/>
      <c r="AH283" s="1419"/>
      <c r="AI283" s="1419"/>
      <c r="AJ283" s="1419"/>
      <c r="AK283" s="1419"/>
      <c r="AL283" s="1419"/>
      <c r="AM283" s="1419"/>
      <c r="AN283" s="1419"/>
      <c r="AO283" s="1419"/>
      <c r="AP283" s="1419"/>
      <c r="AQ283" s="1419"/>
      <c r="AR283" s="1419"/>
      <c r="AS283" s="1419"/>
      <c r="AT283" s="141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59" t="s">
        <v>2612</v>
      </c>
      <c r="I287" s="1360"/>
      <c r="J287" s="1360"/>
      <c r="K287" s="1360"/>
      <c r="L287" s="1360"/>
      <c r="M287" s="1360"/>
      <c r="N287" s="1360"/>
      <c r="O287" s="1360"/>
      <c r="P287" s="1360"/>
      <c r="Q287" s="1360"/>
      <c r="R287" s="1360"/>
      <c r="T287" s="3" t="s">
        <v>567</v>
      </c>
      <c r="V287" s="3"/>
      <c r="W287" s="3"/>
      <c r="X287" s="3"/>
      <c r="Y287" s="3"/>
      <c r="AA287" s="1360" t="s">
        <v>2644</v>
      </c>
      <c r="AB287" s="1360"/>
      <c r="AC287" s="1360"/>
      <c r="AD287" s="1360"/>
      <c r="AE287" s="1360"/>
      <c r="AF287" s="1360"/>
      <c r="AG287" s="1360"/>
      <c r="AH287" s="1360"/>
      <c r="AI287" s="1360"/>
      <c r="AJ287" s="1360"/>
      <c r="AK287" s="1360"/>
    </row>
    <row r="288" spans="1:51" ht="12.95" customHeight="1">
      <c r="B288" s="3" t="s">
        <v>471</v>
      </c>
      <c r="C288" s="3"/>
      <c r="D288" s="3"/>
      <c r="E288" s="3"/>
      <c r="F288" s="3"/>
      <c r="H288" s="1467" t="s">
        <v>2622</v>
      </c>
      <c r="I288" s="1467"/>
      <c r="J288" s="1467"/>
      <c r="K288" s="1467"/>
      <c r="L288" s="1467"/>
      <c r="M288" s="1467"/>
      <c r="N288" s="1467"/>
      <c r="O288" s="1467"/>
      <c r="P288" s="1467"/>
      <c r="Q288" s="1467"/>
      <c r="R288" s="1467"/>
      <c r="T288" s="3" t="s">
        <v>471</v>
      </c>
      <c r="V288" s="3"/>
      <c r="W288" s="3"/>
      <c r="X288" s="3"/>
      <c r="Y288" s="3"/>
      <c r="AA288" s="1467" t="s">
        <v>2645</v>
      </c>
      <c r="AB288" s="1467"/>
      <c r="AC288" s="1467"/>
      <c r="AD288" s="1467"/>
      <c r="AE288" s="1467"/>
      <c r="AF288" s="1467"/>
      <c r="AG288" s="1467"/>
      <c r="AH288" s="1467"/>
      <c r="AI288" s="1467"/>
      <c r="AJ288" s="1467"/>
      <c r="AK288" s="1467"/>
    </row>
    <row r="289" spans="2:37" ht="12.95" customHeight="1">
      <c r="B289" s="3" t="s">
        <v>472</v>
      </c>
      <c r="C289" s="3"/>
      <c r="D289" s="3"/>
      <c r="E289" s="3"/>
      <c r="F289" s="3"/>
      <c r="H289" s="1549" t="s">
        <v>2643</v>
      </c>
      <c r="I289" s="1467"/>
      <c r="J289" s="1467"/>
      <c r="K289" s="1467"/>
      <c r="L289" s="1467"/>
      <c r="M289" s="1467"/>
      <c r="N289" s="1467"/>
      <c r="O289" s="1467"/>
      <c r="P289" s="1467"/>
      <c r="Q289" s="1467"/>
      <c r="R289" s="1467"/>
      <c r="T289" s="3" t="s">
        <v>75</v>
      </c>
      <c r="V289" s="3"/>
      <c r="W289" s="3"/>
      <c r="X289" s="3"/>
      <c r="Y289" s="3"/>
      <c r="AA289" s="1467" t="s">
        <v>2646</v>
      </c>
      <c r="AB289" s="1467"/>
      <c r="AC289" s="1467"/>
      <c r="AD289" s="1467"/>
      <c r="AE289" s="1467"/>
      <c r="AF289" s="1467"/>
      <c r="AG289" s="1467"/>
      <c r="AH289" s="1467"/>
      <c r="AI289" s="1467"/>
      <c r="AJ289" s="1467"/>
      <c r="AK289" s="1467"/>
    </row>
    <row r="290" spans="2:37" ht="12.95" customHeight="1">
      <c r="B290" s="3" t="s">
        <v>87</v>
      </c>
      <c r="C290" s="3"/>
      <c r="D290" s="3"/>
      <c r="E290" s="3"/>
      <c r="F290" s="3"/>
      <c r="H290" s="1549" t="s">
        <v>2625</v>
      </c>
      <c r="I290" s="1467"/>
      <c r="J290" s="1467"/>
      <c r="K290" s="1467"/>
      <c r="L290" s="1467"/>
      <c r="M290" s="1467"/>
      <c r="N290" s="1467"/>
      <c r="O290" s="1467"/>
      <c r="P290" s="1467"/>
      <c r="Q290" s="1467"/>
      <c r="R290" s="1467"/>
      <c r="T290" s="3" t="s">
        <v>87</v>
      </c>
      <c r="V290" s="3"/>
      <c r="W290" s="3"/>
      <c r="X290" s="3"/>
      <c r="Y290" s="3"/>
      <c r="AA290" s="1467" t="s">
        <v>2647</v>
      </c>
      <c r="AB290" s="1467"/>
      <c r="AC290" s="1467"/>
      <c r="AD290" s="1467"/>
      <c r="AE290" s="1467"/>
      <c r="AF290" s="1467"/>
      <c r="AG290" s="1467"/>
      <c r="AH290" s="1467"/>
      <c r="AI290" s="1467"/>
      <c r="AJ290" s="1467"/>
      <c r="AK290" s="1467"/>
    </row>
    <row r="291" spans="2:37" ht="12.95" customHeight="1">
      <c r="B291" s="3" t="s">
        <v>88</v>
      </c>
      <c r="C291" s="3"/>
      <c r="D291" s="3"/>
      <c r="E291" s="3"/>
      <c r="F291" s="3"/>
      <c r="G291" s="3"/>
      <c r="H291" s="1771" t="s">
        <v>2626</v>
      </c>
      <c r="I291" s="1420"/>
      <c r="J291" s="1420"/>
      <c r="K291" s="1420"/>
      <c r="L291" s="1420"/>
      <c r="M291" s="1420"/>
      <c r="N291" s="4" t="s">
        <v>205</v>
      </c>
      <c r="O291" s="4"/>
      <c r="P291" s="1410"/>
      <c r="Q291" s="1410"/>
      <c r="R291" s="1410"/>
      <c r="S291" s="3"/>
      <c r="T291" s="3" t="s">
        <v>88</v>
      </c>
      <c r="V291" s="3"/>
      <c r="W291" s="3"/>
      <c r="X291" s="3"/>
      <c r="Y291" s="3"/>
      <c r="AA291" s="1771" t="s">
        <v>2648</v>
      </c>
      <c r="AB291" s="1420"/>
      <c r="AC291" s="1420"/>
      <c r="AD291" s="1420"/>
      <c r="AE291" s="1420"/>
      <c r="AF291" s="1420"/>
      <c r="AG291" s="4" t="s">
        <v>205</v>
      </c>
      <c r="AH291" s="4"/>
      <c r="AI291" s="1410"/>
      <c r="AJ291" s="1410"/>
      <c r="AK291" s="1410"/>
    </row>
    <row r="292" spans="2:37" ht="12.95" customHeight="1">
      <c r="B292" s="3" t="s">
        <v>89</v>
      </c>
      <c r="C292" s="3"/>
      <c r="D292" s="3"/>
      <c r="E292" s="3"/>
      <c r="F292" s="3"/>
      <c r="G292" s="3"/>
      <c r="H292" s="1358"/>
      <c r="I292" s="1358"/>
      <c r="J292" s="1358"/>
      <c r="K292" s="1358"/>
      <c r="L292" s="1358"/>
      <c r="M292" s="1358"/>
      <c r="N292" s="4"/>
      <c r="O292" s="4"/>
      <c r="P292" s="35"/>
      <c r="Q292" s="35"/>
      <c r="R292" s="35"/>
      <c r="S292" s="3"/>
      <c r="T292" s="3" t="s">
        <v>89</v>
      </c>
      <c r="V292" s="3"/>
      <c r="W292" s="3"/>
      <c r="X292" s="3"/>
      <c r="Y292" s="3"/>
      <c r="AA292" s="1358"/>
      <c r="AB292" s="1358"/>
      <c r="AC292" s="1358"/>
      <c r="AD292" s="1358"/>
      <c r="AE292" s="1358"/>
      <c r="AF292" s="1358"/>
      <c r="AG292" s="4"/>
      <c r="AH292" s="4"/>
      <c r="AI292" s="35"/>
      <c r="AJ292" s="35"/>
      <c r="AK292" s="35"/>
    </row>
    <row r="293" spans="2:37" ht="12.95" customHeight="1">
      <c r="B293" s="3" t="s">
        <v>76</v>
      </c>
      <c r="C293" s="3"/>
      <c r="D293" s="3"/>
      <c r="E293" s="3"/>
      <c r="F293" s="3"/>
      <c r="G293" s="3"/>
      <c r="H293" s="1467" t="s">
        <v>2627</v>
      </c>
      <c r="I293" s="1467"/>
      <c r="J293" s="1467"/>
      <c r="K293" s="1467"/>
      <c r="L293" s="1467"/>
      <c r="M293" s="1467"/>
      <c r="N293" s="1360"/>
      <c r="O293" s="1360"/>
      <c r="P293" s="1360"/>
      <c r="Q293" s="1360"/>
      <c r="R293" s="1360"/>
      <c r="S293" s="3"/>
      <c r="T293" s="3" t="s">
        <v>76</v>
      </c>
      <c r="V293" s="3"/>
      <c r="W293" s="3"/>
      <c r="X293" s="3"/>
      <c r="Y293" s="3"/>
      <c r="AA293" s="1467" t="s">
        <v>2649</v>
      </c>
      <c r="AB293" s="1467"/>
      <c r="AC293" s="1467"/>
      <c r="AD293" s="1467"/>
      <c r="AE293" s="1467"/>
      <c r="AF293" s="1467"/>
      <c r="AG293" s="1360"/>
      <c r="AH293" s="1360"/>
      <c r="AI293" s="1360"/>
      <c r="AJ293" s="1360"/>
      <c r="AK293" s="136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60" t="s">
        <v>2637</v>
      </c>
      <c r="I295" s="1360"/>
      <c r="J295" s="1360"/>
      <c r="K295" s="1360"/>
      <c r="L295" s="1360"/>
      <c r="M295" s="1360"/>
      <c r="N295" s="1360"/>
      <c r="O295" s="1360"/>
      <c r="P295" s="1360"/>
      <c r="Q295" s="1360"/>
      <c r="R295" s="1360"/>
      <c r="T295" s="3" t="s">
        <v>363</v>
      </c>
      <c r="V295" s="3"/>
      <c r="W295" s="3"/>
      <c r="X295" s="3"/>
      <c r="Y295" s="3"/>
      <c r="AA295" s="1360" t="s">
        <v>2652</v>
      </c>
      <c r="AB295" s="1360"/>
      <c r="AC295" s="1360"/>
      <c r="AD295" s="1360"/>
      <c r="AE295" s="1360"/>
      <c r="AF295" s="1360"/>
      <c r="AG295" s="1360"/>
      <c r="AH295" s="1360"/>
      <c r="AI295" s="1360"/>
      <c r="AJ295" s="1360"/>
      <c r="AK295" s="1360"/>
    </row>
    <row r="296" spans="2:37" ht="12.95" customHeight="1">
      <c r="B296" s="3" t="s">
        <v>471</v>
      </c>
      <c r="C296" s="3"/>
      <c r="D296" s="3"/>
      <c r="E296" s="3"/>
      <c r="F296" s="3"/>
      <c r="H296" s="1467" t="s">
        <v>2638</v>
      </c>
      <c r="I296" s="1467"/>
      <c r="J296" s="1467"/>
      <c r="K296" s="1467"/>
      <c r="L296" s="1467"/>
      <c r="M296" s="1467"/>
      <c r="N296" s="1467"/>
      <c r="O296" s="1467"/>
      <c r="P296" s="1467"/>
      <c r="Q296" s="1467"/>
      <c r="R296" s="1467"/>
      <c r="T296" s="3" t="s">
        <v>471</v>
      </c>
      <c r="V296" s="3"/>
      <c r="W296" s="3"/>
      <c r="X296" s="3"/>
      <c r="Y296" s="3"/>
      <c r="AA296" s="1467" t="s">
        <v>2653</v>
      </c>
      <c r="AB296" s="1467"/>
      <c r="AC296" s="1467"/>
      <c r="AD296" s="1467"/>
      <c r="AE296" s="1467"/>
      <c r="AF296" s="1467"/>
      <c r="AG296" s="1467"/>
      <c r="AH296" s="1467"/>
      <c r="AI296" s="1467"/>
      <c r="AJ296" s="1467"/>
      <c r="AK296" s="1467"/>
    </row>
    <row r="297" spans="2:37" ht="12.95" customHeight="1">
      <c r="B297" s="3" t="s">
        <v>472</v>
      </c>
      <c r="C297" s="3"/>
      <c r="D297" s="3"/>
      <c r="E297" s="3"/>
      <c r="F297" s="3"/>
      <c r="H297" s="1467" t="s">
        <v>2650</v>
      </c>
      <c r="I297" s="1467"/>
      <c r="J297" s="1467"/>
      <c r="K297" s="1467"/>
      <c r="L297" s="1467"/>
      <c r="M297" s="1467"/>
      <c r="N297" s="1467"/>
      <c r="O297" s="1467"/>
      <c r="P297" s="1467"/>
      <c r="Q297" s="1467"/>
      <c r="R297" s="1467"/>
      <c r="T297" s="3" t="s">
        <v>75</v>
      </c>
      <c r="V297" s="3"/>
      <c r="W297" s="3"/>
      <c r="X297" s="3"/>
      <c r="Y297" s="3"/>
      <c r="AA297" s="1467" t="s">
        <v>2654</v>
      </c>
      <c r="AB297" s="1467"/>
      <c r="AC297" s="1467"/>
      <c r="AD297" s="1467"/>
      <c r="AE297" s="1467"/>
      <c r="AF297" s="1467"/>
      <c r="AG297" s="1467"/>
      <c r="AH297" s="1467"/>
      <c r="AI297" s="1467"/>
      <c r="AJ297" s="1467"/>
      <c r="AK297" s="1467"/>
    </row>
    <row r="298" spans="2:37" ht="12.95" customHeight="1">
      <c r="B298" s="3" t="s">
        <v>87</v>
      </c>
      <c r="C298" s="3"/>
      <c r="D298" s="3"/>
      <c r="E298" s="3"/>
      <c r="F298" s="3"/>
      <c r="H298" s="1549" t="s">
        <v>2651</v>
      </c>
      <c r="I298" s="1467"/>
      <c r="J298" s="1467"/>
      <c r="K298" s="1467"/>
      <c r="L298" s="1467"/>
      <c r="M298" s="1467"/>
      <c r="N298" s="1467"/>
      <c r="O298" s="1467"/>
      <c r="P298" s="1467"/>
      <c r="Q298" s="1467"/>
      <c r="R298" s="1467"/>
      <c r="T298" s="3" t="s">
        <v>87</v>
      </c>
      <c r="V298" s="3"/>
      <c r="W298" s="3"/>
      <c r="X298" s="3"/>
      <c r="Y298" s="3"/>
      <c r="AA298" s="1467" t="s">
        <v>2655</v>
      </c>
      <c r="AB298" s="1467"/>
      <c r="AC298" s="1467"/>
      <c r="AD298" s="1467"/>
      <c r="AE298" s="1467"/>
      <c r="AF298" s="1467"/>
      <c r="AG298" s="1467"/>
      <c r="AH298" s="1467"/>
      <c r="AI298" s="1467"/>
      <c r="AJ298" s="1467"/>
      <c r="AK298" s="1467"/>
    </row>
    <row r="299" spans="2:37" ht="12.95" customHeight="1">
      <c r="B299" s="3" t="s">
        <v>88</v>
      </c>
      <c r="C299" s="3"/>
      <c r="D299" s="3"/>
      <c r="E299" s="3"/>
      <c r="F299" s="3"/>
      <c r="G299" s="3"/>
      <c r="H299" s="1771" t="s">
        <v>2640</v>
      </c>
      <c r="I299" s="1420"/>
      <c r="J299" s="1420"/>
      <c r="K299" s="1420"/>
      <c r="L299" s="1420"/>
      <c r="M299" s="1420"/>
      <c r="N299" s="4" t="s">
        <v>205</v>
      </c>
      <c r="O299" s="4"/>
      <c r="P299" s="1410"/>
      <c r="Q299" s="1410"/>
      <c r="R299" s="1410"/>
      <c r="S299" s="3"/>
      <c r="T299" s="3" t="s">
        <v>88</v>
      </c>
      <c r="V299" s="3"/>
      <c r="W299" s="3"/>
      <c r="X299" s="3"/>
      <c r="Y299" s="3"/>
      <c r="AA299" s="1771" t="s">
        <v>2656</v>
      </c>
      <c r="AB299" s="1420"/>
      <c r="AC299" s="1420"/>
      <c r="AD299" s="1420"/>
      <c r="AE299" s="1420"/>
      <c r="AF299" s="1420"/>
      <c r="AG299" s="4" t="s">
        <v>205</v>
      </c>
      <c r="AH299" s="4"/>
      <c r="AI299" s="1410"/>
      <c r="AJ299" s="1410"/>
      <c r="AK299" s="1410"/>
    </row>
    <row r="300" spans="2:37" ht="12.95" customHeight="1">
      <c r="B300" s="3" t="s">
        <v>89</v>
      </c>
      <c r="C300" s="3"/>
      <c r="D300" s="3"/>
      <c r="E300" s="3"/>
      <c r="F300" s="3"/>
      <c r="G300" s="3"/>
      <c r="H300" s="1358"/>
      <c r="I300" s="1358"/>
      <c r="J300" s="1358"/>
      <c r="K300" s="1358"/>
      <c r="L300" s="1358"/>
      <c r="M300" s="1358"/>
      <c r="N300" s="4"/>
      <c r="O300" s="4"/>
      <c r="P300" s="35"/>
      <c r="Q300" s="35"/>
      <c r="R300" s="35"/>
      <c r="S300" s="3"/>
      <c r="T300" s="3" t="s">
        <v>89</v>
      </c>
      <c r="V300" s="3"/>
      <c r="W300" s="3"/>
      <c r="X300" s="3"/>
      <c r="Y300" s="3"/>
      <c r="AA300" s="1358"/>
      <c r="AB300" s="1358"/>
      <c r="AC300" s="1358"/>
      <c r="AD300" s="1358"/>
      <c r="AE300" s="1358"/>
      <c r="AF300" s="1358"/>
      <c r="AG300" s="4"/>
      <c r="AH300" s="4"/>
      <c r="AI300" s="35"/>
      <c r="AJ300" s="35"/>
      <c r="AK300" s="35"/>
    </row>
    <row r="301" spans="2:37" ht="12.95" customHeight="1">
      <c r="B301" s="3" t="s">
        <v>76</v>
      </c>
      <c r="C301" s="3"/>
      <c r="D301" s="3"/>
      <c r="E301" s="3"/>
      <c r="F301" s="3"/>
      <c r="G301" s="3"/>
      <c r="H301" s="1467" t="s">
        <v>2641</v>
      </c>
      <c r="I301" s="1467"/>
      <c r="J301" s="1467"/>
      <c r="K301" s="1467"/>
      <c r="L301" s="1467"/>
      <c r="M301" s="1467"/>
      <c r="N301" s="1360"/>
      <c r="O301" s="1360"/>
      <c r="P301" s="1360"/>
      <c r="Q301" s="1360"/>
      <c r="R301" s="1360"/>
      <c r="S301" s="3"/>
      <c r="T301" s="3" t="s">
        <v>76</v>
      </c>
      <c r="V301" s="3"/>
      <c r="W301" s="3"/>
      <c r="X301" s="3"/>
      <c r="Y301" s="3"/>
      <c r="AA301" s="1467" t="s">
        <v>2657</v>
      </c>
      <c r="AB301" s="1467"/>
      <c r="AC301" s="1467"/>
      <c r="AD301" s="1467"/>
      <c r="AE301" s="1467"/>
      <c r="AF301" s="1467"/>
      <c r="AG301" s="1360"/>
      <c r="AH301" s="1360"/>
      <c r="AI301" s="1360"/>
      <c r="AJ301" s="1360"/>
      <c r="AK301" s="1360"/>
    </row>
    <row r="302" spans="2:37" ht="12.95" customHeight="1"/>
    <row r="303" spans="2:37" ht="12.95" customHeight="1">
      <c r="B303" s="3" t="s">
        <v>77</v>
      </c>
      <c r="C303" s="3"/>
      <c r="D303" s="3"/>
      <c r="E303" s="3"/>
      <c r="F303" s="3"/>
      <c r="H303" s="1360" t="s">
        <v>2658</v>
      </c>
      <c r="I303" s="1360"/>
      <c r="J303" s="1360"/>
      <c r="K303" s="1360"/>
      <c r="L303" s="1360"/>
      <c r="M303" s="1360"/>
      <c r="N303" s="1360"/>
      <c r="O303" s="1360"/>
      <c r="P303" s="1360"/>
      <c r="Q303" s="1360"/>
      <c r="R303" s="1360"/>
      <c r="T303" s="4" t="s">
        <v>878</v>
      </c>
      <c r="V303" s="3"/>
      <c r="W303" s="3"/>
      <c r="X303" s="3"/>
      <c r="Y303" s="3"/>
      <c r="AA303" s="1360" t="s">
        <v>591</v>
      </c>
      <c r="AB303" s="1360"/>
      <c r="AC303" s="1360"/>
      <c r="AD303" s="1360"/>
      <c r="AE303" s="1360"/>
      <c r="AF303" s="1360"/>
      <c r="AG303" s="1360"/>
      <c r="AH303" s="1360"/>
      <c r="AI303" s="1360"/>
      <c r="AJ303" s="1360"/>
      <c r="AK303" s="1360"/>
    </row>
    <row r="304" spans="2:37" ht="12.95" customHeight="1">
      <c r="B304" s="3" t="s">
        <v>471</v>
      </c>
      <c r="C304" s="3"/>
      <c r="D304" s="3"/>
      <c r="E304" s="3"/>
      <c r="F304" s="3"/>
      <c r="H304" s="1467" t="s">
        <v>2659</v>
      </c>
      <c r="I304" s="1467"/>
      <c r="J304" s="1467"/>
      <c r="K304" s="1467"/>
      <c r="L304" s="1467"/>
      <c r="M304" s="1467"/>
      <c r="N304" s="1467"/>
      <c r="O304" s="1467"/>
      <c r="P304" s="1467"/>
      <c r="Q304" s="1467"/>
      <c r="R304" s="1467"/>
      <c r="T304" s="3" t="s">
        <v>471</v>
      </c>
      <c r="V304" s="3"/>
      <c r="W304" s="3"/>
      <c r="X304" s="3"/>
      <c r="Y304" s="3"/>
      <c r="AA304" s="1467"/>
      <c r="AB304" s="1467"/>
      <c r="AC304" s="1467"/>
      <c r="AD304" s="1467"/>
      <c r="AE304" s="1467"/>
      <c r="AF304" s="1467"/>
      <c r="AG304" s="1467"/>
      <c r="AH304" s="1467"/>
      <c r="AI304" s="1467"/>
      <c r="AJ304" s="1467"/>
      <c r="AK304" s="1467"/>
    </row>
    <row r="305" spans="2:37" ht="12.95" customHeight="1">
      <c r="B305" s="3" t="s">
        <v>472</v>
      </c>
      <c r="C305" s="3"/>
      <c r="D305" s="3"/>
      <c r="E305" s="3"/>
      <c r="F305" s="3"/>
      <c r="H305" s="1467" t="s">
        <v>2660</v>
      </c>
      <c r="I305" s="1467"/>
      <c r="J305" s="1467"/>
      <c r="K305" s="1467"/>
      <c r="L305" s="1467"/>
      <c r="M305" s="1467"/>
      <c r="N305" s="1467"/>
      <c r="O305" s="1467"/>
      <c r="P305" s="1467"/>
      <c r="Q305" s="1467"/>
      <c r="R305" s="1467"/>
      <c r="T305" s="3" t="s">
        <v>75</v>
      </c>
      <c r="V305" s="3"/>
      <c r="W305" s="3"/>
      <c r="X305" s="3"/>
      <c r="Y305" s="3"/>
      <c r="AA305" s="1467"/>
      <c r="AB305" s="1467"/>
      <c r="AC305" s="1467"/>
      <c r="AD305" s="1467"/>
      <c r="AE305" s="1467"/>
      <c r="AF305" s="1467"/>
      <c r="AG305" s="1467"/>
      <c r="AH305" s="1467"/>
      <c r="AI305" s="1467"/>
      <c r="AJ305" s="1467"/>
      <c r="AK305" s="1467"/>
    </row>
    <row r="306" spans="2:37" ht="12.95" customHeight="1">
      <c r="B306" s="3" t="s">
        <v>87</v>
      </c>
      <c r="C306" s="3"/>
      <c r="D306" s="3"/>
      <c r="E306" s="3"/>
      <c r="F306" s="3"/>
      <c r="H306" s="1467" t="s">
        <v>2661</v>
      </c>
      <c r="I306" s="1467"/>
      <c r="J306" s="1467"/>
      <c r="K306" s="1467"/>
      <c r="L306" s="1467"/>
      <c r="M306" s="1467"/>
      <c r="N306" s="1467"/>
      <c r="O306" s="1467"/>
      <c r="P306" s="1467"/>
      <c r="Q306" s="1467"/>
      <c r="R306" s="1467"/>
      <c r="T306" s="3" t="s">
        <v>87</v>
      </c>
      <c r="V306" s="3"/>
      <c r="W306" s="3"/>
      <c r="X306" s="3"/>
      <c r="Y306" s="3"/>
      <c r="AA306" s="1467"/>
      <c r="AB306" s="1467"/>
      <c r="AC306" s="1467"/>
      <c r="AD306" s="1467"/>
      <c r="AE306" s="1467"/>
      <c r="AF306" s="1467"/>
      <c r="AG306" s="1467"/>
      <c r="AH306" s="1467"/>
      <c r="AI306" s="1467"/>
      <c r="AJ306" s="1467"/>
      <c r="AK306" s="1467"/>
    </row>
    <row r="307" spans="2:37" ht="12.95" customHeight="1">
      <c r="B307" s="3" t="s">
        <v>88</v>
      </c>
      <c r="C307" s="3"/>
      <c r="D307" s="3"/>
      <c r="E307" s="3"/>
      <c r="F307" s="3"/>
      <c r="G307" s="3"/>
      <c r="H307" s="1771" t="s">
        <v>2662</v>
      </c>
      <c r="I307" s="1420"/>
      <c r="J307" s="1420"/>
      <c r="K307" s="1420"/>
      <c r="L307" s="1420"/>
      <c r="M307" s="1420"/>
      <c r="N307" s="4" t="s">
        <v>205</v>
      </c>
      <c r="O307" s="4"/>
      <c r="P307" s="1410"/>
      <c r="Q307" s="1410"/>
      <c r="R307" s="1410"/>
      <c r="S307" s="3"/>
      <c r="T307" s="3" t="s">
        <v>88</v>
      </c>
      <c r="V307" s="3"/>
      <c r="W307" s="3"/>
      <c r="X307" s="3"/>
      <c r="Y307" s="3"/>
      <c r="AA307" s="1420"/>
      <c r="AB307" s="1420"/>
      <c r="AC307" s="1420"/>
      <c r="AD307" s="1420"/>
      <c r="AE307" s="1420"/>
      <c r="AF307" s="1420"/>
      <c r="AG307" s="4" t="s">
        <v>205</v>
      </c>
      <c r="AH307" s="4"/>
      <c r="AI307" s="1410"/>
      <c r="AJ307" s="1410"/>
      <c r="AK307" s="1410"/>
    </row>
    <row r="308" spans="2:37" ht="12.95" customHeight="1">
      <c r="B308" s="3" t="s">
        <v>89</v>
      </c>
      <c r="C308" s="3"/>
      <c r="D308" s="3"/>
      <c r="E308" s="3"/>
      <c r="F308" s="3"/>
      <c r="G308" s="3"/>
      <c r="H308" s="1358"/>
      <c r="I308" s="1358"/>
      <c r="J308" s="1358"/>
      <c r="K308" s="1358"/>
      <c r="L308" s="1358"/>
      <c r="M308" s="1358"/>
      <c r="N308" s="4"/>
      <c r="O308" s="4"/>
      <c r="P308" s="35"/>
      <c r="Q308" s="35"/>
      <c r="R308" s="35"/>
      <c r="S308" s="3"/>
      <c r="T308" s="3" t="s">
        <v>89</v>
      </c>
      <c r="V308" s="3"/>
      <c r="W308" s="3"/>
      <c r="X308" s="3"/>
      <c r="Y308" s="3"/>
      <c r="AA308" s="1358"/>
      <c r="AB308" s="1358"/>
      <c r="AC308" s="1358"/>
      <c r="AD308" s="1358"/>
      <c r="AE308" s="1358"/>
      <c r="AF308" s="1358"/>
      <c r="AG308" s="4"/>
      <c r="AH308" s="4"/>
      <c r="AI308" s="35"/>
      <c r="AJ308" s="35"/>
      <c r="AK308" s="35"/>
    </row>
    <row r="309" spans="2:37" ht="12.95" customHeight="1">
      <c r="B309" s="3" t="s">
        <v>76</v>
      </c>
      <c r="C309" s="3"/>
      <c r="D309" s="3"/>
      <c r="E309" s="3"/>
      <c r="F309" s="3"/>
      <c r="G309" s="3"/>
      <c r="H309" s="1467" t="s">
        <v>2663</v>
      </c>
      <c r="I309" s="1467"/>
      <c r="J309" s="1467"/>
      <c r="K309" s="1467"/>
      <c r="L309" s="1467"/>
      <c r="M309" s="1467"/>
      <c r="N309" s="1360"/>
      <c r="O309" s="1360"/>
      <c r="P309" s="1360"/>
      <c r="Q309" s="1360"/>
      <c r="R309" s="1360"/>
      <c r="S309" s="3"/>
      <c r="T309" s="3" t="s">
        <v>76</v>
      </c>
      <c r="V309" s="3"/>
      <c r="W309" s="3"/>
      <c r="X309" s="3"/>
      <c r="Y309" s="3"/>
      <c r="AA309" s="1467"/>
      <c r="AB309" s="1467"/>
      <c r="AC309" s="1467"/>
      <c r="AD309" s="1467"/>
      <c r="AE309" s="1467"/>
      <c r="AF309" s="1467"/>
      <c r="AG309" s="1360"/>
      <c r="AH309" s="1360"/>
      <c r="AI309" s="1360"/>
      <c r="AJ309" s="1360"/>
      <c r="AK309" s="136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60" t="s">
        <v>2664</v>
      </c>
      <c r="I311" s="1360"/>
      <c r="J311" s="1360"/>
      <c r="K311" s="1360"/>
      <c r="L311" s="1360"/>
      <c r="M311" s="1360"/>
      <c r="N311" s="1360"/>
      <c r="O311" s="1360"/>
      <c r="P311" s="1360"/>
      <c r="Q311" s="1360"/>
      <c r="R311" s="1360"/>
      <c r="S311" s="3"/>
      <c r="T311" s="3" t="s">
        <v>364</v>
      </c>
      <c r="V311" s="3"/>
      <c r="W311" s="3"/>
      <c r="X311" s="3"/>
      <c r="Y311" s="3"/>
      <c r="AA311" s="1359" t="s">
        <v>2670</v>
      </c>
      <c r="AB311" s="1360"/>
      <c r="AC311" s="1360"/>
      <c r="AD311" s="1360"/>
      <c r="AE311" s="1360"/>
      <c r="AF311" s="1360"/>
      <c r="AG311" s="1360"/>
      <c r="AH311" s="1360"/>
      <c r="AI311" s="1360"/>
      <c r="AJ311" s="1360"/>
      <c r="AK311" s="1360"/>
    </row>
    <row r="312" spans="2:37" ht="12.95" customHeight="1">
      <c r="B312" s="3" t="s">
        <v>471</v>
      </c>
      <c r="C312" s="3"/>
      <c r="D312" s="3"/>
      <c r="E312" s="3"/>
      <c r="F312" s="3"/>
      <c r="H312" s="1467" t="s">
        <v>2665</v>
      </c>
      <c r="I312" s="1467"/>
      <c r="J312" s="1467"/>
      <c r="K312" s="1467"/>
      <c r="L312" s="1467"/>
      <c r="M312" s="1467"/>
      <c r="N312" s="1467"/>
      <c r="O312" s="1467"/>
      <c r="P312" s="1467"/>
      <c r="Q312" s="1467"/>
      <c r="R312" s="1467"/>
      <c r="S312" s="3"/>
      <c r="T312" s="3" t="s">
        <v>471</v>
      </c>
      <c r="V312" s="3"/>
      <c r="W312" s="3"/>
      <c r="X312" s="3"/>
      <c r="Y312" s="3"/>
      <c r="AA312" s="1549" t="s">
        <v>2671</v>
      </c>
      <c r="AB312" s="1467"/>
      <c r="AC312" s="1467"/>
      <c r="AD312" s="1467"/>
      <c r="AE312" s="1467"/>
      <c r="AF312" s="1467"/>
      <c r="AG312" s="1467"/>
      <c r="AH312" s="1467"/>
      <c r="AI312" s="1467"/>
      <c r="AJ312" s="1467"/>
      <c r="AK312" s="1467"/>
    </row>
    <row r="313" spans="2:37" ht="12.95" customHeight="1">
      <c r="B313" s="3" t="s">
        <v>472</v>
      </c>
      <c r="C313" s="3"/>
      <c r="D313" s="3"/>
      <c r="E313" s="3"/>
      <c r="F313" s="3"/>
      <c r="H313" s="1467" t="s">
        <v>2666</v>
      </c>
      <c r="I313" s="1467"/>
      <c r="J313" s="1467"/>
      <c r="K313" s="1467"/>
      <c r="L313" s="1467"/>
      <c r="M313" s="1467"/>
      <c r="N313" s="1467"/>
      <c r="O313" s="1467"/>
      <c r="P313" s="1467"/>
      <c r="Q313" s="1467"/>
      <c r="R313" s="1467"/>
      <c r="S313" s="3"/>
      <c r="T313" s="3" t="s">
        <v>75</v>
      </c>
      <c r="V313" s="3"/>
      <c r="W313" s="3"/>
      <c r="X313" s="3"/>
      <c r="Y313" s="3"/>
      <c r="AA313" s="1549" t="s">
        <v>2672</v>
      </c>
      <c r="AB313" s="1467"/>
      <c r="AC313" s="1467"/>
      <c r="AD313" s="1467"/>
      <c r="AE313" s="1467"/>
      <c r="AF313" s="1467"/>
      <c r="AG313" s="1467"/>
      <c r="AH313" s="1467"/>
      <c r="AI313" s="1467"/>
      <c r="AJ313" s="1467"/>
      <c r="AK313" s="1467"/>
    </row>
    <row r="314" spans="2:37" ht="12.95" customHeight="1">
      <c r="B314" s="3" t="s">
        <v>87</v>
      </c>
      <c r="C314" s="3"/>
      <c r="D314" s="3"/>
      <c r="E314" s="3"/>
      <c r="F314" s="3"/>
      <c r="H314" s="1467" t="s">
        <v>2667</v>
      </c>
      <c r="I314" s="1467"/>
      <c r="J314" s="1467"/>
      <c r="K314" s="1467"/>
      <c r="L314" s="1467"/>
      <c r="M314" s="1467"/>
      <c r="N314" s="1467"/>
      <c r="O314" s="1467"/>
      <c r="P314" s="1467"/>
      <c r="Q314" s="1467"/>
      <c r="R314" s="1467"/>
      <c r="S314" s="3"/>
      <c r="T314" s="3" t="s">
        <v>87</v>
      </c>
      <c r="V314" s="3"/>
      <c r="W314" s="3"/>
      <c r="X314" s="3"/>
      <c r="Y314" s="3"/>
      <c r="AA314" s="1549" t="s">
        <v>2673</v>
      </c>
      <c r="AB314" s="1467"/>
      <c r="AC314" s="1467"/>
      <c r="AD314" s="1467"/>
      <c r="AE314" s="1467"/>
      <c r="AF314" s="1467"/>
      <c r="AG314" s="1467"/>
      <c r="AH314" s="1467"/>
      <c r="AI314" s="1467"/>
      <c r="AJ314" s="1467"/>
      <c r="AK314" s="1467"/>
    </row>
    <row r="315" spans="2:37" ht="12.95" customHeight="1">
      <c r="B315" s="3" t="s">
        <v>88</v>
      </c>
      <c r="C315" s="3"/>
      <c r="D315" s="3"/>
      <c r="E315" s="3"/>
      <c r="F315" s="3"/>
      <c r="G315" s="3"/>
      <c r="H315" s="1771" t="s">
        <v>2668</v>
      </c>
      <c r="I315" s="1420"/>
      <c r="J315" s="1420"/>
      <c r="K315" s="1420"/>
      <c r="L315" s="1420"/>
      <c r="M315" s="1420"/>
      <c r="N315" s="4" t="s">
        <v>205</v>
      </c>
      <c r="O315" s="4"/>
      <c r="P315" s="1410"/>
      <c r="Q315" s="1410"/>
      <c r="R315" s="1410"/>
      <c r="S315" s="3"/>
      <c r="T315" s="3" t="s">
        <v>88</v>
      </c>
      <c r="V315" s="3"/>
      <c r="W315" s="3"/>
      <c r="X315" s="3"/>
      <c r="Y315" s="3"/>
      <c r="AA315" s="1771" t="s">
        <v>2674</v>
      </c>
      <c r="AB315" s="1420"/>
      <c r="AC315" s="1420"/>
      <c r="AD315" s="1420"/>
      <c r="AE315" s="1420"/>
      <c r="AF315" s="1420"/>
      <c r="AG315" s="4" t="s">
        <v>205</v>
      </c>
      <c r="AH315" s="4"/>
      <c r="AI315" s="1410"/>
      <c r="AJ315" s="1410"/>
      <c r="AK315" s="1410"/>
    </row>
    <row r="316" spans="2:37" ht="12.95" customHeight="1">
      <c r="B316" s="3" t="s">
        <v>89</v>
      </c>
      <c r="C316" s="3"/>
      <c r="D316" s="3"/>
      <c r="E316" s="3"/>
      <c r="F316" s="3"/>
      <c r="G316" s="3"/>
      <c r="H316" s="1358"/>
      <c r="I316" s="1358"/>
      <c r="J316" s="1358"/>
      <c r="K316" s="1358"/>
      <c r="L316" s="1358"/>
      <c r="M316" s="1358"/>
      <c r="N316" s="4"/>
      <c r="O316" s="4"/>
      <c r="P316" s="35"/>
      <c r="Q316" s="35"/>
      <c r="R316" s="35"/>
      <c r="S316" s="3"/>
      <c r="T316" s="3" t="s">
        <v>89</v>
      </c>
      <c r="V316" s="3"/>
      <c r="W316" s="3"/>
      <c r="X316" s="3"/>
      <c r="Y316" s="3"/>
      <c r="AA316" s="1358"/>
      <c r="AB316" s="1358"/>
      <c r="AC316" s="1358"/>
      <c r="AD316" s="1358"/>
      <c r="AE316" s="1358"/>
      <c r="AF316" s="1358"/>
      <c r="AG316" s="4"/>
      <c r="AH316" s="4"/>
      <c r="AI316" s="35"/>
      <c r="AJ316" s="35"/>
      <c r="AK316" s="35"/>
    </row>
    <row r="317" spans="2:37" ht="12.95" customHeight="1">
      <c r="B317" s="3" t="s">
        <v>76</v>
      </c>
      <c r="C317" s="3"/>
      <c r="D317" s="3"/>
      <c r="E317" s="3"/>
      <c r="F317" s="3"/>
      <c r="G317" s="3"/>
      <c r="H317" s="1467" t="s">
        <v>2669</v>
      </c>
      <c r="I317" s="1467"/>
      <c r="J317" s="1467"/>
      <c r="K317" s="1467"/>
      <c r="L317" s="1467"/>
      <c r="M317" s="1467"/>
      <c r="N317" s="1360"/>
      <c r="O317" s="1360"/>
      <c r="P317" s="1360"/>
      <c r="Q317" s="1360"/>
      <c r="R317" s="1360"/>
      <c r="S317" s="3"/>
      <c r="T317" s="3" t="s">
        <v>76</v>
      </c>
      <c r="V317" s="3"/>
      <c r="W317" s="3"/>
      <c r="X317" s="3"/>
      <c r="Y317" s="3"/>
      <c r="AA317" s="1467" t="s">
        <v>2675</v>
      </c>
      <c r="AB317" s="1467"/>
      <c r="AC317" s="1467"/>
      <c r="AD317" s="1467"/>
      <c r="AE317" s="1467"/>
      <c r="AF317" s="1467"/>
      <c r="AG317" s="1360"/>
      <c r="AH317" s="1360"/>
      <c r="AI317" s="1360"/>
      <c r="AJ317" s="1360"/>
      <c r="AK317" s="1360"/>
    </row>
    <row r="318" spans="2:37" ht="12.95" customHeight="1"/>
    <row r="319" spans="2:37" ht="12.95" customHeight="1">
      <c r="B319" s="4" t="s">
        <v>908</v>
      </c>
      <c r="C319" s="3"/>
      <c r="D319" s="3"/>
      <c r="E319" s="3"/>
      <c r="F319" s="3"/>
      <c r="H319" s="1360" t="s">
        <v>2637</v>
      </c>
      <c r="I319" s="1360"/>
      <c r="J319" s="1360"/>
      <c r="K319" s="1360"/>
      <c r="L319" s="1360"/>
      <c r="M319" s="1360"/>
      <c r="N319" s="1360"/>
      <c r="O319" s="1360"/>
      <c r="P319" s="1360"/>
      <c r="Q319" s="1360"/>
      <c r="R319" s="1360"/>
      <c r="T319" s="3" t="s">
        <v>365</v>
      </c>
      <c r="V319" s="3"/>
      <c r="W319" s="3"/>
      <c r="X319" s="3"/>
      <c r="Y319" s="3"/>
      <c r="AA319" s="1360" t="s">
        <v>2676</v>
      </c>
      <c r="AB319" s="1360"/>
      <c r="AC319" s="1360"/>
      <c r="AD319" s="1360"/>
      <c r="AE319" s="1360"/>
      <c r="AF319" s="1360"/>
      <c r="AG319" s="1360"/>
      <c r="AH319" s="1360"/>
      <c r="AI319" s="1360"/>
      <c r="AJ319" s="1360"/>
      <c r="AK319" s="1360"/>
    </row>
    <row r="320" spans="2:37" ht="12.95" customHeight="1">
      <c r="B320" s="3" t="s">
        <v>471</v>
      </c>
      <c r="C320" s="3"/>
      <c r="D320" s="3"/>
      <c r="E320" s="3"/>
      <c r="F320" s="3"/>
      <c r="H320" s="1467" t="s">
        <v>2638</v>
      </c>
      <c r="I320" s="1467"/>
      <c r="J320" s="1467"/>
      <c r="K320" s="1467"/>
      <c r="L320" s="1467"/>
      <c r="M320" s="1467"/>
      <c r="N320" s="1467"/>
      <c r="O320" s="1467"/>
      <c r="P320" s="1467"/>
      <c r="Q320" s="1467"/>
      <c r="R320" s="1467"/>
      <c r="T320" s="3" t="s">
        <v>471</v>
      </c>
      <c r="V320" s="3"/>
      <c r="W320" s="3"/>
      <c r="X320" s="3"/>
      <c r="Y320" s="3"/>
      <c r="AA320" s="1467" t="s">
        <v>2677</v>
      </c>
      <c r="AB320" s="1467"/>
      <c r="AC320" s="1467"/>
      <c r="AD320" s="1467"/>
      <c r="AE320" s="1467"/>
      <c r="AF320" s="1467"/>
      <c r="AG320" s="1467"/>
      <c r="AH320" s="1467"/>
      <c r="AI320" s="1467"/>
      <c r="AJ320" s="1467"/>
      <c r="AK320" s="1467"/>
    </row>
    <row r="321" spans="2:37" ht="12.95" customHeight="1">
      <c r="B321" s="3" t="s">
        <v>472</v>
      </c>
      <c r="C321" s="3"/>
      <c r="D321" s="3"/>
      <c r="E321" s="3"/>
      <c r="F321" s="3"/>
      <c r="H321" s="1467" t="s">
        <v>2650</v>
      </c>
      <c r="I321" s="1467"/>
      <c r="J321" s="1467"/>
      <c r="K321" s="1467"/>
      <c r="L321" s="1467"/>
      <c r="M321" s="1467"/>
      <c r="N321" s="1467"/>
      <c r="O321" s="1467"/>
      <c r="P321" s="1467"/>
      <c r="Q321" s="1467"/>
      <c r="R321" s="1467"/>
      <c r="T321" s="3" t="s">
        <v>75</v>
      </c>
      <c r="V321" s="3"/>
      <c r="W321" s="3"/>
      <c r="X321" s="3"/>
      <c r="Y321" s="3"/>
      <c r="AA321" s="1467" t="s">
        <v>2672</v>
      </c>
      <c r="AB321" s="1467"/>
      <c r="AC321" s="1467"/>
      <c r="AD321" s="1467"/>
      <c r="AE321" s="1467"/>
      <c r="AF321" s="1467"/>
      <c r="AG321" s="1467"/>
      <c r="AH321" s="1467"/>
      <c r="AI321" s="1467"/>
      <c r="AJ321" s="1467"/>
      <c r="AK321" s="1467"/>
    </row>
    <row r="322" spans="2:37" ht="12.95" customHeight="1">
      <c r="B322" s="3" t="s">
        <v>87</v>
      </c>
      <c r="C322" s="3"/>
      <c r="D322" s="3"/>
      <c r="E322" s="3"/>
      <c r="F322" s="3"/>
      <c r="H322" s="1467" t="s">
        <v>2651</v>
      </c>
      <c r="I322" s="1467"/>
      <c r="J322" s="1467"/>
      <c r="K322" s="1467"/>
      <c r="L322" s="1467"/>
      <c r="M322" s="1467"/>
      <c r="N322" s="1467"/>
      <c r="O322" s="1467"/>
      <c r="P322" s="1467"/>
      <c r="Q322" s="1467"/>
      <c r="R322" s="1467"/>
      <c r="T322" s="3" t="s">
        <v>87</v>
      </c>
      <c r="V322" s="3"/>
      <c r="W322" s="3"/>
      <c r="X322" s="3"/>
      <c r="Y322" s="3"/>
      <c r="AA322" s="1467" t="s">
        <v>2678</v>
      </c>
      <c r="AB322" s="1467"/>
      <c r="AC322" s="1467"/>
      <c r="AD322" s="1467"/>
      <c r="AE322" s="1467"/>
      <c r="AF322" s="1467"/>
      <c r="AG322" s="1467"/>
      <c r="AH322" s="1467"/>
      <c r="AI322" s="1467"/>
      <c r="AJ322" s="1467"/>
      <c r="AK322" s="1467"/>
    </row>
    <row r="323" spans="2:37" ht="12.95" customHeight="1">
      <c r="B323" s="3" t="s">
        <v>88</v>
      </c>
      <c r="C323" s="3"/>
      <c r="D323" s="3"/>
      <c r="E323" s="3"/>
      <c r="F323" s="3"/>
      <c r="G323" s="3"/>
      <c r="H323" s="1771" t="s">
        <v>2640</v>
      </c>
      <c r="I323" s="1420"/>
      <c r="J323" s="1420"/>
      <c r="K323" s="1420"/>
      <c r="L323" s="1420"/>
      <c r="M323" s="1420"/>
      <c r="N323" s="4" t="s">
        <v>205</v>
      </c>
      <c r="O323" s="4"/>
      <c r="P323" s="1410"/>
      <c r="Q323" s="1410"/>
      <c r="R323" s="1410"/>
      <c r="S323" s="3"/>
      <c r="T323" s="3" t="s">
        <v>88</v>
      </c>
      <c r="V323" s="3"/>
      <c r="W323" s="3"/>
      <c r="X323" s="3"/>
      <c r="Y323" s="3"/>
      <c r="AA323" s="1771" t="s">
        <v>2679</v>
      </c>
      <c r="AB323" s="1420"/>
      <c r="AC323" s="1420"/>
      <c r="AD323" s="1420"/>
      <c r="AE323" s="1420"/>
      <c r="AF323" s="1420"/>
      <c r="AG323" s="4" t="s">
        <v>205</v>
      </c>
      <c r="AH323" s="4"/>
      <c r="AI323" s="1410"/>
      <c r="AJ323" s="1410"/>
      <c r="AK323" s="1410"/>
    </row>
    <row r="324" spans="2:37" ht="12.95" customHeight="1">
      <c r="B324" s="3" t="s">
        <v>89</v>
      </c>
      <c r="C324" s="3"/>
      <c r="D324" s="3"/>
      <c r="E324" s="3"/>
      <c r="F324" s="3"/>
      <c r="G324" s="3"/>
      <c r="H324" s="1358"/>
      <c r="I324" s="1358"/>
      <c r="J324" s="1358"/>
      <c r="K324" s="1358"/>
      <c r="L324" s="1358"/>
      <c r="M324" s="1358"/>
      <c r="N324" s="4"/>
      <c r="O324" s="4"/>
      <c r="P324" s="35"/>
      <c r="Q324" s="35"/>
      <c r="R324" s="35"/>
      <c r="S324" s="3"/>
      <c r="T324" s="3" t="s">
        <v>89</v>
      </c>
      <c r="V324" s="3"/>
      <c r="W324" s="3"/>
      <c r="X324" s="3"/>
      <c r="Y324" s="3"/>
      <c r="AA324" s="1358"/>
      <c r="AB324" s="1358"/>
      <c r="AC324" s="1358"/>
      <c r="AD324" s="1358"/>
      <c r="AE324" s="1358"/>
      <c r="AF324" s="1358"/>
      <c r="AG324" s="4"/>
      <c r="AH324" s="4"/>
      <c r="AI324" s="35"/>
      <c r="AJ324" s="35"/>
      <c r="AK324" s="35"/>
    </row>
    <row r="325" spans="2:37" ht="12.95" customHeight="1">
      <c r="B325" s="3" t="s">
        <v>76</v>
      </c>
      <c r="C325" s="3"/>
      <c r="D325" s="3"/>
      <c r="E325" s="3"/>
      <c r="F325" s="3"/>
      <c r="G325" s="3"/>
      <c r="H325" s="1467" t="s">
        <v>2641</v>
      </c>
      <c r="I325" s="1467"/>
      <c r="J325" s="1467"/>
      <c r="K325" s="1467"/>
      <c r="L325" s="1467"/>
      <c r="M325" s="1467"/>
      <c r="N325" s="1360"/>
      <c r="O325" s="1360"/>
      <c r="P325" s="1360"/>
      <c r="Q325" s="1360"/>
      <c r="R325" s="1360"/>
      <c r="S325" s="3"/>
      <c r="T325" s="3" t="s">
        <v>76</v>
      </c>
      <c r="V325" s="3"/>
      <c r="W325" s="3"/>
      <c r="X325" s="3"/>
      <c r="Y325" s="3"/>
      <c r="AA325" s="1467" t="s">
        <v>2680</v>
      </c>
      <c r="AB325" s="1467"/>
      <c r="AC325" s="1467"/>
      <c r="AD325" s="1467"/>
      <c r="AE325" s="1467"/>
      <c r="AF325" s="1467"/>
      <c r="AG325" s="1360"/>
      <c r="AH325" s="1360"/>
      <c r="AI325" s="1360"/>
      <c r="AJ325" s="1360"/>
      <c r="AK325" s="136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60" t="s">
        <v>591</v>
      </c>
      <c r="I327" s="1360"/>
      <c r="J327" s="1360"/>
      <c r="K327" s="1360"/>
      <c r="L327" s="1360"/>
      <c r="M327" s="1360"/>
      <c r="N327" s="1360"/>
      <c r="O327" s="1360"/>
      <c r="P327" s="1360"/>
      <c r="Q327" s="1360"/>
      <c r="R327" s="1360"/>
      <c r="T327" s="3" t="s">
        <v>367</v>
      </c>
      <c r="V327" s="3"/>
      <c r="W327" s="3"/>
      <c r="X327" s="3"/>
      <c r="Y327" s="3"/>
      <c r="AA327" s="1360" t="s">
        <v>591</v>
      </c>
      <c r="AB327" s="1360"/>
      <c r="AC327" s="1360"/>
      <c r="AD327" s="1360"/>
      <c r="AE327" s="1360"/>
      <c r="AF327" s="1360"/>
      <c r="AG327" s="1360"/>
      <c r="AH327" s="1360"/>
      <c r="AI327" s="1360"/>
      <c r="AJ327" s="1360"/>
      <c r="AK327" s="1360"/>
    </row>
    <row r="328" spans="2:37" ht="12.95" customHeight="1">
      <c r="B328" s="3" t="s">
        <v>471</v>
      </c>
      <c r="C328" s="3"/>
      <c r="D328" s="3"/>
      <c r="E328" s="3"/>
      <c r="F328" s="3"/>
      <c r="H328" s="1467"/>
      <c r="I328" s="1467"/>
      <c r="J328" s="1467"/>
      <c r="K328" s="1467"/>
      <c r="L328" s="1467"/>
      <c r="M328" s="1467"/>
      <c r="N328" s="1467"/>
      <c r="O328" s="1467"/>
      <c r="P328" s="1467"/>
      <c r="Q328" s="1467"/>
      <c r="R328" s="1467"/>
      <c r="T328" s="3" t="s">
        <v>471</v>
      </c>
      <c r="V328" s="3"/>
      <c r="W328" s="3"/>
      <c r="X328" s="3"/>
      <c r="Y328" s="3"/>
      <c r="AA328" s="1467"/>
      <c r="AB328" s="1467"/>
      <c r="AC328" s="1467"/>
      <c r="AD328" s="1467"/>
      <c r="AE328" s="1467"/>
      <c r="AF328" s="1467"/>
      <c r="AG328" s="1467"/>
      <c r="AH328" s="1467"/>
      <c r="AI328" s="1467"/>
      <c r="AJ328" s="1467"/>
      <c r="AK328" s="1467"/>
    </row>
    <row r="329" spans="2:37" ht="12.95" customHeight="1">
      <c r="B329" s="3" t="s">
        <v>472</v>
      </c>
      <c r="C329" s="3"/>
      <c r="D329" s="3"/>
      <c r="E329" s="3"/>
      <c r="F329" s="3"/>
      <c r="H329" s="1467"/>
      <c r="I329" s="1467"/>
      <c r="J329" s="1467"/>
      <c r="K329" s="1467"/>
      <c r="L329" s="1467"/>
      <c r="M329" s="1467"/>
      <c r="N329" s="1467"/>
      <c r="O329" s="1467"/>
      <c r="P329" s="1467"/>
      <c r="Q329" s="1467"/>
      <c r="R329" s="1467"/>
      <c r="T329" s="3" t="s">
        <v>75</v>
      </c>
      <c r="V329" s="3"/>
      <c r="W329" s="3"/>
      <c r="X329" s="3"/>
      <c r="Y329" s="3"/>
      <c r="AA329" s="1467"/>
      <c r="AB329" s="1467"/>
      <c r="AC329" s="1467"/>
      <c r="AD329" s="1467"/>
      <c r="AE329" s="1467"/>
      <c r="AF329" s="1467"/>
      <c r="AG329" s="1467"/>
      <c r="AH329" s="1467"/>
      <c r="AI329" s="1467"/>
      <c r="AJ329" s="1467"/>
      <c r="AK329" s="1467"/>
    </row>
    <row r="330" spans="2:37" ht="12.95" customHeight="1">
      <c r="B330" s="3" t="s">
        <v>87</v>
      </c>
      <c r="C330" s="3"/>
      <c r="D330" s="3"/>
      <c r="E330" s="3"/>
      <c r="F330" s="3"/>
      <c r="H330" s="1467"/>
      <c r="I330" s="1467"/>
      <c r="J330" s="1467"/>
      <c r="K330" s="1467"/>
      <c r="L330" s="1467"/>
      <c r="M330" s="1467"/>
      <c r="N330" s="1467"/>
      <c r="O330" s="1467"/>
      <c r="P330" s="1467"/>
      <c r="Q330" s="1467"/>
      <c r="R330" s="1467"/>
      <c r="T330" s="3" t="s">
        <v>87</v>
      </c>
      <c r="V330" s="3"/>
      <c r="W330" s="3"/>
      <c r="X330" s="3"/>
      <c r="Y330" s="3"/>
      <c r="AA330" s="1467"/>
      <c r="AB330" s="1467"/>
      <c r="AC330" s="1467"/>
      <c r="AD330" s="1467"/>
      <c r="AE330" s="1467"/>
      <c r="AF330" s="1467"/>
      <c r="AG330" s="1467"/>
      <c r="AH330" s="1467"/>
      <c r="AI330" s="1467"/>
      <c r="AJ330" s="1467"/>
      <c r="AK330" s="1467"/>
    </row>
    <row r="331" spans="2:37" ht="12.95" customHeight="1">
      <c r="B331" s="3" t="s">
        <v>88</v>
      </c>
      <c r="C331" s="3"/>
      <c r="D331" s="3"/>
      <c r="E331" s="3"/>
      <c r="F331" s="3"/>
      <c r="G331" s="3"/>
      <c r="H331" s="1420"/>
      <c r="I331" s="1420"/>
      <c r="J331" s="1420"/>
      <c r="K331" s="1420"/>
      <c r="L331" s="1420"/>
      <c r="M331" s="1420"/>
      <c r="N331" s="4" t="s">
        <v>205</v>
      </c>
      <c r="O331" s="4"/>
      <c r="P331" s="1410"/>
      <c r="Q331" s="1410"/>
      <c r="R331" s="1410"/>
      <c r="S331" s="3"/>
      <c r="T331" s="3" t="s">
        <v>88</v>
      </c>
      <c r="V331" s="3"/>
      <c r="W331" s="3"/>
      <c r="X331" s="3"/>
      <c r="Y331" s="3"/>
      <c r="AA331" s="1420"/>
      <c r="AB331" s="1420"/>
      <c r="AC331" s="1420"/>
      <c r="AD331" s="1420"/>
      <c r="AE331" s="1420"/>
      <c r="AF331" s="1420"/>
      <c r="AG331" s="4" t="s">
        <v>205</v>
      </c>
      <c r="AH331" s="4"/>
      <c r="AI331" s="1410"/>
      <c r="AJ331" s="1410"/>
      <c r="AK331" s="1410"/>
    </row>
    <row r="332" spans="2:37" ht="12.95" customHeight="1">
      <c r="B332" s="3" t="s">
        <v>89</v>
      </c>
      <c r="C332" s="3"/>
      <c r="D332" s="3"/>
      <c r="E332" s="3"/>
      <c r="F332" s="3"/>
      <c r="G332" s="3"/>
      <c r="H332" s="1358"/>
      <c r="I332" s="1358"/>
      <c r="J332" s="1358"/>
      <c r="K332" s="1358"/>
      <c r="L332" s="1358"/>
      <c r="M332" s="1358"/>
      <c r="N332" s="4"/>
      <c r="O332" s="4"/>
      <c r="P332" s="35"/>
      <c r="Q332" s="35"/>
      <c r="R332" s="35"/>
      <c r="S332" s="3"/>
      <c r="T332" s="3" t="s">
        <v>89</v>
      </c>
      <c r="V332" s="3"/>
      <c r="W332" s="3"/>
      <c r="X332" s="3"/>
      <c r="Y332" s="3"/>
      <c r="AA332" s="1358"/>
      <c r="AB332" s="1358"/>
      <c r="AC332" s="1358"/>
      <c r="AD332" s="1358"/>
      <c r="AE332" s="1358"/>
      <c r="AF332" s="1358"/>
      <c r="AG332" s="4"/>
      <c r="AH332" s="4"/>
      <c r="AI332" s="35"/>
      <c r="AJ332" s="35"/>
      <c r="AK332" s="35"/>
    </row>
    <row r="333" spans="2:37" ht="12.95" customHeight="1">
      <c r="B333" s="3" t="s">
        <v>76</v>
      </c>
      <c r="C333" s="3"/>
      <c r="D333" s="3"/>
      <c r="E333" s="3"/>
      <c r="F333" s="3"/>
      <c r="G333" s="3"/>
      <c r="H333" s="1467"/>
      <c r="I333" s="1467"/>
      <c r="J333" s="1467"/>
      <c r="K333" s="1467"/>
      <c r="L333" s="1467"/>
      <c r="M333" s="1467"/>
      <c r="N333" s="1360"/>
      <c r="O333" s="1360"/>
      <c r="P333" s="1360"/>
      <c r="Q333" s="1360"/>
      <c r="R333" s="1360"/>
      <c r="S333" s="3"/>
      <c r="T333" s="3" t="s">
        <v>76</v>
      </c>
      <c r="V333" s="3"/>
      <c r="W333" s="3"/>
      <c r="X333" s="3"/>
      <c r="Y333" s="3"/>
      <c r="AA333" s="1467"/>
      <c r="AB333" s="1467"/>
      <c r="AC333" s="1467"/>
      <c r="AD333" s="1467"/>
      <c r="AE333" s="1467"/>
      <c r="AF333" s="1467"/>
      <c r="AG333" s="1360"/>
      <c r="AH333" s="1360"/>
      <c r="AI333" s="1360"/>
      <c r="AJ333" s="1360"/>
      <c r="AK333" s="136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60" t="s">
        <v>2681</v>
      </c>
      <c r="I335" s="1360"/>
      <c r="J335" s="1360"/>
      <c r="K335" s="1360"/>
      <c r="L335" s="1360"/>
      <c r="M335" s="1360"/>
      <c r="N335" s="1360"/>
      <c r="O335" s="1360"/>
      <c r="P335" s="1360"/>
      <c r="Q335" s="1360"/>
      <c r="R335" s="1360"/>
      <c r="T335" s="204" t="s">
        <v>886</v>
      </c>
      <c r="V335" s="3"/>
      <c r="W335" s="3"/>
      <c r="X335" s="3"/>
      <c r="Y335" s="3"/>
      <c r="AA335" s="1360" t="s">
        <v>2687</v>
      </c>
      <c r="AB335" s="1360"/>
      <c r="AC335" s="1360"/>
      <c r="AD335" s="1360"/>
      <c r="AE335" s="1360"/>
      <c r="AF335" s="1360"/>
      <c r="AG335" s="1360"/>
      <c r="AH335" s="1360"/>
      <c r="AI335" s="1360"/>
      <c r="AJ335" s="1360"/>
      <c r="AK335" s="1360"/>
    </row>
    <row r="336" spans="2:37" ht="12.95" customHeight="1">
      <c r="B336" s="3" t="s">
        <v>471</v>
      </c>
      <c r="C336" s="3"/>
      <c r="D336" s="3"/>
      <c r="E336" s="3"/>
      <c r="F336" s="3"/>
      <c r="H336" s="1467" t="s">
        <v>2682</v>
      </c>
      <c r="I336" s="1467"/>
      <c r="J336" s="1467"/>
      <c r="K336" s="1467"/>
      <c r="L336" s="1467"/>
      <c r="M336" s="1467"/>
      <c r="N336" s="1467"/>
      <c r="O336" s="1467"/>
      <c r="P336" s="1467"/>
      <c r="Q336" s="1467"/>
      <c r="R336" s="1467"/>
      <c r="T336" s="3" t="s">
        <v>471</v>
      </c>
      <c r="V336" s="3"/>
      <c r="W336" s="3"/>
      <c r="X336" s="3"/>
      <c r="Y336" s="3"/>
      <c r="AA336" s="1467" t="s">
        <v>2688</v>
      </c>
      <c r="AB336" s="1467"/>
      <c r="AC336" s="1467"/>
      <c r="AD336" s="1467"/>
      <c r="AE336" s="1467"/>
      <c r="AF336" s="1467"/>
      <c r="AG336" s="1467"/>
      <c r="AH336" s="1467"/>
      <c r="AI336" s="1467"/>
      <c r="AJ336" s="1467"/>
      <c r="AK336" s="1467"/>
    </row>
    <row r="337" spans="1:66" ht="12.95" customHeight="1">
      <c r="B337" s="3" t="s">
        <v>75</v>
      </c>
      <c r="C337" s="3"/>
      <c r="D337" s="3"/>
      <c r="E337" s="3"/>
      <c r="F337" s="3"/>
      <c r="H337" s="1467" t="s">
        <v>2683</v>
      </c>
      <c r="I337" s="1467"/>
      <c r="J337" s="1467"/>
      <c r="K337" s="1467"/>
      <c r="L337" s="1467"/>
      <c r="M337" s="1467"/>
      <c r="N337" s="1467"/>
      <c r="O337" s="1467"/>
      <c r="P337" s="1467"/>
      <c r="Q337" s="1467"/>
      <c r="R337" s="1467"/>
      <c r="T337" s="3" t="s">
        <v>75</v>
      </c>
      <c r="V337" s="3"/>
      <c r="W337" s="3"/>
      <c r="X337" s="3"/>
      <c r="Y337" s="3"/>
      <c r="AA337" s="1467" t="s">
        <v>2689</v>
      </c>
      <c r="AB337" s="1467"/>
      <c r="AC337" s="1467"/>
      <c r="AD337" s="1467"/>
      <c r="AE337" s="1467"/>
      <c r="AF337" s="1467"/>
      <c r="AG337" s="1467"/>
      <c r="AH337" s="1467"/>
      <c r="AI337" s="1467"/>
      <c r="AJ337" s="1467"/>
      <c r="AK337" s="1467"/>
    </row>
    <row r="338" spans="1:66" ht="12.95" customHeight="1">
      <c r="B338" s="3" t="s">
        <v>87</v>
      </c>
      <c r="C338" s="3"/>
      <c r="D338" s="3"/>
      <c r="E338" s="3"/>
      <c r="F338" s="3"/>
      <c r="G338" s="3"/>
      <c r="H338" s="1467" t="s">
        <v>2684</v>
      </c>
      <c r="I338" s="1467"/>
      <c r="J338" s="1467"/>
      <c r="K338" s="1467"/>
      <c r="L338" s="1467"/>
      <c r="M338" s="1467"/>
      <c r="N338" s="1467"/>
      <c r="O338" s="1467"/>
      <c r="P338" s="1467"/>
      <c r="Q338" s="1467"/>
      <c r="R338" s="1467"/>
      <c r="T338" s="3" t="s">
        <v>87</v>
      </c>
      <c r="V338" s="3"/>
      <c r="W338" s="3"/>
      <c r="X338" s="3"/>
      <c r="Y338" s="3"/>
      <c r="AA338" s="1467" t="s">
        <v>2690</v>
      </c>
      <c r="AB338" s="1467"/>
      <c r="AC338" s="1467"/>
      <c r="AD338" s="1467"/>
      <c r="AE338" s="1467"/>
      <c r="AF338" s="1467"/>
      <c r="AG338" s="1467"/>
      <c r="AH338" s="1467"/>
      <c r="AI338" s="1467"/>
      <c r="AJ338" s="1467"/>
      <c r="AK338" s="1467"/>
    </row>
    <row r="339" spans="1:66" ht="12.95" customHeight="1">
      <c r="B339" s="3" t="s">
        <v>88</v>
      </c>
      <c r="C339" s="3"/>
      <c r="D339" s="3"/>
      <c r="E339" s="3"/>
      <c r="F339" s="3"/>
      <c r="G339" s="3"/>
      <c r="H339" s="1771" t="s">
        <v>2685</v>
      </c>
      <c r="I339" s="1420"/>
      <c r="J339" s="1420"/>
      <c r="K339" s="1420"/>
      <c r="L339" s="1420"/>
      <c r="M339" s="1420"/>
      <c r="N339" s="4" t="s">
        <v>205</v>
      </c>
      <c r="O339" s="4"/>
      <c r="P339" s="1410"/>
      <c r="Q339" s="1410"/>
      <c r="R339" s="1410"/>
      <c r="S339" s="3"/>
      <c r="T339" s="3" t="s">
        <v>88</v>
      </c>
      <c r="V339" s="3"/>
      <c r="W339" s="3"/>
      <c r="X339" s="3"/>
      <c r="Y339" s="3"/>
      <c r="AA339" s="1771" t="s">
        <v>2691</v>
      </c>
      <c r="AB339" s="1420"/>
      <c r="AC339" s="1420"/>
      <c r="AD339" s="1420"/>
      <c r="AE339" s="1420"/>
      <c r="AF339" s="1420"/>
      <c r="AG339" s="4" t="s">
        <v>205</v>
      </c>
      <c r="AH339" s="4"/>
      <c r="AI339" s="1410"/>
      <c r="AJ339" s="1410"/>
      <c r="AK339" s="1410"/>
    </row>
    <row r="340" spans="1:66" ht="12.95" customHeight="1">
      <c r="B340" s="3" t="s">
        <v>89</v>
      </c>
      <c r="C340" s="3"/>
      <c r="D340" s="3"/>
      <c r="E340" s="3"/>
      <c r="F340" s="3"/>
      <c r="G340" s="3"/>
      <c r="H340" s="1358"/>
      <c r="I340" s="1358"/>
      <c r="J340" s="1358"/>
      <c r="K340" s="1358"/>
      <c r="L340" s="1358"/>
      <c r="M340" s="1358"/>
      <c r="N340" s="4"/>
      <c r="O340" s="4"/>
      <c r="P340" s="35"/>
      <c r="Q340" s="35"/>
      <c r="R340" s="35"/>
      <c r="S340" s="3"/>
      <c r="T340" s="3" t="s">
        <v>89</v>
      </c>
      <c r="V340" s="3"/>
      <c r="W340" s="3"/>
      <c r="X340" s="3"/>
      <c r="Y340" s="3"/>
      <c r="AA340" s="1358"/>
      <c r="AB340" s="1358"/>
      <c r="AC340" s="1358"/>
      <c r="AD340" s="1358"/>
      <c r="AE340" s="1358"/>
      <c r="AF340" s="1358"/>
      <c r="AG340" s="4"/>
      <c r="AH340" s="4"/>
      <c r="AI340" s="35"/>
      <c r="AJ340" s="35"/>
      <c r="AK340" s="35"/>
    </row>
    <row r="341" spans="1:66" ht="12.95" customHeight="1">
      <c r="B341" s="3" t="s">
        <v>76</v>
      </c>
      <c r="C341" s="3"/>
      <c r="D341" s="3"/>
      <c r="E341" s="3"/>
      <c r="F341" s="3"/>
      <c r="G341" s="3"/>
      <c r="H341" s="1467" t="s">
        <v>2686</v>
      </c>
      <c r="I341" s="1467"/>
      <c r="J341" s="1467"/>
      <c r="K341" s="1467"/>
      <c r="L341" s="1467"/>
      <c r="M341" s="1467"/>
      <c r="N341" s="1360"/>
      <c r="O341" s="1360"/>
      <c r="P341" s="1360"/>
      <c r="Q341" s="1360"/>
      <c r="R341" s="1360"/>
      <c r="S341" s="3"/>
      <c r="T341" s="3" t="s">
        <v>76</v>
      </c>
      <c r="V341" s="3"/>
      <c r="W341" s="3"/>
      <c r="X341" s="3"/>
      <c r="Y341" s="3"/>
      <c r="AA341" s="1467" t="s">
        <v>2692</v>
      </c>
      <c r="AB341" s="1467"/>
      <c r="AC341" s="1467"/>
      <c r="AD341" s="1467"/>
      <c r="AE341" s="1467"/>
      <c r="AF341" s="1467"/>
      <c r="AG341" s="1360"/>
      <c r="AH341" s="1360"/>
      <c r="AI341" s="1360"/>
      <c r="AJ341" s="1360"/>
      <c r="AK341" s="136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60" t="s">
        <v>591</v>
      </c>
      <c r="Q343" s="1360"/>
      <c r="R343" s="1360"/>
      <c r="S343" s="1360"/>
      <c r="T343" s="1360"/>
      <c r="U343" s="1360"/>
      <c r="V343" s="1360"/>
      <c r="W343" s="1360"/>
      <c r="X343" s="1360"/>
      <c r="Y343" s="1360"/>
      <c r="Z343" s="1360"/>
      <c r="AA343" s="1360"/>
      <c r="AB343" s="1360"/>
      <c r="AC343" s="1360"/>
      <c r="AD343" s="1360"/>
      <c r="AE343" s="1360"/>
      <c r="BN343" t="s">
        <v>669</v>
      </c>
    </row>
    <row r="344" spans="1:66" ht="12.95" customHeight="1">
      <c r="B344" s="4"/>
      <c r="C344" s="4"/>
      <c r="D344" s="4"/>
      <c r="E344" s="4"/>
      <c r="F344" s="4"/>
      <c r="I344" s="4" t="s">
        <v>471</v>
      </c>
      <c r="P344" s="1467"/>
      <c r="Q344" s="1467"/>
      <c r="R344" s="1467"/>
      <c r="S344" s="1467"/>
      <c r="T344" s="1467"/>
      <c r="U344" s="1467"/>
      <c r="V344" s="1467"/>
      <c r="W344" s="1467"/>
      <c r="X344" s="1467"/>
      <c r="Y344" s="1467"/>
      <c r="Z344" s="1467"/>
      <c r="AA344" s="1467"/>
      <c r="AB344" s="1467"/>
      <c r="AC344" s="1467"/>
      <c r="AD344" s="1467"/>
      <c r="AE344" s="1467"/>
      <c r="BN344" t="s">
        <v>545</v>
      </c>
    </row>
    <row r="345" spans="1:66" ht="12.95" customHeight="1">
      <c r="B345" s="4"/>
      <c r="C345" s="4"/>
      <c r="D345" s="4"/>
      <c r="E345" s="4"/>
      <c r="F345" s="4"/>
      <c r="I345" s="4" t="s">
        <v>75</v>
      </c>
      <c r="P345" s="1467"/>
      <c r="Q345" s="1467"/>
      <c r="R345" s="1467"/>
      <c r="S345" s="1467"/>
      <c r="T345" s="1467"/>
      <c r="U345" s="1467"/>
      <c r="V345" s="1467"/>
      <c r="W345" s="1467"/>
      <c r="X345" s="1467"/>
      <c r="Y345" s="1467"/>
      <c r="Z345" s="1467"/>
      <c r="AA345" s="1467"/>
      <c r="AB345" s="1467"/>
      <c r="AC345" s="1467"/>
      <c r="AD345" s="1467"/>
      <c r="AE345" s="1467"/>
    </row>
    <row r="346" spans="1:66" ht="12.95" customHeight="1">
      <c r="B346" s="4"/>
      <c r="C346" s="4"/>
      <c r="D346" s="4"/>
      <c r="E346" s="4"/>
      <c r="F346" s="4"/>
      <c r="G346" s="4"/>
      <c r="I346" s="4" t="s">
        <v>87</v>
      </c>
      <c r="P346" s="1467"/>
      <c r="Q346" s="1467"/>
      <c r="R346" s="1467"/>
      <c r="S346" s="1467"/>
      <c r="T346" s="1467"/>
      <c r="U346" s="1467"/>
      <c r="V346" s="1467"/>
      <c r="W346" s="1467"/>
      <c r="X346" s="1467"/>
      <c r="Y346" s="1467"/>
      <c r="Z346" s="1467"/>
      <c r="AA346" s="1467"/>
      <c r="AB346" s="1467"/>
      <c r="AC346" s="1467"/>
      <c r="AD346" s="1467"/>
      <c r="AE346" s="1467"/>
    </row>
    <row r="347" spans="1:66" ht="12.95" customHeight="1">
      <c r="B347" s="4"/>
      <c r="C347" s="4"/>
      <c r="D347" s="4"/>
      <c r="E347" s="4"/>
      <c r="F347" s="4"/>
      <c r="G347" s="4"/>
      <c r="H347" s="302"/>
      <c r="I347" s="4" t="s">
        <v>88</v>
      </c>
      <c r="P347" s="1358"/>
      <c r="Q347" s="1358"/>
      <c r="R347" s="1358"/>
      <c r="S347" s="1358"/>
      <c r="T347" s="1358"/>
      <c r="U347" s="1358"/>
      <c r="V347" s="1358"/>
      <c r="W347" s="1358"/>
      <c r="X347" s="1358"/>
      <c r="Y347" s="1358"/>
      <c r="Z347" s="1358"/>
      <c r="AA347" s="4" t="s">
        <v>205</v>
      </c>
      <c r="AB347" s="4"/>
      <c r="AC347" s="1434"/>
      <c r="AD347" s="1434"/>
      <c r="AE347" s="1434"/>
      <c r="AF347" s="302"/>
      <c r="AG347" s="4"/>
      <c r="AH347" s="4"/>
      <c r="AI347" s="4"/>
      <c r="AJ347" s="4"/>
      <c r="AK347" s="4"/>
    </row>
    <row r="348" spans="1:66" ht="12.95" customHeight="1">
      <c r="B348" s="4"/>
      <c r="C348" s="4"/>
      <c r="D348" s="4"/>
      <c r="E348" s="4"/>
      <c r="F348" s="4"/>
      <c r="G348" s="4"/>
      <c r="H348" s="302"/>
      <c r="I348" s="4" t="s">
        <v>89</v>
      </c>
      <c r="P348" s="1358"/>
      <c r="Q348" s="1358"/>
      <c r="R348" s="1358"/>
      <c r="S348" s="1358"/>
      <c r="T348" s="1358"/>
      <c r="U348" s="1358"/>
      <c r="V348" s="1358"/>
      <c r="W348" s="1358"/>
      <c r="X348" s="1358"/>
      <c r="Y348" s="1358"/>
      <c r="Z348" s="1358"/>
      <c r="AF348" s="302"/>
      <c r="AG348" s="4"/>
      <c r="AH348" s="4"/>
      <c r="AI348" s="35"/>
      <c r="AJ348" s="35"/>
      <c r="AK348" s="35"/>
    </row>
    <row r="349" spans="1:66" ht="12.95" customHeight="1">
      <c r="B349" s="4"/>
      <c r="C349" s="4"/>
      <c r="D349" s="4"/>
      <c r="E349" s="4"/>
      <c r="F349" s="4"/>
      <c r="G349" s="4"/>
      <c r="I349" s="4" t="s">
        <v>76</v>
      </c>
      <c r="P349" s="1360"/>
      <c r="Q349" s="1360"/>
      <c r="R349" s="1360"/>
      <c r="S349" s="1360"/>
      <c r="T349" s="1360"/>
      <c r="U349" s="1360"/>
      <c r="V349" s="1360"/>
      <c r="W349" s="1360"/>
      <c r="X349" s="1360"/>
      <c r="Y349" s="1360"/>
      <c r="Z349" s="1360"/>
      <c r="AA349" s="1360"/>
      <c r="AB349" s="1360"/>
      <c r="AC349" s="1360"/>
      <c r="AD349" s="1360"/>
      <c r="AE349" s="1360"/>
    </row>
    <row r="350" spans="1:66" ht="12.95" customHeight="1">
      <c r="T350" s="8"/>
      <c r="U350" s="8"/>
      <c r="V350" s="8"/>
      <c r="W350" s="8"/>
      <c r="X350" s="8"/>
      <c r="Y350" s="8"/>
      <c r="Z350" s="8"/>
      <c r="AU350" s="95"/>
      <c r="AV350" s="95"/>
      <c r="AW350" s="95"/>
      <c r="AX350" s="95"/>
      <c r="AY350" s="95"/>
    </row>
    <row r="351" spans="1:66" ht="12.95" customHeight="1">
      <c r="A351" s="1419" t="s">
        <v>542</v>
      </c>
      <c r="B351" s="1419"/>
      <c r="C351" s="1419"/>
      <c r="D351" s="1419"/>
      <c r="E351" s="1419"/>
      <c r="F351" s="1419"/>
      <c r="G351" s="1419"/>
      <c r="H351" s="1419"/>
      <c r="I351" s="1419"/>
      <c r="J351" s="1419"/>
      <c r="K351" s="1419"/>
      <c r="L351" s="1419"/>
      <c r="M351" s="1419"/>
      <c r="N351" s="1419"/>
      <c r="O351" s="1419"/>
      <c r="P351" s="1419"/>
      <c r="Q351" s="1419"/>
      <c r="R351" s="1419"/>
      <c r="S351" s="1419"/>
      <c r="T351" s="1419"/>
      <c r="U351" s="1419"/>
      <c r="V351" s="1419"/>
      <c r="W351" s="1419"/>
      <c r="X351" s="1419"/>
      <c r="Y351" s="1419"/>
      <c r="Z351" s="1419"/>
      <c r="AA351" s="1419"/>
      <c r="AB351" s="1419"/>
      <c r="AC351" s="1419"/>
      <c r="AD351" s="1419"/>
      <c r="AE351" s="1419"/>
      <c r="AF351" s="1419"/>
      <c r="AG351" s="1419"/>
      <c r="AH351" s="1419"/>
      <c r="AI351" s="1419"/>
      <c r="AJ351" s="1419"/>
      <c r="AK351" s="1419"/>
      <c r="AL351" s="1419"/>
      <c r="AM351" s="1419"/>
      <c r="AN351" s="1419"/>
      <c r="AO351" s="1419"/>
      <c r="AP351" s="1419"/>
      <c r="AQ351" s="1419"/>
      <c r="AR351" s="1419"/>
      <c r="AS351" s="1419"/>
      <c r="AT351" s="1419"/>
      <c r="AU351" s="95"/>
      <c r="AV351" s="95"/>
      <c r="AW351" s="95"/>
      <c r="AX351" s="95"/>
      <c r="AY351" s="95"/>
    </row>
    <row r="352" spans="1:66" ht="12.95" customHeight="1">
      <c r="A352" s="1419"/>
      <c r="B352" s="1419"/>
      <c r="C352" s="1419"/>
      <c r="D352" s="1419"/>
      <c r="E352" s="1419"/>
      <c r="F352" s="1419"/>
      <c r="G352" s="1419"/>
      <c r="H352" s="1419"/>
      <c r="I352" s="1419"/>
      <c r="J352" s="1419"/>
      <c r="K352" s="1419"/>
      <c r="L352" s="1419"/>
      <c r="M352" s="1419"/>
      <c r="N352" s="1419"/>
      <c r="O352" s="1419"/>
      <c r="P352" s="1419"/>
      <c r="Q352" s="1419"/>
      <c r="R352" s="1419"/>
      <c r="S352" s="1419"/>
      <c r="T352" s="1419"/>
      <c r="U352" s="1419"/>
      <c r="V352" s="1419"/>
      <c r="W352" s="1419"/>
      <c r="X352" s="1419"/>
      <c r="Y352" s="1419"/>
      <c r="Z352" s="1419"/>
      <c r="AA352" s="1419"/>
      <c r="AB352" s="1419"/>
      <c r="AC352" s="1419"/>
      <c r="AD352" s="1419"/>
      <c r="AE352" s="1419"/>
      <c r="AF352" s="1419"/>
      <c r="AG352" s="1419"/>
      <c r="AH352" s="1419"/>
      <c r="AI352" s="1419"/>
      <c r="AJ352" s="1419"/>
      <c r="AK352" s="1419"/>
      <c r="AL352" s="1419"/>
      <c r="AM352" s="1419"/>
      <c r="AN352" s="1419"/>
      <c r="AO352" s="1419"/>
      <c r="AP352" s="1419"/>
      <c r="AQ352" s="1419"/>
      <c r="AR352" s="1419"/>
      <c r="AS352" s="1419"/>
      <c r="AT352" s="141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332" t="s">
        <v>545</v>
      </c>
      <c r="N355" s="1332"/>
      <c r="P355" t="s">
        <v>1650</v>
      </c>
      <c r="AJ355" s="1332" t="s">
        <v>669</v>
      </c>
      <c r="AK355" s="1332"/>
    </row>
    <row r="356" spans="1:46" ht="12.95" customHeight="1">
      <c r="D356" s="3" t="s">
        <v>1639</v>
      </c>
      <c r="M356" s="1332" t="s">
        <v>591</v>
      </c>
      <c r="N356" s="1332"/>
      <c r="P356" s="3" t="s">
        <v>1719</v>
      </c>
      <c r="AJ356" s="1456"/>
      <c r="AK356" s="1456"/>
    </row>
    <row r="357" spans="1:46" ht="12.95" customHeight="1">
      <c r="D357" s="3" t="s">
        <v>704</v>
      </c>
      <c r="M357" s="1332" t="s">
        <v>591</v>
      </c>
      <c r="N357" s="1332"/>
      <c r="P357" t="s">
        <v>1649</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60"/>
      <c r="R365" s="1360"/>
      <c r="S365" s="1360"/>
      <c r="T365" s="1360"/>
      <c r="U365" s="1360"/>
      <c r="V365" s="1360"/>
      <c r="W365" s="1360"/>
      <c r="X365" s="1360"/>
      <c r="Y365" s="1360"/>
      <c r="Z365" s="1360"/>
      <c r="AA365" s="1360"/>
      <c r="AB365" s="1360"/>
      <c r="AC365" s="1360"/>
      <c r="AD365" s="1360"/>
      <c r="AE365" s="1360"/>
      <c r="AF365" s="1360"/>
      <c r="AG365" s="1360"/>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09" t="s">
        <v>706</v>
      </c>
      <c r="F368" s="1409"/>
      <c r="G368" s="1409"/>
      <c r="H368" s="1409"/>
      <c r="I368" s="1409"/>
      <c r="J368" s="1409"/>
      <c r="K368" s="1409"/>
      <c r="L368" s="1409"/>
      <c r="M368" s="1409"/>
      <c r="N368" s="1409"/>
      <c r="O368" s="1409"/>
      <c r="P368" s="1409"/>
      <c r="Q368" s="1409"/>
      <c r="R368" s="1409"/>
      <c r="S368" s="1409"/>
      <c r="T368" s="1409"/>
      <c r="U368" s="1409"/>
      <c r="V368" s="1409"/>
      <c r="W368" s="1409"/>
      <c r="X368" s="1409"/>
      <c r="Y368" s="1409"/>
      <c r="Z368" s="1409"/>
      <c r="AA368" s="1409"/>
      <c r="AB368" s="1409"/>
      <c r="AC368" s="1409"/>
      <c r="AD368" s="1409"/>
      <c r="AE368" s="1409"/>
      <c r="AF368" s="1409"/>
      <c r="AG368" s="1409"/>
      <c r="AH368" s="1409"/>
    </row>
    <row r="369" spans="1:34" ht="12.95" customHeight="1">
      <c r="E369" s="1409"/>
      <c r="F369" s="1409"/>
      <c r="G369" s="1409"/>
      <c r="H369" s="1409"/>
      <c r="I369" s="1409"/>
      <c r="J369" s="1409"/>
      <c r="K369" s="1409"/>
      <c r="L369" s="1409"/>
      <c r="M369" s="1409"/>
      <c r="N369" s="1409"/>
      <c r="O369" s="1409"/>
      <c r="P369" s="1409"/>
      <c r="Q369" s="1409"/>
      <c r="R369" s="1409"/>
      <c r="S369" s="1409"/>
      <c r="T369" s="1409"/>
      <c r="U369" s="1409"/>
      <c r="V369" s="1409"/>
      <c r="W369" s="1409"/>
      <c r="X369" s="1409"/>
      <c r="Y369" s="1409"/>
      <c r="Z369" s="1409"/>
      <c r="AA369" s="1409"/>
      <c r="AB369" s="1409"/>
      <c r="AC369" s="1409"/>
      <c r="AD369" s="1409"/>
      <c r="AE369" s="1409"/>
      <c r="AF369" s="1409"/>
      <c r="AG369" s="1409"/>
      <c r="AH369" s="1409"/>
    </row>
    <row r="370" spans="1:34" ht="12.95" customHeight="1">
      <c r="E370" s="4" t="s">
        <v>448</v>
      </c>
      <c r="F370" s="4"/>
      <c r="G370" s="4"/>
      <c r="H370" s="4"/>
      <c r="I370" s="4"/>
      <c r="J370" s="4"/>
      <c r="K370" s="4"/>
      <c r="L370" s="4"/>
      <c r="N370" s="1441"/>
      <c r="O370" s="1441"/>
      <c r="P370" s="1441"/>
      <c r="Q370" s="1441"/>
      <c r="R370" s="4"/>
      <c r="U370" s="4" t="s">
        <v>449</v>
      </c>
      <c r="V370" s="4"/>
      <c r="W370" s="4"/>
      <c r="X370" s="4"/>
      <c r="Y370" s="4"/>
      <c r="Z370" s="4"/>
      <c r="AA370" s="4"/>
      <c r="AB370" s="4"/>
      <c r="AC370" s="1441"/>
      <c r="AD370" s="1441"/>
      <c r="AE370" s="1441"/>
      <c r="AF370" s="1441"/>
    </row>
    <row r="371" spans="1:34" ht="12.95" customHeight="1">
      <c r="E371" s="4" t="s">
        <v>450</v>
      </c>
      <c r="F371" s="4"/>
      <c r="G371" s="4"/>
      <c r="H371" s="4"/>
      <c r="I371" s="4"/>
      <c r="J371" s="4"/>
      <c r="K371" s="4"/>
      <c r="L371" s="4"/>
      <c r="N371" s="1441"/>
      <c r="O371" s="1441"/>
      <c r="P371" s="1441"/>
      <c r="Q371" s="1441"/>
      <c r="R371" s="4"/>
      <c r="U371" s="4" t="s">
        <v>0</v>
      </c>
      <c r="V371" s="4"/>
      <c r="W371" s="4"/>
      <c r="X371" s="4"/>
      <c r="Y371" s="4"/>
      <c r="Z371" s="4"/>
      <c r="AA371" s="4"/>
      <c r="AB371" s="4"/>
      <c r="AC371" s="1441"/>
      <c r="AD371" s="1441"/>
      <c r="AE371" s="1441"/>
      <c r="AF371" s="1441"/>
    </row>
    <row r="372" spans="1:34" ht="12.95" customHeight="1">
      <c r="E372" s="4" t="s">
        <v>1</v>
      </c>
      <c r="F372" s="4"/>
      <c r="G372" s="4"/>
      <c r="H372" s="4"/>
      <c r="I372" s="4"/>
      <c r="J372" s="4"/>
      <c r="K372" s="4"/>
      <c r="L372" s="4"/>
      <c r="N372" s="1441"/>
      <c r="O372" s="1441"/>
      <c r="P372" s="1441"/>
      <c r="Q372" s="1441"/>
      <c r="R372" s="4"/>
      <c r="V372" s="4"/>
      <c r="W372" s="4"/>
      <c r="X372" s="4"/>
      <c r="Y372" s="4"/>
      <c r="Z372" s="4"/>
      <c r="AA372" s="4"/>
      <c r="AB372" s="4"/>
    </row>
    <row r="373" spans="1:34" ht="12.95" customHeight="1">
      <c r="E373" s="4" t="s">
        <v>2</v>
      </c>
      <c r="F373" s="4"/>
      <c r="G373" s="4"/>
      <c r="H373" s="4"/>
      <c r="I373" s="4"/>
      <c r="J373" s="4"/>
      <c r="K373" s="4"/>
      <c r="L373" s="4"/>
      <c r="N373" s="1752"/>
      <c r="O373" s="1752"/>
      <c r="P373" s="1752"/>
      <c r="Q373" s="1752"/>
      <c r="R373" s="1752"/>
      <c r="S373" s="1752"/>
      <c r="T373" s="1752"/>
      <c r="U373" s="1752"/>
      <c r="V373" s="1752"/>
      <c r="W373" s="1752"/>
      <c r="X373" s="1752"/>
      <c r="Y373" s="1752"/>
      <c r="Z373" s="1752"/>
      <c r="AA373" s="1752"/>
      <c r="AB373" s="1752"/>
      <c r="AC373" s="1752"/>
      <c r="AD373" s="1752"/>
      <c r="AE373" s="1752"/>
      <c r="AF373" s="1752"/>
    </row>
    <row r="374" spans="1:34" ht="12.95" customHeight="1">
      <c r="E374" s="4"/>
      <c r="F374" s="4"/>
      <c r="G374" s="4"/>
      <c r="H374" s="4"/>
      <c r="I374" s="4"/>
      <c r="J374" s="4"/>
      <c r="K374" s="4"/>
      <c r="L374" s="4"/>
      <c r="N374" s="1753"/>
      <c r="O374" s="1753"/>
      <c r="P374" s="1753"/>
      <c r="Q374" s="1753"/>
      <c r="R374" s="1753"/>
      <c r="S374" s="1753"/>
      <c r="T374" s="1753"/>
      <c r="U374" s="1753"/>
      <c r="V374" s="1753"/>
      <c r="W374" s="1753"/>
      <c r="X374" s="1753"/>
      <c r="Y374" s="1753"/>
      <c r="Z374" s="1753"/>
      <c r="AA374" s="1753"/>
      <c r="AB374" s="1753"/>
      <c r="AC374" s="1753"/>
      <c r="AD374" s="1753"/>
      <c r="AE374" s="1753"/>
      <c r="AF374" s="1753"/>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805"/>
      <c r="T377" s="1805"/>
      <c r="U377" s="1" t="s">
        <v>305</v>
      </c>
      <c r="V377" s="1805"/>
      <c r="W377" s="1805"/>
      <c r="Y377" t="s">
        <v>2079</v>
      </c>
      <c r="AC377" s="27" t="s">
        <v>304</v>
      </c>
      <c r="AD377" s="1805"/>
      <c r="AE377" s="1805"/>
      <c r="AF377" s="1" t="s">
        <v>305</v>
      </c>
      <c r="AG377" s="1805"/>
      <c r="AH377" s="1805"/>
    </row>
    <row r="378" spans="1:34" ht="12.95" customHeight="1">
      <c r="E378" s="4" t="s">
        <v>987</v>
      </c>
      <c r="F378" s="4"/>
      <c r="G378" s="4"/>
      <c r="H378" s="4"/>
      <c r="I378" s="4"/>
      <c r="J378" s="4"/>
      <c r="K378" s="4"/>
      <c r="L378" s="4"/>
      <c r="N378" s="1805"/>
      <c r="O378" s="1805"/>
      <c r="P378" s="1805"/>
    </row>
    <row r="379" spans="1:34" ht="12.95" customHeight="1">
      <c r="E379" s="204" t="s">
        <v>2085</v>
      </c>
      <c r="F379" s="4"/>
      <c r="G379" s="4"/>
      <c r="H379" s="4"/>
      <c r="I379" s="4"/>
      <c r="J379" s="4"/>
      <c r="K379" s="4"/>
      <c r="L379" s="4"/>
      <c r="AG379" s="1781" t="s">
        <v>591</v>
      </c>
      <c r="AH379" s="1781"/>
    </row>
    <row r="380" spans="1:34" ht="12.95" customHeight="1">
      <c r="E380" s="4"/>
      <c r="F380" s="4"/>
      <c r="G380" s="4" t="s">
        <v>2086</v>
      </c>
      <c r="H380" s="4"/>
      <c r="I380" s="4"/>
      <c r="J380" s="4"/>
      <c r="K380" s="4"/>
      <c r="L380" s="4"/>
      <c r="AG380" s="1781" t="s">
        <v>591</v>
      </c>
      <c r="AH380" s="1781"/>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60" t="s">
        <v>2693</v>
      </c>
      <c r="K385" s="1360"/>
      <c r="L385" s="1360"/>
      <c r="M385" s="1360"/>
      <c r="N385" s="1360"/>
      <c r="O385" s="1360"/>
      <c r="P385" s="1360"/>
      <c r="Q385" s="1360"/>
      <c r="R385" s="1360"/>
      <c r="S385" s="1360"/>
      <c r="T385" s="1360"/>
      <c r="U385" s="1360"/>
      <c r="V385" s="8" t="s">
        <v>83</v>
      </c>
      <c r="W385" s="8"/>
      <c r="X385" s="8"/>
      <c r="Y385" s="8"/>
      <c r="Z385" s="8"/>
      <c r="AA385" s="8"/>
      <c r="AB385" s="8"/>
      <c r="AC385" s="1360"/>
      <c r="AD385" s="1360"/>
      <c r="AE385" s="1360"/>
      <c r="AF385" s="1360"/>
      <c r="AG385" s="1360"/>
      <c r="AH385" s="1360"/>
      <c r="AI385" s="1360"/>
      <c r="AJ385" s="1360"/>
    </row>
    <row r="386" spans="4:36" ht="12.95" customHeight="1">
      <c r="D386" s="3" t="s">
        <v>1182</v>
      </c>
      <c r="J386" s="1467" t="s">
        <v>2694</v>
      </c>
      <c r="K386" s="1467"/>
      <c r="L386" s="1467"/>
      <c r="M386" s="1467"/>
      <c r="N386" s="1467"/>
      <c r="O386" s="1467"/>
      <c r="P386" s="1467"/>
      <c r="Q386" s="1467"/>
      <c r="R386" s="1467"/>
      <c r="S386" s="1467"/>
      <c r="T386" s="1467"/>
      <c r="U386" s="1467"/>
      <c r="V386" s="3" t="s">
        <v>1182</v>
      </c>
      <c r="W386" s="8"/>
      <c r="X386" s="8"/>
      <c r="Y386" s="8"/>
      <c r="Z386" s="8"/>
      <c r="AA386" s="8"/>
      <c r="AB386" s="8"/>
      <c r="AC386" s="1360" t="s">
        <v>2695</v>
      </c>
      <c r="AD386" s="1360"/>
      <c r="AE386" s="1360"/>
      <c r="AF386" s="1360"/>
      <c r="AG386" s="1360"/>
      <c r="AH386" s="1360"/>
      <c r="AI386" s="1360"/>
      <c r="AJ386" s="1360"/>
    </row>
    <row r="387" spans="4:36" ht="12.95" customHeight="1">
      <c r="D387" s="3" t="s">
        <v>441</v>
      </c>
      <c r="J387" s="1467" t="s">
        <v>2696</v>
      </c>
      <c r="K387" s="1467"/>
      <c r="L387" s="1467"/>
      <c r="M387" s="1467"/>
      <c r="N387" s="1467"/>
      <c r="O387" s="1467"/>
      <c r="P387" s="1467"/>
      <c r="Q387" s="1467"/>
      <c r="R387" s="1467"/>
      <c r="S387" s="1467"/>
      <c r="T387" s="1467"/>
      <c r="U387" s="1467"/>
      <c r="V387" s="3" t="s">
        <v>441</v>
      </c>
      <c r="W387" s="8"/>
      <c r="X387" s="8"/>
      <c r="Y387" s="8"/>
      <c r="Z387" s="8"/>
      <c r="AA387" s="8"/>
      <c r="AB387" s="8"/>
      <c r="AC387" s="1360" t="s">
        <v>2696</v>
      </c>
      <c r="AD387" s="1360"/>
      <c r="AE387" s="1360"/>
      <c r="AF387" s="1360"/>
      <c r="AG387" s="1360"/>
      <c r="AH387" s="1360"/>
      <c r="AI387" s="1360"/>
      <c r="AJ387" s="1360"/>
    </row>
    <row r="388" spans="4:36" ht="12.95" customHeight="1">
      <c r="D388" t="s">
        <v>1178</v>
      </c>
      <c r="J388" s="1398" t="s">
        <v>2618</v>
      </c>
      <c r="K388" s="1398"/>
      <c r="L388" s="1398"/>
      <c r="M388" s="1398"/>
      <c r="N388" s="1398"/>
      <c r="O388" s="1398"/>
      <c r="P388" s="1398"/>
      <c r="Q388" s="1398"/>
      <c r="R388" s="1398"/>
      <c r="S388" s="1398"/>
      <c r="T388" s="1398"/>
      <c r="U388" s="1398"/>
      <c r="V388" s="1360" t="s">
        <v>2697</v>
      </c>
      <c r="W388" s="1360"/>
      <c r="X388" s="1360"/>
      <c r="Y388" s="1360"/>
      <c r="Z388" s="1360"/>
      <c r="AA388" s="1360"/>
      <c r="AB388" s="1360"/>
      <c r="AC388" s="1360"/>
      <c r="AD388" s="1360"/>
      <c r="AE388" s="1360"/>
      <c r="AF388" s="1360"/>
      <c r="AG388" s="1360"/>
      <c r="AH388" s="1360"/>
      <c r="AI388" s="1360"/>
      <c r="AJ388" s="1360"/>
    </row>
    <row r="389" spans="4:36" ht="12.95" customHeight="1">
      <c r="D389" t="s">
        <v>4</v>
      </c>
      <c r="Q389" s="1803">
        <v>45726</v>
      </c>
      <c r="R389" s="1803"/>
      <c r="S389" s="1803"/>
      <c r="T389" s="1803"/>
      <c r="U389" s="1803"/>
      <c r="V389" t="s">
        <v>308</v>
      </c>
      <c r="AI389" s="1332" t="s">
        <v>669</v>
      </c>
      <c r="AJ389" s="1332"/>
    </row>
    <row r="390" spans="4:36" ht="12.95" customHeight="1">
      <c r="D390" t="s">
        <v>5</v>
      </c>
      <c r="Q390" s="1537">
        <v>46174</v>
      </c>
      <c r="R390" s="1810"/>
      <c r="S390" s="1810"/>
      <c r="T390" s="1810"/>
      <c r="U390" s="1810"/>
      <c r="W390" s="21" t="s">
        <v>74</v>
      </c>
      <c r="AG390" s="1744"/>
      <c r="AH390" s="1744"/>
      <c r="AI390" s="1744"/>
      <c r="AJ390" s="1744"/>
    </row>
    <row r="391" spans="4:36" ht="12.95" customHeight="1">
      <c r="D391" t="s">
        <v>426</v>
      </c>
      <c r="Q391" s="1831">
        <v>3500000</v>
      </c>
      <c r="R391" s="1831"/>
      <c r="S391" s="1831"/>
      <c r="T391" s="1831"/>
      <c r="U391" s="1831"/>
      <c r="V391" s="3" t="s">
        <v>1181</v>
      </c>
      <c r="AG391" s="1809"/>
      <c r="AH391" s="1809"/>
      <c r="AI391" s="1809"/>
      <c r="AJ391" s="1809"/>
    </row>
    <row r="392" spans="4:36" ht="12.95" customHeight="1">
      <c r="D392" t="s">
        <v>88</v>
      </c>
      <c r="I392" s="1420"/>
      <c r="J392" s="1420"/>
      <c r="K392" s="1420"/>
      <c r="L392" s="1420"/>
      <c r="M392" s="1420"/>
      <c r="N392" s="1420"/>
      <c r="Q392" s="4" t="s">
        <v>205</v>
      </c>
      <c r="S392" s="1830"/>
      <c r="T392" s="1830"/>
      <c r="U392" s="1830"/>
      <c r="V392" t="s">
        <v>73</v>
      </c>
      <c r="AI392" s="1332" t="s">
        <v>669</v>
      </c>
      <c r="AJ392" s="1332"/>
    </row>
    <row r="393" spans="4:36" ht="12.95" customHeight="1">
      <c r="D393" t="s">
        <v>309</v>
      </c>
      <c r="Q393" s="1573">
        <v>12500</v>
      </c>
      <c r="R393" s="1573"/>
      <c r="S393" s="1573"/>
      <c r="T393" s="1573"/>
      <c r="U393" s="1573"/>
      <c r="V393" t="s">
        <v>310</v>
      </c>
      <c r="AG393" s="1744">
        <v>150000</v>
      </c>
      <c r="AH393" s="1744"/>
      <c r="AI393" s="1744"/>
      <c r="AJ393" s="1744"/>
    </row>
    <row r="394" spans="4:36" ht="12.95" customHeight="1">
      <c r="D394" t="s">
        <v>311</v>
      </c>
      <c r="Q394" s="1826"/>
      <c r="R394" s="1826"/>
      <c r="S394" s="1826"/>
      <c r="T394" s="1826"/>
      <c r="U394" s="1826"/>
      <c r="V394" t="s">
        <v>1163</v>
      </c>
      <c r="AG394" s="1744"/>
      <c r="AH394" s="1744"/>
      <c r="AI394" s="1744"/>
      <c r="AJ394" s="1744"/>
    </row>
    <row r="395" spans="4:36" ht="12.95" customHeight="1">
      <c r="D395" t="s">
        <v>1162</v>
      </c>
      <c r="AG395" s="1744"/>
      <c r="AH395" s="1744"/>
      <c r="AI395" s="1744"/>
      <c r="AJ395" s="1744"/>
    </row>
    <row r="396" spans="4:36" ht="12.95" customHeight="1">
      <c r="AG396" s="456"/>
      <c r="AH396" s="456"/>
      <c r="AI396" s="456"/>
      <c r="AJ396" s="456"/>
    </row>
    <row r="397" spans="4:36" ht="12.95" customHeight="1">
      <c r="D397" s="3" t="s">
        <v>2142</v>
      </c>
      <c r="AG397" s="456"/>
      <c r="AH397" s="456"/>
      <c r="AI397" s="1332" t="s">
        <v>669</v>
      </c>
      <c r="AJ397" s="1332"/>
    </row>
    <row r="398" spans="4:36" ht="12.95" customHeight="1">
      <c r="D398" s="3" t="s">
        <v>1667</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1666</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1660</v>
      </c>
      <c r="S401" s="1751" t="s">
        <v>669</v>
      </c>
      <c r="T401" s="1751"/>
      <c r="U401" s="1751"/>
      <c r="V401" t="s">
        <v>1661</v>
      </c>
      <c r="AG401" s="1811"/>
      <c r="AH401" s="1811"/>
      <c r="AI401" s="1811"/>
      <c r="AJ401" s="1811"/>
    </row>
    <row r="402" spans="1:36" ht="12.95" customHeight="1">
      <c r="D402" s="3" t="s">
        <v>1658</v>
      </c>
      <c r="S402" s="1751" t="s">
        <v>591</v>
      </c>
      <c r="T402" s="1751"/>
      <c r="U402" s="1751"/>
      <c r="V402" t="s">
        <v>1663</v>
      </c>
      <c r="AE402" s="1804"/>
      <c r="AF402" s="1804"/>
      <c r="AG402" s="1804"/>
      <c r="AH402" s="1804"/>
      <c r="AI402" s="1804"/>
      <c r="AJ402" s="1804"/>
    </row>
    <row r="403" spans="1:36" ht="12.95" customHeight="1">
      <c r="D403" s="3" t="s">
        <v>1659</v>
      </c>
      <c r="K403" s="1792"/>
      <c r="L403" s="1792"/>
      <c r="M403" s="1792"/>
      <c r="N403" s="1792"/>
      <c r="O403" s="1792"/>
      <c r="P403" s="1792"/>
      <c r="Q403" s="1792"/>
      <c r="R403" s="1792"/>
      <c r="S403" s="1792"/>
      <c r="T403" s="1792"/>
      <c r="U403" s="1792"/>
      <c r="V403" s="1792"/>
      <c r="W403" s="1792"/>
      <c r="X403" s="1792"/>
      <c r="Y403" s="1792"/>
      <c r="Z403" s="1792"/>
      <c r="AA403" s="1792"/>
      <c r="AB403" s="1792"/>
      <c r="AC403" s="1792"/>
      <c r="AD403" s="1792"/>
      <c r="AE403" s="1792"/>
      <c r="AF403" s="1792"/>
      <c r="AG403" s="1792"/>
      <c r="AH403" s="1792"/>
      <c r="AI403" s="1792"/>
      <c r="AJ403" s="1792"/>
    </row>
    <row r="404" spans="1:36" ht="12.95" customHeight="1">
      <c r="D404" s="3" t="s">
        <v>1662</v>
      </c>
      <c r="K404" s="1792"/>
      <c r="L404" s="1792"/>
      <c r="M404" s="1792"/>
      <c r="N404" s="1792"/>
      <c r="O404" s="1792"/>
      <c r="P404" s="1792"/>
      <c r="Q404" s="1792"/>
      <c r="R404" s="1792"/>
      <c r="S404" s="1792"/>
      <c r="T404" s="1792"/>
      <c r="U404" s="1792"/>
      <c r="V404" s="1792"/>
      <c r="W404" s="1792"/>
      <c r="X404" s="1792"/>
      <c r="Y404" s="1792"/>
      <c r="Z404" s="1792"/>
      <c r="AA404" s="1792"/>
      <c r="AB404" s="1792"/>
      <c r="AC404" s="1792"/>
      <c r="AD404" s="1792"/>
      <c r="AE404" s="1792"/>
      <c r="AF404" s="1792"/>
      <c r="AG404" s="1792"/>
      <c r="AH404" s="1792"/>
      <c r="AI404" s="1792"/>
      <c r="AJ404" s="1792"/>
    </row>
    <row r="405" spans="1:36" ht="12.95" customHeight="1">
      <c r="D405" s="3" t="s">
        <v>1665</v>
      </c>
      <c r="E405" s="477"/>
      <c r="F405" s="477"/>
      <c r="G405" s="477"/>
      <c r="H405" s="477"/>
      <c r="I405" s="477"/>
      <c r="J405" s="477"/>
      <c r="K405" s="477"/>
      <c r="L405" s="477"/>
      <c r="M405" s="477"/>
      <c r="N405" s="477"/>
      <c r="O405" s="477"/>
      <c r="P405" s="477"/>
      <c r="Q405" s="477"/>
      <c r="R405" s="477"/>
      <c r="S405" s="1829" t="s">
        <v>2698</v>
      </c>
      <c r="T405" s="1829"/>
      <c r="U405" s="1829"/>
      <c r="V405" s="1829"/>
      <c r="W405" s="1829"/>
      <c r="X405" s="1829"/>
      <c r="Y405" s="1829"/>
      <c r="Z405" s="1829"/>
      <c r="AA405" s="1829"/>
      <c r="AB405" s="1829"/>
      <c r="AC405" s="1829"/>
      <c r="AD405" s="1829"/>
      <c r="AE405" s="1829"/>
      <c r="AF405" s="1829"/>
      <c r="AG405" s="1829"/>
      <c r="AH405" s="1829"/>
      <c r="AI405" s="1829"/>
      <c r="AJ405" s="1829"/>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359" t="s">
        <v>2699</v>
      </c>
      <c r="J410" s="1359"/>
      <c r="K410" s="1359"/>
      <c r="L410" s="1359"/>
      <c r="M410" s="1359"/>
      <c r="N410" s="1359"/>
      <c r="O410" s="1359"/>
      <c r="P410" s="1359"/>
      <c r="Q410" s="1359"/>
      <c r="R410" s="1359"/>
      <c r="S410" s="1359"/>
      <c r="T410" s="1359"/>
      <c r="U410" s="1359"/>
      <c r="V410" s="1359"/>
      <c r="W410" s="1359"/>
      <c r="X410" s="1359"/>
      <c r="Y410" s="1359"/>
      <c r="Z410" s="1359"/>
      <c r="AA410" s="1359"/>
      <c r="AB410" s="1359"/>
      <c r="AC410" s="1359"/>
      <c r="AD410" s="1359"/>
      <c r="AE410" s="1359"/>
    </row>
    <row r="411" spans="1:36" ht="12.95" customHeight="1">
      <c r="E411" t="s">
        <v>106</v>
      </c>
      <c r="R411" s="1332" t="s">
        <v>545</v>
      </c>
      <c r="S411" s="1332"/>
      <c r="AC411" s="27" t="s">
        <v>570</v>
      </c>
      <c r="AD411" s="1441">
        <v>6</v>
      </c>
      <c r="AE411" s="1441"/>
    </row>
    <row r="412" spans="1:36" ht="12.95" customHeight="1">
      <c r="E412" t="s">
        <v>107</v>
      </c>
      <c r="R412" s="1332" t="s">
        <v>591</v>
      </c>
      <c r="S412" s="1332"/>
      <c r="AC412" s="27" t="s">
        <v>570</v>
      </c>
      <c r="AD412" s="1441"/>
      <c r="AE412" s="1441"/>
    </row>
    <row r="413" spans="1:36" ht="12.95" customHeight="1">
      <c r="E413" t="s">
        <v>108</v>
      </c>
      <c r="S413" s="1332" t="s">
        <v>591</v>
      </c>
      <c r="T413" s="1332"/>
    </row>
    <row r="414" spans="1:36" ht="12.95" customHeight="1">
      <c r="E414" t="s">
        <v>169</v>
      </c>
      <c r="H414" s="1827" t="s">
        <v>333</v>
      </c>
      <c r="I414" s="1827"/>
      <c r="J414" s="1827"/>
      <c r="K414" s="1827"/>
      <c r="L414" s="1827"/>
      <c r="M414" s="1827"/>
      <c r="N414" s="1827"/>
      <c r="O414" s="1827"/>
      <c r="P414" s="1827"/>
      <c r="Q414" s="1827"/>
      <c r="R414" s="1827"/>
      <c r="S414" s="1827"/>
      <c r="T414" s="1827"/>
      <c r="U414" s="1827"/>
      <c r="V414" s="1827"/>
      <c r="W414" s="1827"/>
      <c r="X414" s="1827"/>
      <c r="Y414" s="1827"/>
      <c r="Z414" s="1827"/>
      <c r="AA414" s="1827"/>
      <c r="AB414" s="1827"/>
      <c r="AC414" s="1827"/>
      <c r="AD414" s="1827"/>
      <c r="AE414" s="1827"/>
    </row>
    <row r="415" spans="1:36" ht="12.95" customHeight="1">
      <c r="H415" s="1828"/>
      <c r="I415" s="1828"/>
      <c r="J415" s="1828"/>
      <c r="K415" s="1828"/>
      <c r="L415" s="1828"/>
      <c r="M415" s="1828"/>
      <c r="N415" s="1828"/>
      <c r="O415" s="1828"/>
      <c r="P415" s="1828"/>
      <c r="Q415" s="1828"/>
      <c r="R415" s="1828"/>
      <c r="S415" s="1828"/>
      <c r="T415" s="1828"/>
      <c r="U415" s="1828"/>
      <c r="V415" s="1828"/>
      <c r="W415" s="1828"/>
      <c r="X415" s="1828"/>
      <c r="Y415" s="1828"/>
      <c r="Z415" s="1828"/>
      <c r="AA415" s="1828"/>
      <c r="AB415" s="1828"/>
      <c r="AC415" s="1828"/>
      <c r="AD415" s="1828"/>
      <c r="AE415" s="1828"/>
    </row>
    <row r="416" spans="1:36" ht="12.95" customHeight="1"/>
    <row r="417" spans="1:39" ht="12.95" customHeight="1">
      <c r="A417" s="2" t="s">
        <v>590</v>
      </c>
      <c r="B417" s="2"/>
      <c r="C417" s="2"/>
      <c r="D417" s="2" t="s">
        <v>114</v>
      </c>
      <c r="AF417" s="2" t="s">
        <v>957</v>
      </c>
    </row>
    <row r="418" spans="1:39" ht="12.95" customHeight="1">
      <c r="E418" s="1805"/>
      <c r="F418" s="1805"/>
      <c r="G418" s="1805"/>
      <c r="H418" s="13" t="s">
        <v>115</v>
      </c>
      <c r="I418" s="1805"/>
      <c r="J418" s="1805"/>
      <c r="K418" s="1805"/>
      <c r="L418" t="s">
        <v>116</v>
      </c>
      <c r="N418" s="27" t="s">
        <v>575</v>
      </c>
      <c r="P418" s="1808">
        <v>2.15</v>
      </c>
      <c r="Q418" s="1808"/>
      <c r="R418" s="1808"/>
      <c r="S418" t="s">
        <v>117</v>
      </c>
      <c r="W418" s="1806">
        <f>IF(E418&gt;0,(E418*I418),(P418*43560))</f>
        <v>93654</v>
      </c>
      <c r="X418" s="1806"/>
      <c r="Y418" s="1806"/>
      <c r="Z418" t="s">
        <v>118</v>
      </c>
      <c r="AF418" s="1755">
        <f>IFERROR(IF(P418&gt;0,(AG437/P418),(AG437/(W418/43560))),0)</f>
        <v>74.418604651162795</v>
      </c>
      <c r="AG418" s="1755"/>
      <c r="AH418" s="1755"/>
      <c r="AM418" s="3"/>
    </row>
    <row r="419" spans="1:39" ht="12.95" customHeight="1">
      <c r="E419" t="s">
        <v>51</v>
      </c>
    </row>
    <row r="420" spans="1:39" ht="12.95" customHeight="1">
      <c r="E420" s="1745"/>
      <c r="F420" s="1745"/>
      <c r="G420" s="1745"/>
      <c r="H420" s="1745"/>
      <c r="I420" s="1745"/>
      <c r="J420" s="1745"/>
      <c r="K420" s="1745"/>
      <c r="L420" s="1745"/>
      <c r="M420" s="1745"/>
      <c r="N420" s="1745"/>
      <c r="O420" s="1745"/>
      <c r="P420" s="1745"/>
      <c r="Q420" s="1745"/>
      <c r="R420" s="1745"/>
      <c r="S420" s="1745"/>
      <c r="T420" s="1745"/>
      <c r="U420" s="1745"/>
      <c r="V420" s="1745"/>
      <c r="W420" s="1745"/>
      <c r="X420" s="1745"/>
      <c r="Y420" s="1745"/>
      <c r="Z420" s="1745"/>
      <c r="AA420" s="1745"/>
      <c r="AB420" s="1745"/>
      <c r="AC420" s="1745"/>
      <c r="AD420" s="1745"/>
      <c r="AE420" s="1745"/>
      <c r="AF420" s="1745"/>
      <c r="AG420" s="1745"/>
      <c r="AH420" s="1745"/>
      <c r="AI420" s="1745"/>
      <c r="AJ420" s="1745"/>
    </row>
    <row r="421" spans="1:39" ht="12.95" customHeight="1">
      <c r="E421" s="118" t="s">
        <v>1736</v>
      </c>
      <c r="F421" s="1013"/>
      <c r="G421" s="1013"/>
      <c r="H421" s="1013"/>
      <c r="I421" s="1807">
        <v>2.15</v>
      </c>
      <c r="J421" s="1807"/>
      <c r="K421" s="1807"/>
      <c r="L421" s="1013"/>
      <c r="M421" s="118"/>
      <c r="N421" s="1013"/>
      <c r="O421" s="1013"/>
      <c r="P421" s="1435">
        <f>(DU755+DU778+DU800)/I421</f>
        <v>156.27906976744185</v>
      </c>
      <c r="Q421" s="1435"/>
      <c r="R421" s="1435"/>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797"/>
      <c r="G427" s="1797"/>
      <c r="H427" s="1797"/>
      <c r="I427" s="1797"/>
      <c r="J427" s="1797"/>
      <c r="K427" s="1797"/>
      <c r="L427" s="1797"/>
      <c r="M427" s="1797"/>
      <c r="N427" s="1797"/>
      <c r="O427" s="1797"/>
      <c r="P427" s="1797"/>
      <c r="Q427" s="1797"/>
      <c r="R427" s="1797"/>
      <c r="S427" s="1797"/>
      <c r="T427" s="1797"/>
      <c r="U427" s="1797"/>
      <c r="V427" s="1797"/>
      <c r="W427" s="1797"/>
      <c r="X427" s="1797"/>
      <c r="Y427" s="1797"/>
      <c r="Z427" s="1797"/>
      <c r="AA427" s="1797"/>
      <c r="AB427" s="1797"/>
      <c r="AC427" s="1797"/>
      <c r="AD427" s="1797"/>
      <c r="AE427" s="1797"/>
      <c r="AF427" s="1797"/>
      <c r="AG427" s="1797"/>
      <c r="AH427" s="1797"/>
    </row>
    <row r="428" spans="1:39" ht="12.95" customHeight="1">
      <c r="F428" s="1798"/>
      <c r="G428" s="1798"/>
      <c r="H428" s="1798"/>
      <c r="I428" s="1798"/>
      <c r="J428" s="1798"/>
      <c r="K428" s="1798"/>
      <c r="L428" s="1798"/>
      <c r="M428" s="1798"/>
      <c r="N428" s="1798"/>
      <c r="O428" s="1798"/>
      <c r="P428" s="1798"/>
      <c r="Q428" s="1798"/>
      <c r="R428" s="1798"/>
      <c r="S428" s="1798"/>
      <c r="T428" s="1798"/>
      <c r="U428" s="1798"/>
      <c r="V428" s="1798"/>
      <c r="W428" s="1798"/>
      <c r="X428" s="1798"/>
      <c r="Y428" s="1798"/>
      <c r="Z428" s="1798"/>
      <c r="AA428" s="1798"/>
      <c r="AB428" s="1798"/>
      <c r="AC428" s="1798"/>
      <c r="AD428" s="1798"/>
      <c r="AE428" s="1798"/>
      <c r="AF428" s="1798"/>
      <c r="AG428" s="1798"/>
      <c r="AH428" s="1798"/>
    </row>
    <row r="429" spans="1:39" ht="12.95" customHeight="1">
      <c r="E429" t="s">
        <v>608</v>
      </c>
      <c r="P429" s="1"/>
      <c r="Q429" s="1332" t="s">
        <v>669</v>
      </c>
      <c r="R429" s="1332"/>
    </row>
    <row r="430" spans="1:39" ht="12.95" customHeight="1">
      <c r="F430" t="s">
        <v>609</v>
      </c>
      <c r="P430" s="1"/>
      <c r="Q430" s="1"/>
      <c r="AF430" s="1332" t="s">
        <v>591</v>
      </c>
      <c r="AG430" s="1822"/>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38" t="s">
        <v>43</v>
      </c>
      <c r="E437" s="1639"/>
      <c r="F437" s="1639"/>
      <c r="G437" s="1639"/>
      <c r="H437" s="1639"/>
      <c r="I437" s="1639"/>
      <c r="J437" s="1639"/>
      <c r="K437" s="1639"/>
      <c r="L437" s="1639"/>
      <c r="M437" s="1639"/>
      <c r="N437" s="1639"/>
      <c r="O437" s="1639"/>
      <c r="P437" s="1639"/>
      <c r="Q437" s="1639"/>
      <c r="R437" s="1639"/>
      <c r="S437" s="1639"/>
      <c r="T437" s="1639"/>
      <c r="U437" s="1639"/>
      <c r="V437" s="1639"/>
      <c r="W437" s="1639"/>
      <c r="X437" s="1639"/>
      <c r="Y437" s="1639"/>
      <c r="Z437" s="1639"/>
      <c r="AA437" s="1639"/>
      <c r="AB437" s="1639"/>
      <c r="AC437" s="1639"/>
      <c r="AD437" s="1639"/>
      <c r="AE437" s="1639"/>
      <c r="AF437" s="1704"/>
      <c r="AG437" s="1762">
        <v>160</v>
      </c>
      <c r="AH437" s="1762"/>
      <c r="AI437" s="1762"/>
      <c r="AJ437" s="1762"/>
    </row>
    <row r="438" spans="1:55" ht="12.95" customHeight="1">
      <c r="D438" s="1701" t="s">
        <v>1222</v>
      </c>
      <c r="E438" s="1702"/>
      <c r="F438" s="1702"/>
      <c r="G438" s="1702"/>
      <c r="H438" s="1702"/>
      <c r="I438" s="1702"/>
      <c r="J438" s="1702"/>
      <c r="K438" s="1702"/>
      <c r="L438" s="1702"/>
      <c r="M438" s="1702"/>
      <c r="N438" s="1702"/>
      <c r="O438" s="1702"/>
      <c r="P438" s="1702"/>
      <c r="Q438" s="1702"/>
      <c r="R438" s="1702"/>
      <c r="S438" s="1702"/>
      <c r="T438" s="1702"/>
      <c r="U438" s="1702"/>
      <c r="V438" s="1702"/>
      <c r="W438" s="1702"/>
      <c r="X438" s="1702"/>
      <c r="Y438" s="1702"/>
      <c r="Z438" s="1702"/>
      <c r="AA438" s="1702"/>
      <c r="AB438" s="1702"/>
      <c r="AC438" s="1702"/>
      <c r="AD438" s="1702"/>
      <c r="AE438" s="1702"/>
      <c r="AF438" s="1703"/>
      <c r="AG438" s="1760">
        <v>0</v>
      </c>
      <c r="AH438" s="1625"/>
      <c r="AI438" s="1625"/>
      <c r="AJ438" s="1625"/>
    </row>
    <row r="439" spans="1:55" ht="12.95" customHeight="1">
      <c r="D439" s="1701" t="s">
        <v>1031</v>
      </c>
      <c r="E439" s="1702"/>
      <c r="F439" s="1702"/>
      <c r="G439" s="1702"/>
      <c r="H439" s="1702"/>
      <c r="I439" s="1702"/>
      <c r="J439" s="1702"/>
      <c r="K439" s="1702"/>
      <c r="L439" s="1702"/>
      <c r="M439" s="1702"/>
      <c r="N439" s="1702"/>
      <c r="O439" s="1702"/>
      <c r="P439" s="1702"/>
      <c r="Q439" s="1702"/>
      <c r="R439" s="1702"/>
      <c r="S439" s="1702"/>
      <c r="T439" s="1702"/>
      <c r="U439" s="1702"/>
      <c r="V439" s="1702"/>
      <c r="W439" s="1702"/>
      <c r="X439" s="1702"/>
      <c r="Y439" s="1702"/>
      <c r="Z439" s="1702"/>
      <c r="AA439" s="1702"/>
      <c r="AB439" s="1702"/>
      <c r="AC439" s="1702"/>
      <c r="AD439" s="1702"/>
      <c r="AE439" s="1702"/>
      <c r="AF439" s="1703"/>
      <c r="AG439" s="1762">
        <v>158</v>
      </c>
      <c r="AH439" s="1762"/>
      <c r="AI439" s="1762"/>
      <c r="AJ439" s="1762"/>
    </row>
    <row r="440" spans="1:55" ht="12.95" customHeight="1">
      <c r="D440" s="1701" t="s">
        <v>1032</v>
      </c>
      <c r="E440" s="1702"/>
      <c r="F440" s="1702"/>
      <c r="G440" s="1702"/>
      <c r="H440" s="1702"/>
      <c r="I440" s="1702"/>
      <c r="J440" s="1702"/>
      <c r="K440" s="1702"/>
      <c r="L440" s="1702"/>
      <c r="M440" s="1702"/>
      <c r="N440" s="1702"/>
      <c r="O440" s="1702"/>
      <c r="P440" s="1702"/>
      <c r="Q440" s="1702"/>
      <c r="R440" s="1702"/>
      <c r="S440" s="1702"/>
      <c r="T440" s="1702"/>
      <c r="U440" s="1702"/>
      <c r="V440" s="1702"/>
      <c r="W440" s="1702"/>
      <c r="X440" s="1702"/>
      <c r="Y440" s="1702"/>
      <c r="Z440" s="1702"/>
      <c r="AA440" s="1702"/>
      <c r="AB440" s="1702"/>
      <c r="AC440" s="1702"/>
      <c r="AD440" s="1702"/>
      <c r="AE440" s="1702"/>
      <c r="AF440" s="1703"/>
      <c r="AG440" s="1762">
        <v>158</v>
      </c>
      <c r="AH440" s="1762"/>
      <c r="AI440" s="1762"/>
      <c r="AJ440" s="1762"/>
    </row>
    <row r="441" spans="1:55" ht="12.95" customHeight="1">
      <c r="D441" s="1701" t="s">
        <v>1034</v>
      </c>
      <c r="E441" s="1702"/>
      <c r="F441" s="1702"/>
      <c r="G441" s="1702"/>
      <c r="H441" s="1702"/>
      <c r="I441" s="1702"/>
      <c r="J441" s="1702"/>
      <c r="K441" s="1702"/>
      <c r="L441" s="1702"/>
      <c r="M441" s="1702"/>
      <c r="N441" s="1702"/>
      <c r="O441" s="1702"/>
      <c r="P441" s="1702"/>
      <c r="Q441" s="1702"/>
      <c r="R441" s="1702"/>
      <c r="S441" s="1702"/>
      <c r="T441" s="1702"/>
      <c r="U441" s="1702"/>
      <c r="V441" s="1702"/>
      <c r="W441" s="1702"/>
      <c r="X441" s="1702"/>
      <c r="Y441" s="1702"/>
      <c r="Z441" s="1702"/>
      <c r="AA441" s="1702"/>
      <c r="AB441" s="1702"/>
      <c r="AC441" s="1702"/>
      <c r="AD441" s="1702"/>
      <c r="AE441" s="1702"/>
      <c r="AF441" s="1703"/>
      <c r="AG441" s="1756">
        <f>IF(ISERROR(AG440/AG439),0,AG440/AG439)</f>
        <v>1</v>
      </c>
      <c r="AH441" s="1756"/>
      <c r="AI441" s="1756"/>
      <c r="AJ441" s="1756"/>
    </row>
    <row r="442" spans="1:55" ht="12.95" customHeight="1">
      <c r="D442" s="1701" t="s">
        <v>1033</v>
      </c>
      <c r="E442" s="1702"/>
      <c r="F442" s="1702"/>
      <c r="G442" s="1702"/>
      <c r="H442" s="1702"/>
      <c r="I442" s="1702"/>
      <c r="J442" s="1702"/>
      <c r="K442" s="1702"/>
      <c r="L442" s="1702"/>
      <c r="M442" s="1702"/>
      <c r="N442" s="1702"/>
      <c r="O442" s="1702"/>
      <c r="P442" s="1702"/>
      <c r="Q442" s="1702"/>
      <c r="R442" s="1702"/>
      <c r="S442" s="1702"/>
      <c r="T442" s="1702"/>
      <c r="U442" s="1702"/>
      <c r="V442" s="1702"/>
      <c r="W442" s="1702"/>
      <c r="X442" s="1702"/>
      <c r="Y442" s="1702"/>
      <c r="Z442" s="1702"/>
      <c r="AA442" s="1702"/>
      <c r="AB442" s="1702"/>
      <c r="AC442" s="1702"/>
      <c r="AD442" s="1702"/>
      <c r="AE442" s="1702"/>
      <c r="AF442" s="1703"/>
      <c r="AG442" s="1754">
        <v>127247</v>
      </c>
      <c r="AH442" s="1754"/>
      <c r="AI442" s="1754"/>
      <c r="AJ442" s="1754"/>
    </row>
    <row r="443" spans="1:55" ht="12.95" customHeight="1">
      <c r="D443" s="1701" t="s">
        <v>1035</v>
      </c>
      <c r="E443" s="1702"/>
      <c r="F443" s="1702"/>
      <c r="G443" s="1702"/>
      <c r="H443" s="1702"/>
      <c r="I443" s="1702"/>
      <c r="J443" s="1702"/>
      <c r="K443" s="1702"/>
      <c r="L443" s="1702"/>
      <c r="M443" s="1702"/>
      <c r="N443" s="1702"/>
      <c r="O443" s="1702"/>
      <c r="P443" s="1702"/>
      <c r="Q443" s="1702"/>
      <c r="R443" s="1702"/>
      <c r="S443" s="1702"/>
      <c r="T443" s="1702"/>
      <c r="U443" s="1702"/>
      <c r="V443" s="1702"/>
      <c r="W443" s="1702"/>
      <c r="X443" s="1702"/>
      <c r="Y443" s="1702"/>
      <c r="Z443" s="1702"/>
      <c r="AA443" s="1702"/>
      <c r="AB443" s="1702"/>
      <c r="AC443" s="1702"/>
      <c r="AD443" s="1702"/>
      <c r="AE443" s="1702"/>
      <c r="AF443" s="1703"/>
      <c r="AG443" s="1754">
        <v>127247</v>
      </c>
      <c r="AH443" s="1754"/>
      <c r="AI443" s="1754"/>
      <c r="AJ443" s="1754"/>
    </row>
    <row r="444" spans="1:55" ht="12.95" customHeight="1">
      <c r="D444" s="1701" t="s">
        <v>1036</v>
      </c>
      <c r="E444" s="1702"/>
      <c r="F444" s="1702"/>
      <c r="G444" s="1702"/>
      <c r="H444" s="1702"/>
      <c r="I444" s="1702"/>
      <c r="J444" s="1702"/>
      <c r="K444" s="1702"/>
      <c r="L444" s="1702"/>
      <c r="M444" s="1702"/>
      <c r="N444" s="1702"/>
      <c r="O444" s="1702"/>
      <c r="P444" s="1702"/>
      <c r="Q444" s="1702"/>
      <c r="R444" s="1702"/>
      <c r="S444" s="1702"/>
      <c r="T444" s="1702"/>
      <c r="U444" s="1702"/>
      <c r="V444" s="1702"/>
      <c r="W444" s="1702"/>
      <c r="X444" s="1702"/>
      <c r="Y444" s="1702"/>
      <c r="Z444" s="1702"/>
      <c r="AA444" s="1702"/>
      <c r="AB444" s="1702"/>
      <c r="AC444" s="1702"/>
      <c r="AD444" s="1702"/>
      <c r="AE444" s="1702"/>
      <c r="AF444" s="1703"/>
      <c r="AG444" s="1756">
        <f>IF(ISERROR(AG443/AG442),0,AG443/AG442)</f>
        <v>1</v>
      </c>
      <c r="AH444" s="1756"/>
      <c r="AI444" s="1756"/>
      <c r="AJ444" s="1756"/>
    </row>
    <row r="445" spans="1:55" ht="12.95" customHeight="1">
      <c r="D445" s="1701" t="s">
        <v>1037</v>
      </c>
      <c r="E445" s="1702"/>
      <c r="F445" s="1702"/>
      <c r="G445" s="1702"/>
      <c r="H445" s="1702"/>
      <c r="I445" s="1702"/>
      <c r="J445" s="1702"/>
      <c r="K445" s="1702"/>
      <c r="L445" s="1702"/>
      <c r="M445" s="1702"/>
      <c r="N445" s="1702"/>
      <c r="O445" s="1702"/>
      <c r="P445" s="1702"/>
      <c r="Q445" s="1702"/>
      <c r="R445" s="1702"/>
      <c r="S445" s="1702"/>
      <c r="T445" s="1702"/>
      <c r="U445" s="1702"/>
      <c r="V445" s="1702"/>
      <c r="W445" s="1702"/>
      <c r="X445" s="1702"/>
      <c r="Y445" s="1702"/>
      <c r="Z445" s="1702"/>
      <c r="AA445" s="1702"/>
      <c r="AB445" s="1702"/>
      <c r="AC445" s="1702"/>
      <c r="AD445" s="1702"/>
      <c r="AE445" s="1702"/>
      <c r="AF445" s="1703"/>
      <c r="AG445" s="1756">
        <f>MIN(IF(AG441&gt;AG444,AG444,AG441),1)</f>
        <v>1</v>
      </c>
      <c r="AH445" s="1756"/>
      <c r="AI445" s="1756"/>
      <c r="AJ445" s="1756"/>
    </row>
    <row r="446" spans="1:55" ht="12.95" customHeight="1">
      <c r="D446" s="1701" t="s">
        <v>2087</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704"/>
      <c r="AG446" s="1754">
        <v>6058</v>
      </c>
      <c r="AH446" s="1754"/>
      <c r="AI446" s="1754"/>
      <c r="AJ446" s="1754"/>
      <c r="AZ446" s="34"/>
      <c r="BA446" s="34"/>
      <c r="BB446" s="34"/>
      <c r="BC446" s="34"/>
    </row>
    <row r="447" spans="1:55" ht="12.95" customHeight="1">
      <c r="D447" s="1638" t="s">
        <v>569</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704"/>
      <c r="AG447" s="1754">
        <v>0</v>
      </c>
      <c r="AH447" s="1754"/>
      <c r="AI447" s="1754"/>
      <c r="AJ447" s="1754"/>
      <c r="AZ447" s="3"/>
      <c r="BA447" s="3"/>
      <c r="BB447" s="3"/>
      <c r="BC447" s="3"/>
    </row>
    <row r="448" spans="1:55" ht="12.95" customHeight="1">
      <c r="D448" s="1701" t="s">
        <v>1205</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704"/>
      <c r="AG448" s="1754">
        <v>40958</v>
      </c>
      <c r="AH448" s="1754"/>
      <c r="AI448" s="1754"/>
      <c r="AJ448" s="1754"/>
      <c r="AZ448" s="3"/>
      <c r="BA448" s="3"/>
      <c r="BB448" s="3"/>
      <c r="BC448" s="3"/>
    </row>
    <row r="449" spans="1:55" ht="12.95" customHeight="1">
      <c r="D449" s="1701" t="s">
        <v>1038</v>
      </c>
      <c r="E449" s="1639"/>
      <c r="F449" s="1639"/>
      <c r="G449" s="1639"/>
      <c r="H449" s="1639"/>
      <c r="I449" s="1639"/>
      <c r="J449" s="1639"/>
      <c r="K449" s="1639"/>
      <c r="L449" s="1639"/>
      <c r="M449" s="1639"/>
      <c r="N449" s="1639"/>
      <c r="O449" s="1639"/>
      <c r="P449" s="1639"/>
      <c r="Q449" s="1639"/>
      <c r="R449" s="1639"/>
      <c r="S449" s="1639"/>
      <c r="T449" s="1639"/>
      <c r="U449" s="1639"/>
      <c r="V449" s="1639"/>
      <c r="W449" s="1639"/>
      <c r="X449" s="1639"/>
      <c r="Y449" s="1639"/>
      <c r="Z449" s="1639"/>
      <c r="AA449" s="1639"/>
      <c r="AB449" s="1639"/>
      <c r="AC449" s="1639"/>
      <c r="AD449" s="1639"/>
      <c r="AE449" s="1639"/>
      <c r="AF449" s="1704"/>
      <c r="AG449" s="1754">
        <f>49696+33649</f>
        <v>83345</v>
      </c>
      <c r="AH449" s="1754"/>
      <c r="AI449" s="1754"/>
      <c r="AJ449" s="1754"/>
      <c r="BB449" s="3"/>
      <c r="BC449" s="3"/>
    </row>
    <row r="450" spans="1:55" ht="12.95" customHeight="1">
      <c r="D450" s="1823" t="s">
        <v>1039</v>
      </c>
      <c r="E450" s="1824"/>
      <c r="F450" s="1824"/>
      <c r="G450" s="1824"/>
      <c r="H450" s="1824"/>
      <c r="I450" s="1824"/>
      <c r="J450" s="1824"/>
      <c r="K450" s="1824"/>
      <c r="L450" s="1824"/>
      <c r="M450" s="1824"/>
      <c r="N450" s="1824"/>
      <c r="O450" s="1824"/>
      <c r="P450" s="1824"/>
      <c r="Q450" s="1824"/>
      <c r="R450" s="1824"/>
      <c r="S450" s="1824"/>
      <c r="T450" s="1824"/>
      <c r="U450" s="1824"/>
      <c r="V450" s="1824"/>
      <c r="W450" s="1824"/>
      <c r="X450" s="1824"/>
      <c r="Y450" s="1824"/>
      <c r="Z450" s="1824"/>
      <c r="AA450" s="1824"/>
      <c r="AB450" s="1824"/>
      <c r="AC450" s="1824"/>
      <c r="AD450" s="1824"/>
      <c r="AE450" s="1824"/>
      <c r="AF450" s="1825"/>
      <c r="AG450" s="1813">
        <f>AG442+AG446+AG448+AG449</f>
        <v>257608</v>
      </c>
      <c r="AH450" s="1813"/>
      <c r="AI450" s="1813"/>
      <c r="AJ450" s="1813"/>
      <c r="AZ450" s="3"/>
      <c r="BA450" s="3"/>
      <c r="BB450" s="3"/>
      <c r="BC450" s="3"/>
    </row>
    <row r="451" spans="1:55" ht="12.95"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573018.75</v>
      </c>
      <c r="AD454" s="1812"/>
      <c r="AE454" s="1812"/>
      <c r="AF454" s="1812"/>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573018.75</v>
      </c>
      <c r="AD455" s="1812"/>
      <c r="AE455" s="1812"/>
      <c r="AF455" s="1812"/>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539102.08125000005</v>
      </c>
      <c r="AD456" s="1812"/>
      <c r="AE456" s="1812"/>
      <c r="AF456" s="1812"/>
      <c r="AG456" s="177"/>
      <c r="AH456" s="177"/>
      <c r="AI456" s="177"/>
      <c r="AJ456" s="183"/>
      <c r="AZ456" s="3"/>
      <c r="BA456" s="3"/>
      <c r="BB456" s="3"/>
      <c r="BC456" s="3"/>
    </row>
    <row r="457" spans="1:55" ht="12.95" customHeight="1">
      <c r="D457" s="177"/>
      <c r="E457" s="177"/>
      <c r="F457" s="1740" t="str">
        <f>IFERROR(IF(AC454&gt;650000,"Please provide a justification of cost per unit in Tab 12 for all projects with per unit costs of greater than $650,000.",""),"")</f>
        <v/>
      </c>
      <c r="G457" s="1740"/>
      <c r="H457" s="1740"/>
      <c r="I457" s="1740"/>
      <c r="J457" s="1740"/>
      <c r="K457" s="1740"/>
      <c r="L457" s="1740"/>
      <c r="M457" s="1740"/>
      <c r="N457" s="1740"/>
      <c r="O457" s="1740"/>
      <c r="P457" s="1740"/>
      <c r="Q457" s="1740"/>
      <c r="R457" s="1740"/>
      <c r="S457" s="1740"/>
      <c r="T457" s="1740"/>
      <c r="U457" s="1740"/>
      <c r="V457" s="1740"/>
      <c r="W457" s="1740"/>
      <c r="X457" s="1740"/>
      <c r="Y457" s="1740"/>
      <c r="Z457" s="1740"/>
      <c r="AA457" s="1740"/>
      <c r="AB457" s="1740"/>
      <c r="AC457" s="515"/>
      <c r="AD457" s="177"/>
      <c r="AE457" s="177"/>
      <c r="AF457" s="177"/>
      <c r="AG457" s="177"/>
      <c r="AH457" s="177"/>
      <c r="AI457" s="177"/>
      <c r="AJ457" s="183"/>
      <c r="AZ457" s="3"/>
      <c r="BA457" s="3"/>
      <c r="BB457" s="3"/>
      <c r="BC457" s="3"/>
    </row>
    <row r="458" spans="1:55" ht="12.95" customHeight="1">
      <c r="A458" s="2"/>
      <c r="D458" s="2"/>
      <c r="E458" s="177"/>
      <c r="F458" s="1740"/>
      <c r="G458" s="1740"/>
      <c r="H458" s="1740"/>
      <c r="I458" s="1740"/>
      <c r="J458" s="1740"/>
      <c r="K458" s="1740"/>
      <c r="L458" s="1740"/>
      <c r="M458" s="1740"/>
      <c r="N458" s="1740"/>
      <c r="O458" s="1740"/>
      <c r="P458" s="1740"/>
      <c r="Q458" s="1740"/>
      <c r="R458" s="1740"/>
      <c r="S458" s="1740"/>
      <c r="T458" s="1740"/>
      <c r="U458" s="1740"/>
      <c r="V458" s="1740"/>
      <c r="W458" s="1740"/>
      <c r="X458" s="1740"/>
      <c r="Y458" s="1740"/>
      <c r="Z458" s="1740"/>
      <c r="AA458" s="1740"/>
      <c r="AB458" s="1740"/>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1" t="s">
        <v>2099</v>
      </c>
      <c r="E465" s="1742"/>
      <c r="F465" s="1742"/>
      <c r="G465" s="1742"/>
      <c r="H465" s="1742"/>
      <c r="I465" s="1742"/>
      <c r="J465" s="1742"/>
      <c r="K465" s="1742"/>
      <c r="L465" s="1742"/>
      <c r="M465" s="1742"/>
      <c r="N465" s="1742"/>
      <c r="O465" s="1742"/>
      <c r="P465" s="1742"/>
      <c r="Q465" s="1742"/>
      <c r="R465" s="1742"/>
      <c r="S465" s="1742"/>
      <c r="T465" s="1742"/>
      <c r="U465" s="1742"/>
      <c r="V465" s="1743"/>
      <c r="W465" s="1442">
        <v>0</v>
      </c>
      <c r="X465" s="1443"/>
      <c r="Y465" s="144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1" t="s">
        <v>693</v>
      </c>
      <c r="E466" s="1742"/>
      <c r="F466" s="1742"/>
      <c r="G466" s="1742"/>
      <c r="H466" s="1742"/>
      <c r="I466" s="1742"/>
      <c r="J466" s="1742"/>
      <c r="K466" s="1742"/>
      <c r="L466" s="1742"/>
      <c r="M466" s="1742"/>
      <c r="N466" s="1742"/>
      <c r="O466" s="1742"/>
      <c r="P466" s="1742"/>
      <c r="Q466" s="1742"/>
      <c r="R466" s="1742"/>
      <c r="S466" s="1742"/>
      <c r="T466" s="1742"/>
      <c r="U466" s="1742"/>
      <c r="V466" s="1743"/>
      <c r="W466" s="1442">
        <v>0</v>
      </c>
      <c r="X466" s="1443"/>
      <c r="Y466" s="144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1" t="s">
        <v>694</v>
      </c>
      <c r="E467" s="1742"/>
      <c r="F467" s="1742"/>
      <c r="G467" s="1742"/>
      <c r="H467" s="1742"/>
      <c r="I467" s="1742"/>
      <c r="J467" s="1742"/>
      <c r="K467" s="1742"/>
      <c r="L467" s="1742"/>
      <c r="M467" s="1742"/>
      <c r="N467" s="1742"/>
      <c r="O467" s="1742"/>
      <c r="P467" s="1742"/>
      <c r="Q467" s="1742"/>
      <c r="R467" s="1742"/>
      <c r="S467" s="1742"/>
      <c r="T467" s="1742"/>
      <c r="U467" s="1742"/>
      <c r="V467" s="1743"/>
      <c r="W467" s="1442">
        <v>0</v>
      </c>
      <c r="X467" s="1443"/>
      <c r="Y467" s="144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1" t="s">
        <v>695</v>
      </c>
      <c r="E468" s="1742"/>
      <c r="F468" s="1742"/>
      <c r="G468" s="1742"/>
      <c r="H468" s="1742"/>
      <c r="I468" s="1742"/>
      <c r="J468" s="1742"/>
      <c r="K468" s="1742"/>
      <c r="L468" s="1742"/>
      <c r="M468" s="1742"/>
      <c r="N468" s="1742"/>
      <c r="O468" s="1742"/>
      <c r="P468" s="1742"/>
      <c r="Q468" s="1742"/>
      <c r="R468" s="1742"/>
      <c r="S468" s="1742"/>
      <c r="T468" s="1742"/>
      <c r="U468" s="1742"/>
      <c r="V468" s="1743"/>
      <c r="W468" s="1442">
        <v>0</v>
      </c>
      <c r="X468" s="1443"/>
      <c r="Y468" s="144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1" t="s">
        <v>881</v>
      </c>
      <c r="E469" s="1742"/>
      <c r="F469" s="1742"/>
      <c r="G469" s="1742"/>
      <c r="H469" s="1742"/>
      <c r="I469" s="1742"/>
      <c r="J469" s="1742"/>
      <c r="K469" s="1742"/>
      <c r="L469" s="1742"/>
      <c r="M469" s="1742"/>
      <c r="N469" s="1742"/>
      <c r="O469" s="1742"/>
      <c r="P469" s="1742"/>
      <c r="Q469" s="1742"/>
      <c r="R469" s="1742"/>
      <c r="S469" s="1742"/>
      <c r="T469" s="1742"/>
      <c r="U469" s="1742"/>
      <c r="V469" s="1743"/>
      <c r="W469" s="1442">
        <v>0</v>
      </c>
      <c r="X469" s="1443"/>
      <c r="Y469" s="144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41" t="s">
        <v>696</v>
      </c>
      <c r="E470" s="1742"/>
      <c r="F470" s="1742"/>
      <c r="G470" s="1742"/>
      <c r="H470" s="1742"/>
      <c r="I470" s="1742"/>
      <c r="J470" s="1742"/>
      <c r="K470" s="1742"/>
      <c r="L470" s="1742"/>
      <c r="M470" s="1742"/>
      <c r="N470" s="1742"/>
      <c r="O470" s="1742"/>
      <c r="P470" s="1742"/>
      <c r="Q470" s="1742"/>
      <c r="R470" s="1742"/>
      <c r="S470" s="1742"/>
      <c r="T470" s="1742"/>
      <c r="U470" s="1742"/>
      <c r="V470" s="1743"/>
      <c r="W470" s="1442">
        <v>0</v>
      </c>
      <c r="X470" s="1443"/>
      <c r="Y470" s="144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41" t="s">
        <v>1012</v>
      </c>
      <c r="E471" s="1742"/>
      <c r="F471" s="1742"/>
      <c r="G471" s="1742"/>
      <c r="H471" s="1742"/>
      <c r="I471" s="1742"/>
      <c r="J471" s="1742"/>
      <c r="K471" s="1742"/>
      <c r="L471" s="1742"/>
      <c r="M471" s="1742"/>
      <c r="N471" s="1742"/>
      <c r="O471" s="1742"/>
      <c r="P471" s="1742"/>
      <c r="Q471" s="1742"/>
      <c r="R471" s="1742"/>
      <c r="S471" s="1742"/>
      <c r="T471" s="1742"/>
      <c r="U471" s="1742"/>
      <c r="V471" s="1743"/>
      <c r="W471" s="1442">
        <v>0</v>
      </c>
      <c r="X471" s="1443"/>
      <c r="Y471" s="144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1" t="s">
        <v>2190</v>
      </c>
      <c r="E472" s="1853"/>
      <c r="F472" s="1853"/>
      <c r="G472" s="1853"/>
      <c r="H472" s="1853"/>
      <c r="I472" s="1853"/>
      <c r="J472" s="1853"/>
      <c r="K472" s="1853"/>
      <c r="L472" s="1853"/>
      <c r="M472" s="1853"/>
      <c r="N472" s="1853"/>
      <c r="O472" s="1853"/>
      <c r="P472" s="1853"/>
      <c r="Q472" s="1853"/>
      <c r="R472" s="1853"/>
      <c r="S472" s="1853"/>
      <c r="T472" s="1853"/>
      <c r="U472" s="1853"/>
      <c r="V472" s="1854"/>
      <c r="W472" s="1442">
        <v>0</v>
      </c>
      <c r="X472" s="1443"/>
      <c r="Y472" s="144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1" t="s">
        <v>1654</v>
      </c>
      <c r="E473" s="1742"/>
      <c r="F473" s="1742"/>
      <c r="G473" s="1742"/>
      <c r="H473" s="1742"/>
      <c r="I473" s="1742"/>
      <c r="J473" s="1742"/>
      <c r="K473" s="1742"/>
      <c r="L473" s="1742"/>
      <c r="M473" s="1742"/>
      <c r="N473" s="1742"/>
      <c r="O473" s="1742"/>
      <c r="P473" s="1742"/>
      <c r="Q473" s="1742"/>
      <c r="R473" s="1742"/>
      <c r="S473" s="1742"/>
      <c r="T473" s="1742"/>
      <c r="U473" s="1742"/>
      <c r="V473" s="1743"/>
      <c r="W473" s="1442">
        <v>24</v>
      </c>
      <c r="X473" s="1443"/>
      <c r="Y473" s="144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57" t="s">
        <v>2700</v>
      </c>
      <c r="H474" s="1758"/>
      <c r="I474" s="1758"/>
      <c r="J474" s="1758"/>
      <c r="K474" s="1758"/>
      <c r="L474" s="1758"/>
      <c r="M474" s="1758"/>
      <c r="N474" s="1758"/>
      <c r="O474" s="1758"/>
      <c r="P474" s="1758"/>
      <c r="Q474" s="1758"/>
      <c r="R474" s="1758"/>
      <c r="S474" s="1758"/>
      <c r="T474" s="1758"/>
      <c r="U474" s="1758"/>
      <c r="V474" s="1759"/>
      <c r="W474" s="1442">
        <v>134</v>
      </c>
      <c r="X474" s="1443"/>
      <c r="Y474" s="144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19" t="s">
        <v>810</v>
      </c>
      <c r="B480" s="1419"/>
      <c r="C480" s="1419"/>
      <c r="D480" s="1419"/>
      <c r="E480" s="1419"/>
      <c r="F480" s="1419"/>
      <c r="G480" s="1419"/>
      <c r="H480" s="1419"/>
      <c r="I480" s="1419"/>
      <c r="J480" s="1419"/>
      <c r="K480" s="1419"/>
      <c r="L480" s="1419"/>
      <c r="M480" s="1419"/>
      <c r="N480" s="1419"/>
      <c r="O480" s="1419"/>
      <c r="P480" s="1419"/>
      <c r="Q480" s="1419"/>
      <c r="R480" s="1419"/>
      <c r="S480" s="1419"/>
      <c r="T480" s="1419"/>
      <c r="U480" s="1419"/>
      <c r="V480" s="1419"/>
      <c r="W480" s="1419"/>
      <c r="X480" s="1419"/>
      <c r="Y480" s="1419"/>
      <c r="Z480" s="1419"/>
      <c r="AA480" s="1419"/>
      <c r="AB480" s="1419"/>
      <c r="AC480" s="1419"/>
      <c r="AD480" s="1419"/>
      <c r="AE480" s="1419"/>
      <c r="AF480" s="1419"/>
      <c r="AG480" s="1419"/>
      <c r="AH480" s="1419"/>
      <c r="AI480" s="1419"/>
      <c r="AJ480" s="1419"/>
      <c r="AK480" s="1419"/>
      <c r="AL480" s="1419"/>
      <c r="AM480" s="1419"/>
      <c r="AN480" s="1419"/>
      <c r="AO480" s="1419"/>
      <c r="AP480" s="1419"/>
      <c r="AQ480" s="1419"/>
      <c r="AR480" s="1419"/>
      <c r="AS480" s="1419"/>
      <c r="AT480" s="1419"/>
      <c r="AU480" s="95"/>
      <c r="AV480" s="95"/>
      <c r="AW480" s="95"/>
      <c r="AX480" s="95"/>
      <c r="AY480" s="95"/>
      <c r="AZ480" s="3"/>
      <c r="BB480" s="3"/>
      <c r="BC480" s="3"/>
    </row>
    <row r="481" spans="1:55" ht="12.95" customHeight="1">
      <c r="A481" s="1419"/>
      <c r="B481" s="1419"/>
      <c r="C481" s="1419"/>
      <c r="D481" s="1419"/>
      <c r="E481" s="1419"/>
      <c r="F481" s="1419"/>
      <c r="G481" s="1419"/>
      <c r="H481" s="1419"/>
      <c r="I481" s="1419"/>
      <c r="J481" s="1419"/>
      <c r="K481" s="1419"/>
      <c r="L481" s="1419"/>
      <c r="M481" s="1419"/>
      <c r="N481" s="1419"/>
      <c r="O481" s="1419"/>
      <c r="P481" s="1419"/>
      <c r="Q481" s="1419"/>
      <c r="R481" s="1419"/>
      <c r="S481" s="1419"/>
      <c r="T481" s="1419"/>
      <c r="U481" s="1419"/>
      <c r="V481" s="1419"/>
      <c r="W481" s="1419"/>
      <c r="X481" s="1419"/>
      <c r="Y481" s="1419"/>
      <c r="Z481" s="1419"/>
      <c r="AA481" s="1419"/>
      <c r="AB481" s="1419"/>
      <c r="AC481" s="1419"/>
      <c r="AD481" s="1419"/>
      <c r="AE481" s="1419"/>
      <c r="AF481" s="1419"/>
      <c r="AG481" s="1419"/>
      <c r="AH481" s="1419"/>
      <c r="AI481" s="1419"/>
      <c r="AJ481" s="1419"/>
      <c r="AK481" s="1419"/>
      <c r="AL481" s="1419"/>
      <c r="AM481" s="1419"/>
      <c r="AN481" s="1419"/>
      <c r="AO481" s="1419"/>
      <c r="AP481" s="1419"/>
      <c r="AQ481" s="1419"/>
      <c r="AR481" s="1419"/>
      <c r="AS481" s="1419"/>
      <c r="AT481" s="1419"/>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89" t="s">
        <v>2701</v>
      </c>
      <c r="R486" s="1467"/>
      <c r="S486" s="1467"/>
      <c r="T486" s="1467"/>
      <c r="U486" s="1467"/>
      <c r="V486" s="1467"/>
      <c r="W486" s="1467"/>
      <c r="X486" s="1467"/>
      <c r="Y486" s="1467"/>
      <c r="Z486" s="1467"/>
      <c r="AA486" s="1467"/>
      <c r="AB486" s="1467"/>
      <c r="AC486" s="1467"/>
      <c r="AD486" s="1467"/>
      <c r="AE486" s="1467"/>
      <c r="AF486" s="1467"/>
      <c r="AG486" s="1467"/>
      <c r="AH486" s="1467"/>
      <c r="AI486" s="1467"/>
      <c r="AJ486" s="1467"/>
      <c r="AK486" s="1590"/>
      <c r="AZ486" s="3"/>
      <c r="BB486" s="3"/>
      <c r="BC486" s="3"/>
    </row>
    <row r="487" spans="1:55" ht="12.95" customHeight="1">
      <c r="B487" s="45" t="s">
        <v>394</v>
      </c>
      <c r="C487" s="5"/>
      <c r="D487" s="5"/>
      <c r="E487" s="5"/>
      <c r="F487" s="5"/>
      <c r="G487" s="5"/>
      <c r="H487" s="5"/>
      <c r="I487" s="5"/>
      <c r="J487" s="5"/>
      <c r="K487" s="5"/>
      <c r="L487" s="5"/>
      <c r="M487" s="5"/>
      <c r="N487" s="5"/>
      <c r="O487" s="5"/>
      <c r="P487" s="5"/>
      <c r="Q487" s="1589" t="s">
        <v>2702</v>
      </c>
      <c r="R487" s="1467"/>
      <c r="S487" s="1467"/>
      <c r="T487" s="1467"/>
      <c r="U487" s="1467"/>
      <c r="V487" s="1467"/>
      <c r="W487" s="1467"/>
      <c r="X487" s="1467"/>
      <c r="Y487" s="1467"/>
      <c r="Z487" s="1467"/>
      <c r="AA487" s="1467"/>
      <c r="AB487" s="1467"/>
      <c r="AC487" s="1467"/>
      <c r="AD487" s="1467"/>
      <c r="AE487" s="1467"/>
      <c r="AF487" s="1467"/>
      <c r="AG487" s="1467"/>
      <c r="AH487" s="1467"/>
      <c r="AI487" s="1467"/>
      <c r="AJ487" s="1467"/>
      <c r="AK487" s="1590"/>
      <c r="AZ487" s="3"/>
      <c r="BB487" s="3"/>
      <c r="BC487" s="3"/>
    </row>
    <row r="488" spans="1:55" ht="12.95" customHeight="1">
      <c r="B488" s="45" t="s">
        <v>395</v>
      </c>
      <c r="C488" s="5"/>
      <c r="D488" s="5"/>
      <c r="E488" s="5"/>
      <c r="F488" s="5"/>
      <c r="G488" s="5"/>
      <c r="H488" s="5"/>
      <c r="I488" s="5"/>
      <c r="J488" s="5"/>
      <c r="K488" s="5"/>
      <c r="L488" s="5"/>
      <c r="M488" s="5"/>
      <c r="N488" s="5"/>
      <c r="O488" s="5"/>
      <c r="P488" s="5"/>
      <c r="Q488" s="1548" t="s">
        <v>2736</v>
      </c>
      <c r="R488" s="1467"/>
      <c r="S488" s="1467"/>
      <c r="T488" s="1467"/>
      <c r="U488" s="1467"/>
      <c r="V488" s="1467"/>
      <c r="W488" s="1467"/>
      <c r="X488" s="1467"/>
      <c r="Y488" s="1467"/>
      <c r="Z488" s="1467"/>
      <c r="AA488" s="1467"/>
      <c r="AB488" s="1467"/>
      <c r="AC488" s="1467"/>
      <c r="AD488" s="1467"/>
      <c r="AE488" s="1467"/>
      <c r="AF488" s="1467"/>
      <c r="AG488" s="1467"/>
      <c r="AH488" s="1467"/>
      <c r="AI488" s="1467"/>
      <c r="AJ488" s="1467"/>
      <c r="AK488" s="1590"/>
      <c r="AZ488" s="3"/>
      <c r="BA488" s="3"/>
      <c r="BB488" s="3"/>
      <c r="BC488" s="3"/>
    </row>
    <row r="489" spans="1:55" ht="12.95" customHeight="1">
      <c r="B489" s="1832" t="s">
        <v>396</v>
      </c>
      <c r="C489" s="1833"/>
      <c r="D489" s="1833"/>
      <c r="E489" s="1833"/>
      <c r="F489" s="1833"/>
      <c r="G489" s="1833"/>
      <c r="H489" s="1833"/>
      <c r="I489" s="1833"/>
      <c r="J489" s="1833"/>
      <c r="K489" s="1833"/>
      <c r="L489" s="1833"/>
      <c r="M489" s="1833"/>
      <c r="N489" s="1833"/>
      <c r="O489" s="1833"/>
      <c r="P489" s="1834"/>
      <c r="Q489" s="1838" t="s">
        <v>545</v>
      </c>
      <c r="R489" s="1839"/>
      <c r="S489" s="1814" t="s">
        <v>2737</v>
      </c>
      <c r="T489" s="1815"/>
      <c r="U489" s="1815"/>
      <c r="V489" s="1815"/>
      <c r="W489" s="1815"/>
      <c r="X489" s="1815"/>
      <c r="Y489" s="1815"/>
      <c r="Z489" s="1815"/>
      <c r="AA489" s="1815"/>
      <c r="AB489" s="1815"/>
      <c r="AC489" s="1815"/>
      <c r="AD489" s="1815"/>
      <c r="AE489" s="1815"/>
      <c r="AF489" s="1815"/>
      <c r="AG489" s="1815"/>
      <c r="AH489" s="1815"/>
      <c r="AI489" s="1815"/>
      <c r="AJ489" s="1815"/>
      <c r="AK489" s="1816"/>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817"/>
      <c r="T490" s="1798"/>
      <c r="U490" s="1798"/>
      <c r="V490" s="1798"/>
      <c r="W490" s="1798"/>
      <c r="X490" s="1798"/>
      <c r="Y490" s="1798"/>
      <c r="Z490" s="1798"/>
      <c r="AA490" s="1798"/>
      <c r="AB490" s="1798"/>
      <c r="AC490" s="1798"/>
      <c r="AD490" s="1798"/>
      <c r="AE490" s="1798"/>
      <c r="AF490" s="1798"/>
      <c r="AG490" s="1798"/>
      <c r="AH490" s="1798"/>
      <c r="AI490" s="1798"/>
      <c r="AJ490" s="1798"/>
      <c r="AK490" s="1818"/>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55" t="s">
        <v>669</v>
      </c>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89" t="s">
        <v>2703</v>
      </c>
      <c r="R492" s="1467"/>
      <c r="S492" s="1467"/>
      <c r="T492" s="1467"/>
      <c r="U492" s="1467"/>
      <c r="V492" s="1467"/>
      <c r="W492" s="1467"/>
      <c r="X492" s="1467"/>
      <c r="Y492" s="1467"/>
      <c r="Z492" s="1467"/>
      <c r="AA492" s="1467"/>
      <c r="AB492" s="1467"/>
      <c r="AC492" s="1467"/>
      <c r="AD492" s="1467"/>
      <c r="AE492" s="1467"/>
      <c r="AF492" s="1467"/>
      <c r="AG492" s="1467"/>
      <c r="AH492" s="1467"/>
      <c r="AI492" s="1467"/>
      <c r="AJ492" s="1467"/>
      <c r="AK492" s="1590"/>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48" t="s">
        <v>2735</v>
      </c>
      <c r="R493" s="1467"/>
      <c r="S493" s="1467"/>
      <c r="T493" s="1467"/>
      <c r="U493" s="1467"/>
      <c r="V493" s="1467"/>
      <c r="W493" s="1467"/>
      <c r="X493" s="1467"/>
      <c r="Y493" s="1467"/>
      <c r="Z493" s="1467"/>
      <c r="AA493" s="1467"/>
      <c r="AB493" s="1467"/>
      <c r="AC493" s="1467"/>
      <c r="AD493" s="1467"/>
      <c r="AE493" s="1467"/>
      <c r="AF493" s="1467"/>
      <c r="AG493" s="1467"/>
      <c r="AH493" s="1467"/>
      <c r="AI493" s="1467"/>
      <c r="AJ493" s="1467"/>
      <c r="AK493" s="1590"/>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89">
        <v>239</v>
      </c>
      <c r="R494" s="1467"/>
      <c r="S494" s="1467"/>
      <c r="T494" s="1467"/>
      <c r="U494" s="1467"/>
      <c r="V494" s="1467"/>
      <c r="W494" s="1467"/>
      <c r="X494" s="1467"/>
      <c r="Y494" s="1467"/>
      <c r="Z494" s="1467"/>
      <c r="AA494" s="1467"/>
      <c r="AB494" s="1467"/>
      <c r="AC494" s="1467"/>
      <c r="AD494" s="1467"/>
      <c r="AE494" s="1467"/>
      <c r="AF494" s="1467"/>
      <c r="AG494" s="1467"/>
      <c r="AH494" s="1467"/>
      <c r="AI494" s="1467"/>
      <c r="AJ494" s="1467"/>
      <c r="AK494" s="1590"/>
      <c r="AZ494" s="3"/>
      <c r="BA494" s="3"/>
      <c r="BB494" s="3"/>
      <c r="BC494" s="3"/>
    </row>
    <row r="495" spans="1:55" ht="12.95" customHeight="1">
      <c r="B495" s="121" t="s">
        <v>1669</v>
      </c>
      <c r="C495" s="5"/>
      <c r="D495" s="5"/>
      <c r="E495" s="5"/>
      <c r="F495" s="5"/>
      <c r="G495" s="5"/>
      <c r="H495" s="5"/>
      <c r="I495" s="5"/>
      <c r="J495" s="5"/>
      <c r="K495" s="5"/>
      <c r="L495" s="5"/>
      <c r="M495" s="1455">
        <v>239</v>
      </c>
      <c r="N495" s="1456"/>
      <c r="O495" s="1456"/>
      <c r="P495" s="1457"/>
      <c r="Q495" s="121" t="s">
        <v>1670</v>
      </c>
      <c r="R495" s="5"/>
      <c r="S495" s="5"/>
      <c r="T495" s="5"/>
      <c r="U495" s="5"/>
      <c r="V495" s="5"/>
      <c r="W495" s="5"/>
      <c r="X495" s="5"/>
      <c r="Y495" s="5"/>
      <c r="Z495" s="5"/>
      <c r="AA495" s="5"/>
      <c r="AB495" s="5"/>
      <c r="AC495" s="5"/>
      <c r="AD495" s="5"/>
      <c r="AE495" s="5"/>
      <c r="AF495" s="5"/>
      <c r="AG495" s="5"/>
      <c r="AH495" s="1455">
        <v>0</v>
      </c>
      <c r="AI495" s="1456"/>
      <c r="AJ495" s="1456"/>
      <c r="AK495" s="145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86" t="s">
        <v>404</v>
      </c>
      <c r="C501" s="1428"/>
      <c r="D501" s="1428"/>
      <c r="E501" s="1428"/>
      <c r="F501" s="1428"/>
      <c r="G501" s="1428"/>
      <c r="H501" s="1429"/>
      <c r="I501" s="42" t="s">
        <v>405</v>
      </c>
      <c r="J501" s="42"/>
      <c r="K501" s="42"/>
      <c r="L501" s="42"/>
      <c r="M501" s="42"/>
      <c r="N501" s="42"/>
      <c r="O501" s="42"/>
      <c r="P501" s="42"/>
      <c r="Q501" s="42"/>
      <c r="R501" s="42"/>
      <c r="S501" s="42"/>
      <c r="T501" s="42"/>
      <c r="U501" s="42"/>
      <c r="V501" s="42"/>
      <c r="W501" s="42"/>
      <c r="AC501" s="1440" t="s">
        <v>591</v>
      </c>
      <c r="AD501" s="1441"/>
      <c r="AE501" s="1441"/>
      <c r="AF501" s="1441"/>
      <c r="AG501" s="13" t="s">
        <v>402</v>
      </c>
      <c r="AH501" s="1398">
        <v>0</v>
      </c>
      <c r="AI501" s="1398"/>
      <c r="AJ501" s="1398"/>
      <c r="AK501" s="1399"/>
      <c r="AZ501" s="3"/>
      <c r="BA501" s="3"/>
      <c r="BB501" s="3"/>
      <c r="BC501" s="3"/>
      <c r="BD501" s="3"/>
      <c r="BE501" s="3"/>
      <c r="BF501" s="3"/>
      <c r="BG501" s="3"/>
      <c r="BH501" s="3"/>
      <c r="BI501" s="3"/>
      <c r="BJ501" s="3"/>
      <c r="BK501" s="3"/>
      <c r="BL501" s="3"/>
      <c r="BM501" s="3"/>
      <c r="BN501" s="3"/>
    </row>
    <row r="502" spans="1:66" ht="12.95" customHeight="1">
      <c r="B502" s="1687"/>
      <c r="C502" s="1430"/>
      <c r="D502" s="1430"/>
      <c r="E502" s="1430"/>
      <c r="F502" s="1430"/>
      <c r="G502" s="1430"/>
      <c r="H502" s="1431"/>
      <c r="I502" s="48" t="s">
        <v>406</v>
      </c>
      <c r="J502" s="48"/>
      <c r="K502" s="48"/>
      <c r="L502" s="48"/>
      <c r="M502" s="48"/>
      <c r="N502" s="48"/>
      <c r="O502" s="48"/>
      <c r="P502" s="48"/>
      <c r="Q502" s="48"/>
      <c r="R502" s="48"/>
      <c r="S502" s="48"/>
      <c r="T502" s="48"/>
      <c r="U502" s="48"/>
      <c r="V502" s="48"/>
      <c r="W502" s="48"/>
      <c r="X502" s="48"/>
      <c r="Y502" s="48"/>
      <c r="Z502" s="48"/>
      <c r="AA502" s="48"/>
      <c r="AB502" s="48"/>
      <c r="AC502" s="1440">
        <v>6</v>
      </c>
      <c r="AD502" s="1441"/>
      <c r="AE502" s="1441"/>
      <c r="AF502" s="1441"/>
      <c r="AG502" s="38" t="s">
        <v>402</v>
      </c>
      <c r="AH502" s="1398">
        <v>2026</v>
      </c>
      <c r="AI502" s="1398"/>
      <c r="AJ502" s="1398"/>
      <c r="AK502" s="1399"/>
      <c r="AZ502" s="3"/>
      <c r="BA502" s="3"/>
      <c r="BB502" s="3"/>
      <c r="BC502" s="3"/>
      <c r="BD502" s="3"/>
      <c r="BE502" s="3"/>
      <c r="BF502" s="3"/>
      <c r="BG502" s="3"/>
      <c r="BH502" s="3"/>
      <c r="BI502" s="3"/>
      <c r="BJ502" s="3"/>
      <c r="BK502" s="3"/>
      <c r="BL502" s="3"/>
      <c r="BM502" s="3"/>
      <c r="BN502" s="3"/>
    </row>
    <row r="503" spans="1:66" ht="12.95" customHeight="1">
      <c r="B503" s="1686" t="s">
        <v>407</v>
      </c>
      <c r="C503" s="1428"/>
      <c r="D503" s="1428"/>
      <c r="E503" s="1428"/>
      <c r="F503" s="1428"/>
      <c r="G503" s="1428"/>
      <c r="H503" s="1429"/>
      <c r="I503" s="42" t="s">
        <v>408</v>
      </c>
      <c r="J503" s="42"/>
      <c r="K503" s="42"/>
      <c r="L503" s="42"/>
      <c r="M503" s="42"/>
      <c r="N503" s="42"/>
      <c r="O503" s="42"/>
      <c r="P503" s="42"/>
      <c r="Q503" s="42"/>
      <c r="R503" s="42"/>
      <c r="S503" s="42"/>
      <c r="T503" s="42"/>
      <c r="U503" s="42"/>
      <c r="V503" s="42"/>
      <c r="W503" s="42"/>
      <c r="AC503" s="1440" t="s">
        <v>591</v>
      </c>
      <c r="AD503" s="1441"/>
      <c r="AE503" s="1441"/>
      <c r="AF503" s="1441"/>
      <c r="AG503" s="13" t="s">
        <v>402</v>
      </c>
      <c r="AH503" s="1398"/>
      <c r="AI503" s="1398"/>
      <c r="AJ503" s="1398"/>
      <c r="AK503" s="1399"/>
      <c r="AZ503" s="3"/>
      <c r="BA503" s="3"/>
      <c r="BB503" s="3"/>
      <c r="BC503" s="3"/>
      <c r="BD503" s="3"/>
      <c r="BE503" s="3"/>
      <c r="BF503" s="3"/>
      <c r="BG503" s="3"/>
      <c r="BH503" s="3"/>
      <c r="BI503" s="3"/>
      <c r="BJ503" s="3"/>
      <c r="BK503" s="3"/>
      <c r="BL503" s="3"/>
      <c r="BM503" s="3"/>
      <c r="BN503" s="3"/>
    </row>
    <row r="504" spans="1:66" ht="12.95" customHeight="1">
      <c r="B504" s="1687"/>
      <c r="C504" s="1430"/>
      <c r="D504" s="1430"/>
      <c r="E504" s="1430"/>
      <c r="F504" s="1430"/>
      <c r="G504" s="1430"/>
      <c r="H504" s="1431"/>
      <c r="I504" t="s">
        <v>409</v>
      </c>
      <c r="AC504" s="1440" t="s">
        <v>591</v>
      </c>
      <c r="AD504" s="1441"/>
      <c r="AE504" s="1441"/>
      <c r="AF504" s="1441"/>
      <c r="AG504" s="13" t="s">
        <v>402</v>
      </c>
      <c r="AH504" s="1398"/>
      <c r="AI504" s="1398"/>
      <c r="AJ504" s="1398"/>
      <c r="AK504" s="1399"/>
      <c r="AZ504" s="3"/>
      <c r="BA504" s="3"/>
      <c r="BB504" s="3"/>
      <c r="BC504" s="3"/>
      <c r="BD504" s="3"/>
      <c r="BE504" s="3"/>
      <c r="BF504" s="3"/>
      <c r="BG504" s="3"/>
      <c r="BH504" s="3"/>
      <c r="BI504" s="3"/>
      <c r="BJ504" s="3"/>
      <c r="BK504" s="3"/>
      <c r="BL504" s="3"/>
      <c r="BM504" s="3"/>
      <c r="BN504" s="3"/>
    </row>
    <row r="505" spans="1:66" ht="12.95" customHeight="1">
      <c r="B505" s="1687"/>
      <c r="C505" s="1430"/>
      <c r="D505" s="1430"/>
      <c r="E505" s="1430"/>
      <c r="F505" s="1430"/>
      <c r="G505" s="1430"/>
      <c r="H505" s="1431"/>
      <c r="I505" t="s">
        <v>410</v>
      </c>
      <c r="AC505" s="1440" t="s">
        <v>591</v>
      </c>
      <c r="AD505" s="1441"/>
      <c r="AE505" s="1441"/>
      <c r="AF505" s="1441"/>
      <c r="AG505" s="13" t="s">
        <v>402</v>
      </c>
      <c r="AH505" s="1398"/>
      <c r="AI505" s="1398"/>
      <c r="AJ505" s="1398"/>
      <c r="AK505" s="1399"/>
      <c r="AZ505" s="3"/>
      <c r="BA505" s="3"/>
      <c r="BB505" s="3"/>
      <c r="BC505" s="3"/>
      <c r="BD505" s="3"/>
      <c r="BE505" s="3"/>
      <c r="BF505" s="3"/>
      <c r="BG505" s="3"/>
      <c r="BH505" s="3"/>
      <c r="BI505" s="3"/>
      <c r="BJ505" s="3"/>
      <c r="BK505" s="3"/>
      <c r="BL505" s="3"/>
      <c r="BM505" s="3"/>
      <c r="BN505" s="3"/>
    </row>
    <row r="506" spans="1:66" ht="12.95" customHeight="1">
      <c r="B506" s="1687"/>
      <c r="C506" s="1430"/>
      <c r="D506" s="1430"/>
      <c r="E506" s="1430"/>
      <c r="F506" s="1430"/>
      <c r="G506" s="1430"/>
      <c r="H506" s="1431"/>
      <c r="I506" t="s">
        <v>411</v>
      </c>
      <c r="AC506" s="1440">
        <v>5</v>
      </c>
      <c r="AD506" s="1441"/>
      <c r="AE506" s="1441"/>
      <c r="AF506" s="1441"/>
      <c r="AG506" s="13" t="s">
        <v>402</v>
      </c>
      <c r="AH506" s="1398">
        <v>2026</v>
      </c>
      <c r="AI506" s="1398"/>
      <c r="AJ506" s="1398"/>
      <c r="AK506" s="1399"/>
      <c r="AZ506" s="3"/>
      <c r="BA506" s="3"/>
      <c r="BB506" s="3"/>
      <c r="BC506" s="3"/>
      <c r="BD506" s="3"/>
      <c r="BE506" s="3"/>
      <c r="BF506" s="3"/>
      <c r="BG506" s="3"/>
      <c r="BH506" s="3"/>
      <c r="BI506" s="3"/>
      <c r="BJ506" s="3"/>
      <c r="BK506" s="3"/>
      <c r="BL506" s="3"/>
      <c r="BM506" s="3"/>
      <c r="BN506" s="3"/>
    </row>
    <row r="507" spans="1:66" ht="12.95" customHeight="1">
      <c r="B507" s="1687"/>
      <c r="C507" s="1430"/>
      <c r="D507" s="1430"/>
      <c r="E507" s="1430"/>
      <c r="F507" s="1430"/>
      <c r="G507" s="1430"/>
      <c r="H507" s="1431"/>
      <c r="I507" s="3" t="s">
        <v>412</v>
      </c>
      <c r="AC507" s="1354">
        <v>5</v>
      </c>
      <c r="AD507" s="1355"/>
      <c r="AE507" s="1355"/>
      <c r="AF507" s="1355"/>
      <c r="AG507" s="13" t="s">
        <v>402</v>
      </c>
      <c r="AH507" s="1398">
        <v>2026</v>
      </c>
      <c r="AI507" s="1398"/>
      <c r="AJ507" s="1398"/>
      <c r="AK507" s="1399"/>
      <c r="AZ507" s="3"/>
      <c r="BA507" s="3"/>
      <c r="BB507" s="3"/>
      <c r="BC507" s="3"/>
      <c r="BD507" s="3"/>
      <c r="BE507" s="3"/>
      <c r="BF507" s="3"/>
      <c r="BG507" s="3"/>
      <c r="BH507" s="3"/>
      <c r="BI507" s="3"/>
      <c r="BJ507" s="3"/>
      <c r="BK507" s="3"/>
      <c r="BL507" s="3"/>
      <c r="BM507" s="3"/>
      <c r="BN507" s="3"/>
    </row>
    <row r="508" spans="1:66" ht="12.95" customHeight="1">
      <c r="B508" s="1687"/>
      <c r="C508" s="1430"/>
      <c r="D508" s="1430"/>
      <c r="E508" s="1430"/>
      <c r="F508" s="1430"/>
      <c r="G508" s="1430"/>
      <c r="H508" s="1431"/>
      <c r="I508" s="896" t="s">
        <v>169</v>
      </c>
      <c r="J508" s="48"/>
      <c r="K508" s="48"/>
      <c r="L508" s="1750" t="s">
        <v>333</v>
      </c>
      <c r="M508" s="1751"/>
      <c r="N508" s="1751"/>
      <c r="O508" s="1751"/>
      <c r="P508" s="1751"/>
      <c r="Q508" s="1751"/>
      <c r="R508" s="1751"/>
      <c r="S508" s="1751"/>
      <c r="T508" s="1751"/>
      <c r="U508" s="1751"/>
      <c r="V508" s="1751"/>
      <c r="W508" s="1751"/>
      <c r="X508" s="1751"/>
      <c r="Y508" s="1751"/>
      <c r="Z508" s="1751"/>
      <c r="AA508" s="1751"/>
      <c r="AB508" s="1843"/>
      <c r="AC508" s="1440" t="s">
        <v>591</v>
      </c>
      <c r="AD508" s="1441"/>
      <c r="AE508" s="1441"/>
      <c r="AF508" s="1441"/>
      <c r="AG508" s="38" t="s">
        <v>402</v>
      </c>
      <c r="AH508" s="1398"/>
      <c r="AI508" s="1398"/>
      <c r="AJ508" s="1398"/>
      <c r="AK508" s="139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762" t="s">
        <v>545</v>
      </c>
      <c r="AD509" s="1762"/>
      <c r="AE509" s="1762"/>
      <c r="AF509" s="1762"/>
      <c r="AG509" s="13"/>
      <c r="AH509" s="1335"/>
      <c r="AI509" s="1335"/>
      <c r="AJ509" s="1335"/>
      <c r="AK509" s="169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4">
        <v>1</v>
      </c>
      <c r="AD510" s="1355"/>
      <c r="AE510" s="1355"/>
      <c r="AF510" s="1356"/>
      <c r="AG510" s="13"/>
      <c r="AH510" s="1335"/>
      <c r="AI510" s="1335"/>
      <c r="AJ510" s="1335"/>
      <c r="AK510" s="169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19">
        <v>0.25</v>
      </c>
      <c r="AD512" s="1820"/>
      <c r="AE512" s="1820"/>
      <c r="AF512" s="1821"/>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844" t="s">
        <v>401</v>
      </c>
      <c r="AD513" s="1650"/>
      <c r="AE513" s="1650"/>
      <c r="AF513" s="1650"/>
      <c r="AG513" s="38" t="s">
        <v>402</v>
      </c>
      <c r="AH513" s="1650" t="s">
        <v>403</v>
      </c>
      <c r="AI513" s="1650"/>
      <c r="AJ513" s="1650"/>
      <c r="AK513" s="1842"/>
      <c r="AZ513" s="3"/>
      <c r="BA513" s="3"/>
      <c r="BB513" s="3"/>
      <c r="BC513" s="3"/>
      <c r="BD513" s="3"/>
      <c r="BE513" s="3"/>
      <c r="BF513" s="3"/>
      <c r="BG513" s="3"/>
      <c r="BH513" s="3"/>
      <c r="BI513" s="3"/>
      <c r="BJ513" s="3"/>
      <c r="BK513" s="3"/>
      <c r="BL513" s="3"/>
      <c r="BM513" s="3"/>
      <c r="BN513" s="3" t="s">
        <v>2104</v>
      </c>
    </row>
    <row r="514" spans="2:66" ht="12.95" customHeight="1">
      <c r="B514" s="1686" t="s">
        <v>413</v>
      </c>
      <c r="C514" s="1428"/>
      <c r="D514" s="1428"/>
      <c r="E514" s="1428"/>
      <c r="F514" s="1428"/>
      <c r="G514" s="1428"/>
      <c r="H514" s="1429"/>
      <c r="I514" s="42" t="s">
        <v>414</v>
      </c>
      <c r="J514" s="42"/>
      <c r="K514" s="42"/>
      <c r="L514" s="42"/>
      <c r="M514" s="42"/>
      <c r="N514" s="42"/>
      <c r="O514" s="42"/>
      <c r="P514" s="42"/>
      <c r="Q514" s="42"/>
      <c r="R514" s="42"/>
      <c r="S514" s="42"/>
      <c r="T514" s="42"/>
      <c r="U514" s="42"/>
      <c r="V514" s="42"/>
      <c r="W514" s="42"/>
      <c r="AC514" s="1440">
        <v>9</v>
      </c>
      <c r="AD514" s="1441"/>
      <c r="AE514" s="1441"/>
      <c r="AF514" s="1441"/>
      <c r="AG514" s="13" t="s">
        <v>402</v>
      </c>
      <c r="AH514" s="1398">
        <v>2025</v>
      </c>
      <c r="AI514" s="1398"/>
      <c r="AJ514" s="1398"/>
      <c r="AK514" s="1399"/>
      <c r="AZ514" s="3"/>
      <c r="BA514" s="3"/>
      <c r="BB514" s="3"/>
      <c r="BC514" s="3"/>
      <c r="BD514" s="3"/>
      <c r="BE514" s="3"/>
      <c r="BF514" s="3"/>
      <c r="BG514" s="3"/>
      <c r="BH514" s="3"/>
      <c r="BI514" s="3"/>
      <c r="BJ514" s="3"/>
      <c r="BK514" s="3"/>
      <c r="BL514" s="3"/>
      <c r="BM514" s="3"/>
      <c r="BN514" s="3" t="s">
        <v>2105</v>
      </c>
    </row>
    <row r="515" spans="2:66" ht="12.95" customHeight="1">
      <c r="B515" s="1687"/>
      <c r="C515" s="1430"/>
      <c r="D515" s="1430"/>
      <c r="E515" s="1430"/>
      <c r="F515" s="1430"/>
      <c r="G515" s="1430"/>
      <c r="H515" s="1431"/>
      <c r="I515" t="s">
        <v>415</v>
      </c>
      <c r="AC515" s="1440">
        <v>9</v>
      </c>
      <c r="AD515" s="1441"/>
      <c r="AE515" s="1441"/>
      <c r="AF515" s="1441"/>
      <c r="AG515" s="13" t="s">
        <v>402</v>
      </c>
      <c r="AH515" s="1398">
        <v>2025</v>
      </c>
      <c r="AI515" s="1398"/>
      <c r="AJ515" s="1398"/>
      <c r="AK515" s="1399"/>
      <c r="AZ515" s="3"/>
      <c r="BA515" s="3"/>
      <c r="BB515" s="3"/>
      <c r="BC515" s="3"/>
      <c r="BD515" s="3"/>
      <c r="BE515" s="3"/>
      <c r="BF515" s="3"/>
      <c r="BG515" s="3"/>
      <c r="BH515" s="3"/>
      <c r="BI515" s="3"/>
      <c r="BJ515" s="3"/>
      <c r="BK515" s="3"/>
      <c r="BL515" s="3"/>
      <c r="BM515" s="3"/>
      <c r="BN515" s="3" t="s">
        <v>2106</v>
      </c>
    </row>
    <row r="516" spans="2:66" ht="12.95" customHeight="1">
      <c r="B516" s="1687"/>
      <c r="C516" s="1430"/>
      <c r="D516" s="1430"/>
      <c r="E516" s="1430"/>
      <c r="F516" s="1430"/>
      <c r="G516" s="1430"/>
      <c r="H516" s="1431"/>
      <c r="I516" s="48" t="s">
        <v>416</v>
      </c>
      <c r="J516" s="48"/>
      <c r="K516" s="48"/>
      <c r="L516" s="48"/>
      <c r="M516" s="48"/>
      <c r="N516" s="48"/>
      <c r="O516" s="48"/>
      <c r="P516" s="48"/>
      <c r="Q516" s="48"/>
      <c r="R516" s="48"/>
      <c r="S516" s="48"/>
      <c r="T516" s="48"/>
      <c r="U516" s="48"/>
      <c r="V516" s="48"/>
      <c r="W516" s="48"/>
      <c r="X516" s="48"/>
      <c r="Y516" s="48"/>
      <c r="Z516" s="48"/>
      <c r="AA516" s="48"/>
      <c r="AB516" s="48"/>
      <c r="AC516" s="1440">
        <v>6</v>
      </c>
      <c r="AD516" s="1441"/>
      <c r="AE516" s="1441"/>
      <c r="AF516" s="1441"/>
      <c r="AG516" s="38" t="s">
        <v>402</v>
      </c>
      <c r="AH516" s="1398">
        <v>2026</v>
      </c>
      <c r="AI516" s="1398"/>
      <c r="AJ516" s="1398"/>
      <c r="AK516" s="1399"/>
      <c r="AZ516" s="3"/>
      <c r="BA516" s="3"/>
      <c r="BB516" s="3"/>
      <c r="BC516" s="3"/>
      <c r="BD516" s="3"/>
      <c r="BE516" s="3"/>
      <c r="BF516" s="3"/>
      <c r="BG516" s="3"/>
      <c r="BH516" s="3"/>
      <c r="BI516" s="3"/>
      <c r="BJ516" s="3"/>
      <c r="BK516" s="3"/>
      <c r="BL516" s="3"/>
      <c r="BM516" s="3"/>
      <c r="BN516" s="3" t="s">
        <v>2107</v>
      </c>
    </row>
    <row r="517" spans="2:66" ht="12.95" customHeight="1">
      <c r="B517" s="1686" t="s">
        <v>417</v>
      </c>
      <c r="C517" s="1428"/>
      <c r="D517" s="1428"/>
      <c r="E517" s="1428"/>
      <c r="F517" s="1428"/>
      <c r="G517" s="1428"/>
      <c r="H517" s="1429"/>
      <c r="I517" s="42" t="s">
        <v>414</v>
      </c>
      <c r="J517" s="42"/>
      <c r="K517" s="42"/>
      <c r="L517" s="42"/>
      <c r="M517" s="42"/>
      <c r="N517" s="42"/>
      <c r="O517" s="42"/>
      <c r="P517" s="42"/>
      <c r="Q517" s="42"/>
      <c r="R517" s="42"/>
      <c r="S517" s="42"/>
      <c r="T517" s="42"/>
      <c r="U517" s="42"/>
      <c r="V517" s="42"/>
      <c r="W517" s="42"/>
      <c r="X517" s="42"/>
      <c r="Y517" s="42"/>
      <c r="Z517" s="42"/>
      <c r="AA517" s="42"/>
      <c r="AB517" s="42"/>
      <c r="AC517" s="1354">
        <v>9</v>
      </c>
      <c r="AD517" s="1355"/>
      <c r="AE517" s="1355"/>
      <c r="AF517" s="1355"/>
      <c r="AG517" s="129" t="s">
        <v>402</v>
      </c>
      <c r="AH517" s="1398">
        <v>2025</v>
      </c>
      <c r="AI517" s="1398"/>
      <c r="AJ517" s="1398"/>
      <c r="AK517" s="1399"/>
      <c r="AZ517" s="3"/>
      <c r="BB517" s="3"/>
      <c r="BC517" s="3"/>
      <c r="BD517" s="3"/>
      <c r="BE517" s="3"/>
      <c r="BF517" s="3"/>
      <c r="BG517" s="3"/>
      <c r="BH517" s="3"/>
      <c r="BI517" s="3"/>
      <c r="BJ517" s="3"/>
      <c r="BK517" s="3"/>
      <c r="BL517" s="3"/>
      <c r="BM517" s="3"/>
      <c r="BN517" s="3" t="s">
        <v>2108</v>
      </c>
    </row>
    <row r="518" spans="2:66" ht="12.95" customHeight="1">
      <c r="B518" s="1687"/>
      <c r="C518" s="1430"/>
      <c r="D518" s="1430"/>
      <c r="E518" s="1430"/>
      <c r="F518" s="1430"/>
      <c r="G518" s="1430"/>
      <c r="H518" s="1431"/>
      <c r="I518" t="s">
        <v>415</v>
      </c>
      <c r="AC518" s="1440">
        <v>9</v>
      </c>
      <c r="AD518" s="1441"/>
      <c r="AE518" s="1441"/>
      <c r="AF518" s="1441"/>
      <c r="AG518" s="13" t="s">
        <v>402</v>
      </c>
      <c r="AH518" s="1398">
        <v>2025</v>
      </c>
      <c r="AI518" s="1398"/>
      <c r="AJ518" s="1398"/>
      <c r="AK518" s="1399"/>
      <c r="BB518" s="3"/>
      <c r="BC518" s="3"/>
      <c r="BD518" s="3"/>
      <c r="BE518" s="3"/>
      <c r="BF518" s="3"/>
      <c r="BG518" s="3"/>
      <c r="BH518" s="3"/>
      <c r="BI518" s="3"/>
      <c r="BJ518" s="3"/>
      <c r="BK518" s="3"/>
      <c r="BL518" s="3"/>
      <c r="BM518" s="3"/>
      <c r="BN518" s="3" t="s">
        <v>2109</v>
      </c>
    </row>
    <row r="519" spans="2:66" ht="12.95" customHeight="1">
      <c r="B519" s="1688"/>
      <c r="C519" s="1432"/>
      <c r="D519" s="1432"/>
      <c r="E519" s="1432"/>
      <c r="F519" s="1432"/>
      <c r="G519" s="1432"/>
      <c r="H519" s="1433"/>
      <c r="I519" s="48" t="s">
        <v>416</v>
      </c>
      <c r="J519" s="48"/>
      <c r="K519" s="48"/>
      <c r="L519" s="48"/>
      <c r="M519" s="48"/>
      <c r="N519" s="48"/>
      <c r="O519" s="48"/>
      <c r="P519" s="48"/>
      <c r="Q519" s="48"/>
      <c r="R519" s="48"/>
      <c r="S519" s="48"/>
      <c r="T519" s="48"/>
      <c r="U519" s="48"/>
      <c r="V519" s="48"/>
      <c r="W519" s="48"/>
      <c r="X519" s="48"/>
      <c r="Y519" s="48"/>
      <c r="Z519" s="48"/>
      <c r="AA519" s="48"/>
      <c r="AB519" s="48"/>
      <c r="AC519" s="1440">
        <v>6</v>
      </c>
      <c r="AD519" s="1441"/>
      <c r="AE519" s="1441"/>
      <c r="AF519" s="1441"/>
      <c r="AG519" s="38" t="s">
        <v>402</v>
      </c>
      <c r="AH519" s="1398">
        <v>2026</v>
      </c>
      <c r="AI519" s="1398"/>
      <c r="AJ519" s="1398"/>
      <c r="AK519" s="1399"/>
      <c r="BB519" s="3"/>
      <c r="BC519" s="3"/>
      <c r="BD519" s="3"/>
      <c r="BE519" s="3"/>
      <c r="BF519" s="3"/>
      <c r="BG519" s="3"/>
      <c r="BH519" s="3"/>
      <c r="BI519" s="3"/>
      <c r="BJ519" s="3"/>
      <c r="BK519" s="3"/>
      <c r="BL519" s="3"/>
      <c r="BM519" s="3"/>
      <c r="BN519" s="3" t="s">
        <v>2110</v>
      </c>
    </row>
    <row r="520" spans="2:66" ht="12.95" customHeight="1">
      <c r="B520" s="1686" t="s">
        <v>418</v>
      </c>
      <c r="C520" s="1428"/>
      <c r="D520" s="1428"/>
      <c r="E520" s="1428"/>
      <c r="F520" s="1428"/>
      <c r="G520" s="1428"/>
      <c r="H520" s="1429"/>
      <c r="I520" s="41" t="s">
        <v>419</v>
      </c>
      <c r="J520" s="42"/>
      <c r="K520" s="42"/>
      <c r="L520" s="42"/>
      <c r="M520" s="42"/>
      <c r="N520" s="42"/>
      <c r="O520" s="1750" t="s">
        <v>333</v>
      </c>
      <c r="P520" s="1751"/>
      <c r="Q520" s="1751"/>
      <c r="R520" s="1751"/>
      <c r="S520" s="1751"/>
      <c r="T520" s="1751"/>
      <c r="U520" s="1751"/>
      <c r="V520" s="1751"/>
      <c r="W520" s="1751"/>
      <c r="X520" s="1751"/>
      <c r="Y520" s="1751"/>
      <c r="Z520" s="1751"/>
      <c r="AA520" s="1751"/>
      <c r="AB520" s="58"/>
      <c r="AC520" s="1354" t="s">
        <v>591</v>
      </c>
      <c r="AD520" s="1355"/>
      <c r="AE520" s="1355"/>
      <c r="AF520" s="1355"/>
      <c r="AG520" s="129" t="s">
        <v>402</v>
      </c>
      <c r="AH520" s="1398"/>
      <c r="AI520" s="1398"/>
      <c r="AJ520" s="1398"/>
      <c r="AK520" s="1399"/>
      <c r="AZ520" s="3"/>
      <c r="BB520" s="3"/>
      <c r="BC520" s="3"/>
      <c r="BD520" s="3"/>
      <c r="BE520" s="3"/>
      <c r="BF520" s="3"/>
      <c r="BG520" s="3"/>
      <c r="BH520" s="3"/>
      <c r="BI520" s="3"/>
      <c r="BJ520" s="3"/>
      <c r="BK520" s="3"/>
      <c r="BL520" s="3"/>
      <c r="BM520" s="3"/>
      <c r="BN520" s="3" t="s">
        <v>2111</v>
      </c>
    </row>
    <row r="521" spans="2:66" ht="12.95" customHeight="1">
      <c r="B521" s="1687"/>
      <c r="C521" s="1430"/>
      <c r="D521" s="1430"/>
      <c r="E521" s="1430"/>
      <c r="F521" s="1430"/>
      <c r="G521" s="1430"/>
      <c r="H521" s="1431"/>
      <c r="I521" s="114" t="s">
        <v>420</v>
      </c>
      <c r="AB521" s="65"/>
      <c r="AC521" s="1440" t="s">
        <v>591</v>
      </c>
      <c r="AD521" s="1441"/>
      <c r="AE521" s="1441"/>
      <c r="AF521" s="1441"/>
      <c r="AG521" s="13" t="s">
        <v>402</v>
      </c>
      <c r="AH521" s="1398"/>
      <c r="AI521" s="1398"/>
      <c r="AJ521" s="1398"/>
      <c r="AK521" s="1399"/>
      <c r="AZ521" s="3"/>
      <c r="BB521" s="3"/>
      <c r="BC521" s="3"/>
      <c r="BD521" s="3"/>
      <c r="BE521" s="3"/>
      <c r="BF521" s="3"/>
      <c r="BG521" s="3"/>
      <c r="BH521" s="3"/>
      <c r="BI521" s="3"/>
      <c r="BJ521" s="3"/>
      <c r="BK521" s="3"/>
      <c r="BL521" s="3"/>
      <c r="BM521" s="3"/>
      <c r="BN521" s="3" t="s">
        <v>2112</v>
      </c>
    </row>
    <row r="522" spans="2:66" ht="12.95" customHeight="1">
      <c r="B522" s="1687"/>
      <c r="C522" s="1430"/>
      <c r="D522" s="1430"/>
      <c r="E522" s="1430"/>
      <c r="F522" s="1430"/>
      <c r="G522" s="1430"/>
      <c r="H522" s="1431"/>
      <c r="I522" s="47" t="s">
        <v>421</v>
      </c>
      <c r="J522" s="48"/>
      <c r="K522" s="48"/>
      <c r="L522" s="48"/>
      <c r="M522" s="48"/>
      <c r="N522" s="48"/>
      <c r="O522" s="48"/>
      <c r="P522" s="48"/>
      <c r="Q522" s="48"/>
      <c r="R522" s="48"/>
      <c r="S522" s="48"/>
      <c r="T522" s="48"/>
      <c r="U522" s="48"/>
      <c r="V522" s="48"/>
      <c r="W522" s="48"/>
      <c r="X522" s="48"/>
      <c r="Y522" s="48"/>
      <c r="Z522" s="48"/>
      <c r="AA522" s="48"/>
      <c r="AB522" s="49"/>
      <c r="AC522" s="1440" t="s">
        <v>591</v>
      </c>
      <c r="AD522" s="1441"/>
      <c r="AE522" s="1441"/>
      <c r="AF522" s="1441"/>
      <c r="AG522" s="38" t="s">
        <v>402</v>
      </c>
      <c r="AH522" s="1398"/>
      <c r="AI522" s="1398"/>
      <c r="AJ522" s="1398"/>
      <c r="AK522" s="1399"/>
      <c r="AZ522" s="3"/>
      <c r="BA522" s="3"/>
      <c r="BB522" s="3"/>
      <c r="BC522" s="3"/>
      <c r="BD522" s="3"/>
      <c r="BE522" s="3"/>
      <c r="BF522" s="3"/>
      <c r="BG522" s="3"/>
      <c r="BH522" s="3"/>
      <c r="BI522" s="3"/>
      <c r="BJ522" s="3"/>
      <c r="BK522" s="3"/>
      <c r="BL522" s="3"/>
      <c r="BM522" s="3"/>
      <c r="BN522" s="3" t="s">
        <v>2113</v>
      </c>
    </row>
    <row r="523" spans="2:66" ht="12.95" customHeight="1">
      <c r="B523" s="1687"/>
      <c r="C523" s="1430"/>
      <c r="D523" s="1430"/>
      <c r="E523" s="1430"/>
      <c r="F523" s="1430"/>
      <c r="G523" s="1430"/>
      <c r="H523" s="1431"/>
      <c r="I523" s="42" t="s">
        <v>422</v>
      </c>
      <c r="J523" s="42"/>
      <c r="K523" s="42"/>
      <c r="L523" s="42"/>
      <c r="M523" s="42"/>
      <c r="N523" s="42"/>
      <c r="O523" s="1750" t="s">
        <v>333</v>
      </c>
      <c r="P523" s="1751"/>
      <c r="Q523" s="1751"/>
      <c r="R523" s="1751"/>
      <c r="S523" s="1751"/>
      <c r="T523" s="1751"/>
      <c r="U523" s="1751"/>
      <c r="V523" s="1751"/>
      <c r="W523" s="1751"/>
      <c r="X523" s="1751"/>
      <c r="Y523" s="1751"/>
      <c r="Z523" s="1751"/>
      <c r="AA523" s="1751"/>
      <c r="AC523" s="1440" t="s">
        <v>591</v>
      </c>
      <c r="AD523" s="1441"/>
      <c r="AE523" s="1441"/>
      <c r="AF523" s="1441"/>
      <c r="AG523" s="13" t="s">
        <v>402</v>
      </c>
      <c r="AH523" s="1398"/>
      <c r="AI523" s="1398"/>
      <c r="AJ523" s="1398"/>
      <c r="AK523" s="1399"/>
      <c r="AZ523" s="3"/>
      <c r="BA523" s="3"/>
      <c r="BB523" s="3"/>
      <c r="BC523" s="3"/>
      <c r="BD523" s="3"/>
      <c r="BE523" s="3"/>
      <c r="BF523" s="3"/>
      <c r="BG523" s="3"/>
      <c r="BH523" s="3"/>
      <c r="BI523" s="3"/>
      <c r="BJ523" s="3"/>
      <c r="BK523" s="3"/>
      <c r="BL523" s="3"/>
      <c r="BM523" s="3"/>
      <c r="BN523" s="3" t="s">
        <v>2114</v>
      </c>
    </row>
    <row r="524" spans="2:66" ht="12.95" customHeight="1">
      <c r="B524" s="1687"/>
      <c r="C524" s="1430"/>
      <c r="D524" s="1430"/>
      <c r="E524" s="1430"/>
      <c r="F524" s="1430"/>
      <c r="G524" s="1430"/>
      <c r="H524" s="1431"/>
      <c r="I524" t="s">
        <v>420</v>
      </c>
      <c r="AC524" s="1440" t="s">
        <v>591</v>
      </c>
      <c r="AD524" s="1441"/>
      <c r="AE524" s="1441"/>
      <c r="AF524" s="1441"/>
      <c r="AG524" s="13" t="s">
        <v>402</v>
      </c>
      <c r="AH524" s="1398"/>
      <c r="AI524" s="1398"/>
      <c r="AJ524" s="1398"/>
      <c r="AK524" s="1399"/>
      <c r="AZ524" s="3"/>
      <c r="BA524" s="3"/>
      <c r="BB524" s="3"/>
      <c r="BC524" s="3"/>
      <c r="BD524" s="3"/>
      <c r="BE524" s="3"/>
      <c r="BF524" s="3"/>
      <c r="BG524" s="3"/>
      <c r="BH524" s="3"/>
      <c r="BI524" s="3"/>
      <c r="BJ524" s="3"/>
      <c r="BK524" s="3"/>
      <c r="BL524" s="3"/>
      <c r="BM524" s="3"/>
      <c r="BN524" s="3" t="s">
        <v>2115</v>
      </c>
    </row>
    <row r="525" spans="2:66" ht="12.95" customHeight="1">
      <c r="B525" s="1687"/>
      <c r="C525" s="1430"/>
      <c r="D525" s="1430"/>
      <c r="E525" s="1430"/>
      <c r="F525" s="1430"/>
      <c r="G525" s="1430"/>
      <c r="H525" s="1431"/>
      <c r="I525" s="48" t="s">
        <v>421</v>
      </c>
      <c r="J525" s="48"/>
      <c r="K525" s="48"/>
      <c r="L525" s="48"/>
      <c r="M525" s="48"/>
      <c r="N525" s="48"/>
      <c r="O525" s="48"/>
      <c r="P525" s="48"/>
      <c r="Q525" s="48"/>
      <c r="R525" s="48"/>
      <c r="S525" s="48"/>
      <c r="T525" s="48"/>
      <c r="U525" s="48"/>
      <c r="V525" s="48"/>
      <c r="W525" s="48"/>
      <c r="X525" s="48"/>
      <c r="Y525" s="48"/>
      <c r="Z525" s="48"/>
      <c r="AA525" s="48"/>
      <c r="AB525" s="48"/>
      <c r="AC525" s="1440" t="s">
        <v>591</v>
      </c>
      <c r="AD525" s="1441"/>
      <c r="AE525" s="1441"/>
      <c r="AF525" s="1441"/>
      <c r="AG525" s="38" t="s">
        <v>402</v>
      </c>
      <c r="AH525" s="1398"/>
      <c r="AI525" s="1398"/>
      <c r="AJ525" s="1398"/>
      <c r="AK525" s="1399"/>
      <c r="AZ525" s="3"/>
      <c r="BA525" s="3"/>
      <c r="BB525" s="3"/>
      <c r="BC525" s="3"/>
      <c r="BD525" s="3"/>
      <c r="BE525" s="3"/>
      <c r="BF525" s="3"/>
      <c r="BG525" s="3"/>
      <c r="BH525" s="3"/>
      <c r="BI525" s="3"/>
      <c r="BJ525" s="3"/>
      <c r="BK525" s="3"/>
      <c r="BL525" s="3"/>
      <c r="BM525" s="3"/>
      <c r="BN525" s="3" t="s">
        <v>2116</v>
      </c>
    </row>
    <row r="526" spans="2:66" ht="12.95" customHeight="1">
      <c r="B526" s="1687"/>
      <c r="C526" s="1430"/>
      <c r="D526" s="1430"/>
      <c r="E526" s="1430"/>
      <c r="F526" s="1430"/>
      <c r="G526" s="1430"/>
      <c r="H526" s="1431"/>
      <c r="I526" s="42" t="s">
        <v>422</v>
      </c>
      <c r="J526" s="42"/>
      <c r="K526" s="42"/>
      <c r="L526" s="42"/>
      <c r="M526" s="42"/>
      <c r="N526" s="42"/>
      <c r="O526" s="1750" t="s">
        <v>333</v>
      </c>
      <c r="P526" s="1751"/>
      <c r="Q526" s="1751"/>
      <c r="R526" s="1751"/>
      <c r="S526" s="1751"/>
      <c r="T526" s="1751"/>
      <c r="U526" s="1751"/>
      <c r="V526" s="1751"/>
      <c r="W526" s="1751"/>
      <c r="X526" s="1751"/>
      <c r="Y526" s="1751"/>
      <c r="Z526" s="1751"/>
      <c r="AA526" s="1751"/>
      <c r="AC526" s="1440" t="s">
        <v>591</v>
      </c>
      <c r="AD526" s="1441"/>
      <c r="AE526" s="1441"/>
      <c r="AF526" s="1441"/>
      <c r="AG526" s="13" t="s">
        <v>402</v>
      </c>
      <c r="AH526" s="1398"/>
      <c r="AI526" s="1398"/>
      <c r="AJ526" s="1398"/>
      <c r="AK526" s="1399"/>
      <c r="AZ526" s="3"/>
      <c r="BA526" s="3"/>
      <c r="BB526" s="3"/>
      <c r="BC526" s="3"/>
      <c r="BD526" s="3"/>
      <c r="BE526" s="3"/>
      <c r="BF526" s="3"/>
      <c r="BG526" s="3"/>
      <c r="BH526" s="3"/>
      <c r="BI526" s="3"/>
      <c r="BJ526" s="3"/>
      <c r="BK526" s="3"/>
      <c r="BL526" s="3"/>
      <c r="BM526" s="3"/>
      <c r="BN526" s="3" t="s">
        <v>2117</v>
      </c>
    </row>
    <row r="527" spans="2:66" ht="12.95" customHeight="1">
      <c r="B527" s="1687"/>
      <c r="C527" s="1430"/>
      <c r="D527" s="1430"/>
      <c r="E527" s="1430"/>
      <c r="F527" s="1430"/>
      <c r="G527" s="1430"/>
      <c r="H527" s="1431"/>
      <c r="I527" t="s">
        <v>420</v>
      </c>
      <c r="AC527" s="1440" t="s">
        <v>591</v>
      </c>
      <c r="AD527" s="1441"/>
      <c r="AE527" s="1441"/>
      <c r="AF527" s="1441"/>
      <c r="AG527" s="13" t="s">
        <v>402</v>
      </c>
      <c r="AH527" s="1398"/>
      <c r="AI527" s="1398"/>
      <c r="AJ527" s="1398"/>
      <c r="AK527" s="1399"/>
      <c r="AZ527" s="3"/>
      <c r="BA527" s="3"/>
      <c r="BB527" s="3"/>
      <c r="BC527" s="3"/>
      <c r="BD527" s="3"/>
      <c r="BE527" s="3"/>
      <c r="BF527" s="3"/>
      <c r="BG527" s="3"/>
      <c r="BH527" s="3"/>
      <c r="BI527" s="3"/>
      <c r="BJ527" s="3"/>
      <c r="BK527" s="3"/>
      <c r="BL527" s="3"/>
      <c r="BM527" s="3"/>
      <c r="BN527" s="3" t="s">
        <v>2118</v>
      </c>
    </row>
    <row r="528" spans="2:66" ht="12.95" customHeight="1">
      <c r="B528" s="1687"/>
      <c r="C528" s="1430"/>
      <c r="D528" s="1430"/>
      <c r="E528" s="1430"/>
      <c r="F528" s="1430"/>
      <c r="G528" s="1430"/>
      <c r="H528" s="1431"/>
      <c r="I528" s="48" t="s">
        <v>421</v>
      </c>
      <c r="J528" s="48"/>
      <c r="K528" s="48"/>
      <c r="L528" s="48"/>
      <c r="M528" s="48"/>
      <c r="N528" s="48"/>
      <c r="O528" s="48"/>
      <c r="P528" s="48"/>
      <c r="Q528" s="48"/>
      <c r="R528" s="48"/>
      <c r="S528" s="48"/>
      <c r="T528" s="48"/>
      <c r="U528" s="48"/>
      <c r="V528" s="48"/>
      <c r="W528" s="48"/>
      <c r="X528" s="48"/>
      <c r="Y528" s="48"/>
      <c r="Z528" s="48"/>
      <c r="AA528" s="48"/>
      <c r="AB528" s="48"/>
      <c r="AC528" s="1440" t="s">
        <v>591</v>
      </c>
      <c r="AD528" s="1441"/>
      <c r="AE528" s="1441"/>
      <c r="AF528" s="1441"/>
      <c r="AG528" s="38" t="s">
        <v>402</v>
      </c>
      <c r="AH528" s="1398"/>
      <c r="AI528" s="1398"/>
      <c r="AJ528" s="1398"/>
      <c r="AK528" s="1399"/>
      <c r="AZ528" s="3"/>
      <c r="BA528" s="3"/>
      <c r="BB528" s="3"/>
      <c r="BC528" s="3"/>
      <c r="BD528" s="3"/>
      <c r="BE528" s="3"/>
      <c r="BF528" s="3"/>
      <c r="BG528" s="3"/>
      <c r="BH528" s="3"/>
      <c r="BI528" s="3"/>
      <c r="BJ528" s="3"/>
      <c r="BK528" s="3"/>
      <c r="BL528" s="3"/>
      <c r="BM528" s="3"/>
      <c r="BN528" s="3" t="s">
        <v>2119</v>
      </c>
    </row>
    <row r="529" spans="1:66" ht="12.95" customHeight="1">
      <c r="B529" s="1687"/>
      <c r="C529" s="1430"/>
      <c r="D529" s="1430"/>
      <c r="E529" s="1430"/>
      <c r="F529" s="1430"/>
      <c r="G529" s="1430"/>
      <c r="H529" s="1431"/>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440" t="s">
        <v>591</v>
      </c>
      <c r="AD529" s="1441"/>
      <c r="AE529" s="1441"/>
      <c r="AF529" s="1441"/>
      <c r="AG529" s="13" t="s">
        <v>402</v>
      </c>
      <c r="AH529" s="1398"/>
      <c r="AI529" s="1398"/>
      <c r="AJ529" s="1398"/>
      <c r="AK529" s="1399"/>
      <c r="AZ529" s="3"/>
      <c r="BA529" s="3"/>
      <c r="BB529" s="3"/>
      <c r="BC529" s="3"/>
      <c r="BD529" s="3"/>
      <c r="BE529" s="3"/>
      <c r="BF529" s="3"/>
      <c r="BG529" s="3"/>
      <c r="BH529" s="3"/>
      <c r="BI529" s="3"/>
      <c r="BJ529" s="3"/>
      <c r="BK529" s="3"/>
      <c r="BL529" s="3"/>
      <c r="BM529" s="3"/>
      <c r="BN529" s="3" t="s">
        <v>2120</v>
      </c>
    </row>
    <row r="530" spans="1:66" ht="12.95" customHeight="1">
      <c r="B530" s="1687"/>
      <c r="C530" s="1430"/>
      <c r="D530" s="1430"/>
      <c r="E530" s="1430"/>
      <c r="F530" s="1430"/>
      <c r="G530" s="1430"/>
      <c r="H530" s="1431"/>
      <c r="I530" t="s">
        <v>420</v>
      </c>
      <c r="AC530" s="1440" t="s">
        <v>591</v>
      </c>
      <c r="AD530" s="1441"/>
      <c r="AE530" s="1441"/>
      <c r="AF530" s="1441"/>
      <c r="AG530" s="13" t="s">
        <v>402</v>
      </c>
      <c r="AH530" s="1398"/>
      <c r="AI530" s="1398"/>
      <c r="AJ530" s="1398"/>
      <c r="AK530" s="1399"/>
      <c r="AZ530" s="3"/>
      <c r="BA530" s="3"/>
      <c r="BB530" s="3"/>
      <c r="BC530" s="3"/>
      <c r="BD530" s="3"/>
      <c r="BE530" s="3"/>
      <c r="BF530" s="3"/>
      <c r="BG530" s="3"/>
      <c r="BH530" s="3"/>
      <c r="BI530" s="3"/>
      <c r="BJ530" s="3"/>
      <c r="BK530" s="3"/>
      <c r="BL530" s="3"/>
      <c r="BM530" s="3"/>
      <c r="BN530" s="3" t="s">
        <v>2121</v>
      </c>
    </row>
    <row r="531" spans="1:66" ht="12.95" customHeight="1">
      <c r="B531" s="1687"/>
      <c r="C531" s="1430"/>
      <c r="D531" s="1430"/>
      <c r="E531" s="1430"/>
      <c r="F531" s="1430"/>
      <c r="G531" s="1430"/>
      <c r="H531" s="1431"/>
      <c r="I531" s="48" t="s">
        <v>421</v>
      </c>
      <c r="J531" s="48"/>
      <c r="K531" s="48"/>
      <c r="L531" s="48"/>
      <c r="M531" s="48"/>
      <c r="N531" s="48"/>
      <c r="O531" s="48"/>
      <c r="P531" s="48"/>
      <c r="Q531" s="48"/>
      <c r="R531" s="48"/>
      <c r="S531" s="48"/>
      <c r="T531" s="48"/>
      <c r="U531" s="48"/>
      <c r="V531" s="48"/>
      <c r="W531" s="48"/>
      <c r="X531" s="48"/>
      <c r="Y531" s="48"/>
      <c r="Z531" s="48"/>
      <c r="AA531" s="48"/>
      <c r="AB531" s="48"/>
      <c r="AC531" s="1440" t="s">
        <v>591</v>
      </c>
      <c r="AD531" s="1441"/>
      <c r="AE531" s="1441"/>
      <c r="AF531" s="1441"/>
      <c r="AG531" s="38" t="s">
        <v>402</v>
      </c>
      <c r="AH531" s="1398"/>
      <c r="AI531" s="1398"/>
      <c r="AJ531" s="1398"/>
      <c r="AK531" s="1399"/>
      <c r="AZ531" s="3"/>
      <c r="BA531" s="3"/>
      <c r="BB531" s="3"/>
      <c r="BC531" s="3"/>
      <c r="BD531" s="3"/>
      <c r="BE531" s="3"/>
      <c r="BF531" s="3"/>
      <c r="BG531" s="3"/>
      <c r="BH531" s="3"/>
      <c r="BI531" s="3"/>
      <c r="BJ531" s="3"/>
      <c r="BK531" s="3"/>
      <c r="BL531" s="3"/>
      <c r="BM531" s="3"/>
      <c r="BN531" s="3" t="s">
        <v>2122</v>
      </c>
    </row>
    <row r="532" spans="1:66" ht="12.95" customHeight="1">
      <c r="B532" s="1687"/>
      <c r="C532" s="1430"/>
      <c r="D532" s="1430"/>
      <c r="E532" s="1430"/>
      <c r="F532" s="1430"/>
      <c r="G532" s="1430"/>
      <c r="H532" s="1431"/>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440" t="s">
        <v>591</v>
      </c>
      <c r="AD532" s="1441"/>
      <c r="AE532" s="1441"/>
      <c r="AF532" s="1441"/>
      <c r="AG532" s="13" t="s">
        <v>402</v>
      </c>
      <c r="AH532" s="1398"/>
      <c r="AI532" s="1398"/>
      <c r="AJ532" s="1398"/>
      <c r="AK532" s="1399"/>
      <c r="AZ532" s="3"/>
      <c r="BA532" s="3"/>
      <c r="BB532" s="3"/>
      <c r="BC532" s="3"/>
      <c r="BD532" s="3"/>
      <c r="BE532" s="3"/>
      <c r="BF532" s="3"/>
      <c r="BG532" s="3"/>
      <c r="BH532" s="3"/>
      <c r="BI532" s="3"/>
      <c r="BJ532" s="3"/>
      <c r="BK532" s="3"/>
      <c r="BL532" s="3"/>
      <c r="BM532" s="3"/>
      <c r="BN532" s="3" t="s">
        <v>2123</v>
      </c>
    </row>
    <row r="533" spans="1:66" ht="12.95" customHeight="1">
      <c r="B533" s="1687"/>
      <c r="C533" s="1430"/>
      <c r="D533" s="1430"/>
      <c r="E533" s="1430"/>
      <c r="F533" s="1430"/>
      <c r="G533" s="1430"/>
      <c r="H533" s="1431"/>
      <c r="I533" t="s">
        <v>420</v>
      </c>
      <c r="AC533" s="1440" t="s">
        <v>591</v>
      </c>
      <c r="AD533" s="1441"/>
      <c r="AE533" s="1441"/>
      <c r="AF533" s="1441"/>
      <c r="AG533" s="38" t="s">
        <v>402</v>
      </c>
      <c r="AH533" s="1398"/>
      <c r="AI533" s="1398"/>
      <c r="AJ533" s="1398"/>
      <c r="AK533" s="1399"/>
      <c r="AZ533" s="3"/>
      <c r="BA533" s="3"/>
      <c r="BB533" s="3"/>
      <c r="BC533" s="3"/>
      <c r="BD533" s="3"/>
      <c r="BE533" s="3"/>
      <c r="BF533" s="3"/>
      <c r="BG533" s="3"/>
      <c r="BH533" s="3"/>
      <c r="BI533" s="3"/>
      <c r="BJ533" s="3"/>
      <c r="BK533" s="3"/>
      <c r="BL533" s="3"/>
      <c r="BM533" s="3"/>
      <c r="BN533" s="3" t="s">
        <v>2124</v>
      </c>
    </row>
    <row r="534" spans="1:66" ht="12.95" customHeight="1">
      <c r="B534" s="1687"/>
      <c r="C534" s="1430"/>
      <c r="D534" s="1430"/>
      <c r="E534" s="1430"/>
      <c r="F534" s="1430"/>
      <c r="G534" s="1430"/>
      <c r="H534" s="1431"/>
      <c r="I534" s="48" t="s">
        <v>421</v>
      </c>
      <c r="J534" s="48"/>
      <c r="K534" s="48"/>
      <c r="L534" s="48"/>
      <c r="M534" s="48"/>
      <c r="N534" s="48"/>
      <c r="O534" s="48"/>
      <c r="P534" s="48"/>
      <c r="Q534" s="48"/>
      <c r="R534" s="48"/>
      <c r="S534" s="48"/>
      <c r="T534" s="48"/>
      <c r="U534" s="48"/>
      <c r="V534" s="48"/>
      <c r="W534" s="48"/>
      <c r="X534" s="48"/>
      <c r="Y534" s="48"/>
      <c r="Z534" s="48"/>
      <c r="AA534" s="48"/>
      <c r="AB534" s="48"/>
      <c r="AC534" s="1440" t="s">
        <v>591</v>
      </c>
      <c r="AD534" s="1441"/>
      <c r="AE534" s="1441"/>
      <c r="AF534" s="1441"/>
      <c r="AG534" s="13" t="s">
        <v>402</v>
      </c>
      <c r="AH534" s="1398"/>
      <c r="AI534" s="1398"/>
      <c r="AJ534" s="1398"/>
      <c r="AK534" s="1399"/>
      <c r="AZ534" s="3"/>
      <c r="BA534" s="3"/>
      <c r="BB534" s="3"/>
      <c r="BC534" s="3"/>
      <c r="BD534" s="3"/>
      <c r="BE534" s="3"/>
      <c r="BF534" s="3"/>
      <c r="BG534" s="3"/>
      <c r="BH534" s="3"/>
      <c r="BI534" s="3"/>
      <c r="BJ534" s="3"/>
      <c r="BK534" s="3"/>
      <c r="BL534" s="3"/>
      <c r="BM534" s="3"/>
      <c r="BN534" s="3" t="s">
        <v>2125</v>
      </c>
    </row>
    <row r="535" spans="1:66" ht="12.95" customHeight="1">
      <c r="B535" s="1687"/>
      <c r="C535" s="1430"/>
      <c r="D535" s="1430"/>
      <c r="E535" s="1430"/>
      <c r="F535" s="1430"/>
      <c r="G535" s="1430"/>
      <c r="H535" s="1431"/>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440" t="s">
        <v>591</v>
      </c>
      <c r="AD535" s="1441"/>
      <c r="AE535" s="1441"/>
      <c r="AF535" s="1441"/>
      <c r="AG535" s="38" t="s">
        <v>402</v>
      </c>
      <c r="AH535" s="1398"/>
      <c r="AI535" s="1398"/>
      <c r="AJ535" s="1398"/>
      <c r="AK535" s="1399"/>
      <c r="AZ535" s="3"/>
      <c r="BA535" s="3"/>
      <c r="BB535" s="3"/>
      <c r="BC535" s="3"/>
      <c r="BD535" s="3"/>
      <c r="BE535" s="3"/>
      <c r="BF535" s="3"/>
      <c r="BG535" s="3"/>
      <c r="BH535" s="3"/>
      <c r="BI535" s="3"/>
      <c r="BJ535" s="3"/>
      <c r="BK535" s="3"/>
      <c r="BL535" s="3"/>
      <c r="BM535" s="3"/>
      <c r="BN535" s="3" t="s">
        <v>2126</v>
      </c>
    </row>
    <row r="536" spans="1:66" ht="12.95" customHeight="1">
      <c r="B536" s="1687"/>
      <c r="C536" s="1430"/>
      <c r="D536" s="1430"/>
      <c r="E536" s="1430"/>
      <c r="F536" s="1430"/>
      <c r="G536" s="1430"/>
      <c r="H536" s="1431"/>
      <c r="I536" t="s">
        <v>420</v>
      </c>
      <c r="AC536" s="1440" t="s">
        <v>591</v>
      </c>
      <c r="AD536" s="1441"/>
      <c r="AE536" s="1441"/>
      <c r="AF536" s="1441"/>
      <c r="AG536" s="13" t="s">
        <v>402</v>
      </c>
      <c r="AH536" s="1398"/>
      <c r="AI536" s="1398"/>
      <c r="AJ536" s="1398"/>
      <c r="AK536" s="1399"/>
      <c r="AZ536" s="3"/>
      <c r="BA536" s="3"/>
      <c r="BB536" s="3"/>
      <c r="BC536" s="3"/>
      <c r="BD536" s="3"/>
      <c r="BE536" s="3"/>
      <c r="BF536" s="3"/>
      <c r="BG536" s="3"/>
      <c r="BH536" s="3"/>
      <c r="BI536" s="3"/>
      <c r="BJ536" s="3"/>
      <c r="BK536" s="3"/>
      <c r="BL536" s="3"/>
      <c r="BM536" s="3"/>
      <c r="BN536" s="3" t="s">
        <v>2127</v>
      </c>
    </row>
    <row r="537" spans="1:66" ht="12.95" customHeight="1">
      <c r="B537" s="1687"/>
      <c r="C537" s="1430"/>
      <c r="D537" s="1430"/>
      <c r="E537" s="1430"/>
      <c r="F537" s="1430"/>
      <c r="G537" s="1430"/>
      <c r="H537" s="1431"/>
      <c r="I537" s="48" t="s">
        <v>421</v>
      </c>
      <c r="J537" s="48"/>
      <c r="K537" s="48"/>
      <c r="L537" s="48"/>
      <c r="M537" s="48"/>
      <c r="N537" s="48"/>
      <c r="O537" s="48"/>
      <c r="P537" s="48"/>
      <c r="Q537" s="48"/>
      <c r="R537" s="48"/>
      <c r="S537" s="48"/>
      <c r="T537" s="48"/>
      <c r="U537" s="48"/>
      <c r="V537" s="48"/>
      <c r="W537" s="48"/>
      <c r="X537" s="48"/>
      <c r="Y537" s="48"/>
      <c r="Z537" s="48"/>
      <c r="AA537" s="48"/>
      <c r="AB537" s="48"/>
      <c r="AC537" s="1440" t="s">
        <v>591</v>
      </c>
      <c r="AD537" s="1441"/>
      <c r="AE537" s="1441"/>
      <c r="AF537" s="1441"/>
      <c r="AG537" s="38" t="s">
        <v>402</v>
      </c>
      <c r="AH537" s="1398"/>
      <c r="AI537" s="1398"/>
      <c r="AJ537" s="1398"/>
      <c r="AK537" s="1399"/>
      <c r="AZ537" s="3"/>
      <c r="BA537" s="3"/>
      <c r="BB537" s="3"/>
      <c r="BC537" s="3"/>
      <c r="BD537" s="3"/>
      <c r="BE537" s="3"/>
      <c r="BF537" s="3"/>
      <c r="BG537" s="3"/>
      <c r="BH537" s="3"/>
      <c r="BI537" s="3"/>
      <c r="BJ537" s="3"/>
      <c r="BK537" s="3"/>
      <c r="BL537" s="3"/>
      <c r="BM537" s="3"/>
      <c r="BN537" s="3" t="s">
        <v>2128</v>
      </c>
    </row>
    <row r="538" spans="1:66" ht="12.95" customHeight="1">
      <c r="B538" s="1687"/>
      <c r="C538" s="1430"/>
      <c r="D538" s="1430"/>
      <c r="E538" s="1430"/>
      <c r="F538" s="1430"/>
      <c r="G538" s="1430"/>
      <c r="H538" s="1431"/>
      <c r="I538" s="42" t="s">
        <v>562</v>
      </c>
      <c r="J538" s="42"/>
      <c r="K538" s="42"/>
      <c r="L538" s="42"/>
      <c r="M538" s="42"/>
      <c r="N538" s="42"/>
      <c r="O538" s="42"/>
      <c r="P538" s="42"/>
      <c r="Q538" s="42"/>
      <c r="R538" s="42"/>
      <c r="S538" s="42"/>
      <c r="T538" s="42"/>
      <c r="U538" s="42"/>
      <c r="V538" s="42"/>
      <c r="W538" s="42"/>
      <c r="AC538" s="1440">
        <v>6</v>
      </c>
      <c r="AD538" s="1441"/>
      <c r="AE538" s="1441"/>
      <c r="AF538" s="1441"/>
      <c r="AG538" s="38" t="s">
        <v>402</v>
      </c>
      <c r="AH538" s="1398">
        <v>2026</v>
      </c>
      <c r="AI538" s="1398"/>
      <c r="AJ538" s="1398"/>
      <c r="AK538" s="1399"/>
      <c r="AZ538" s="3"/>
      <c r="BA538" s="3"/>
      <c r="BB538" s="3"/>
      <c r="BC538" s="3"/>
      <c r="BD538" s="3"/>
      <c r="BE538" s="3"/>
      <c r="BF538" s="3"/>
      <c r="BG538" s="3"/>
      <c r="BH538" s="3"/>
      <c r="BI538" s="3"/>
      <c r="BJ538" s="3"/>
      <c r="BK538" s="3"/>
      <c r="BL538" s="3"/>
      <c r="BM538" s="3"/>
      <c r="BN538" s="3"/>
    </row>
    <row r="539" spans="1:66" ht="12.95" customHeight="1">
      <c r="B539" s="1687"/>
      <c r="C539" s="1430"/>
      <c r="D539" s="1430"/>
      <c r="E539" s="1430"/>
      <c r="F539" s="1430"/>
      <c r="G539" s="1430"/>
      <c r="H539" s="1431"/>
      <c r="I539" t="s">
        <v>563</v>
      </c>
      <c r="AC539" s="1440">
        <v>6</v>
      </c>
      <c r="AD539" s="1441"/>
      <c r="AE539" s="1441"/>
      <c r="AF539" s="1441"/>
      <c r="AG539" s="13" t="s">
        <v>402</v>
      </c>
      <c r="AH539" s="1398">
        <v>2026</v>
      </c>
      <c r="AI539" s="1398"/>
      <c r="AJ539" s="1398"/>
      <c r="AK539" s="1399"/>
      <c r="AZ539" s="3"/>
      <c r="BA539" s="3"/>
      <c r="BB539" s="3"/>
      <c r="BC539" s="3"/>
      <c r="BD539" s="3"/>
      <c r="BE539" s="3"/>
      <c r="BF539" s="3"/>
      <c r="BG539" s="3"/>
      <c r="BH539" s="3"/>
      <c r="BI539" s="3"/>
      <c r="BJ539" s="3"/>
      <c r="BK539" s="3"/>
      <c r="BL539" s="3"/>
      <c r="BM539" s="3"/>
      <c r="BN539" s="3"/>
    </row>
    <row r="540" spans="1:66" ht="12.95" customHeight="1">
      <c r="B540" s="1687"/>
      <c r="C540" s="1430"/>
      <c r="D540" s="1430"/>
      <c r="E540" s="1430"/>
      <c r="F540" s="1430"/>
      <c r="G540" s="1430"/>
      <c r="H540" s="1431"/>
      <c r="I540" t="s">
        <v>564</v>
      </c>
      <c r="AC540" s="1440">
        <v>6</v>
      </c>
      <c r="AD540" s="1441"/>
      <c r="AE540" s="1441"/>
      <c r="AF540" s="1441"/>
      <c r="AG540" s="38" t="s">
        <v>402</v>
      </c>
      <c r="AH540" s="1398">
        <v>2028</v>
      </c>
      <c r="AI540" s="1398"/>
      <c r="AJ540" s="1398"/>
      <c r="AK540" s="1399"/>
      <c r="AZ540" s="3"/>
      <c r="BA540" s="3"/>
      <c r="BB540" s="3"/>
      <c r="BC540" s="3"/>
      <c r="BD540" s="3"/>
      <c r="BE540" s="3"/>
      <c r="BF540" s="3"/>
      <c r="BG540" s="3"/>
      <c r="BH540" s="3"/>
      <c r="BI540" s="3"/>
      <c r="BJ540" s="3"/>
      <c r="BK540" s="3"/>
      <c r="BL540" s="3"/>
      <c r="BM540" s="3"/>
      <c r="BN540" s="3"/>
    </row>
    <row r="541" spans="1:66" ht="12.95" customHeight="1">
      <c r="B541" s="1687"/>
      <c r="C541" s="1430"/>
      <c r="D541" s="1430"/>
      <c r="E541" s="1430"/>
      <c r="F541" s="1430"/>
      <c r="G541" s="1430"/>
      <c r="H541" s="1431"/>
      <c r="I541" t="s">
        <v>565</v>
      </c>
      <c r="AC541" s="1440">
        <v>6</v>
      </c>
      <c r="AD541" s="1441"/>
      <c r="AE541" s="1441"/>
      <c r="AF541" s="1441"/>
      <c r="AG541" s="38" t="s">
        <v>402</v>
      </c>
      <c r="AH541" s="1398">
        <v>2028</v>
      </c>
      <c r="AI541" s="1398"/>
      <c r="AJ541" s="1398"/>
      <c r="AK541" s="1399"/>
      <c r="AZ541" s="3"/>
      <c r="BA541" s="3"/>
      <c r="BB541" s="3"/>
      <c r="BC541" s="3"/>
      <c r="BD541" s="3"/>
      <c r="BE541" s="3"/>
      <c r="BF541" s="3"/>
      <c r="BG541" s="3"/>
      <c r="BH541" s="3"/>
      <c r="BI541" s="3"/>
      <c r="BJ541" s="3"/>
      <c r="BK541" s="3"/>
      <c r="BL541" s="3"/>
      <c r="BM541" s="3"/>
      <c r="BN541" s="3"/>
    </row>
    <row r="542" spans="1:66" ht="12.95" customHeight="1">
      <c r="B542" s="1688"/>
      <c r="C542" s="1432"/>
      <c r="D542" s="1432"/>
      <c r="E542" s="1432"/>
      <c r="F542" s="1432"/>
      <c r="G542" s="1432"/>
      <c r="H542" s="1433"/>
      <c r="I542" s="48" t="s">
        <v>451</v>
      </c>
      <c r="J542" s="48"/>
      <c r="K542" s="48"/>
      <c r="L542" s="48"/>
      <c r="M542" s="48"/>
      <c r="N542" s="48"/>
      <c r="O542" s="48"/>
      <c r="P542" s="48"/>
      <c r="Q542" s="48"/>
      <c r="R542" s="48"/>
      <c r="S542" s="48"/>
      <c r="T542" s="48"/>
      <c r="U542" s="48"/>
      <c r="V542" s="48"/>
      <c r="W542" s="48"/>
      <c r="X542" s="48"/>
      <c r="Y542" s="48"/>
      <c r="Z542" s="48"/>
      <c r="AA542" s="48"/>
      <c r="AB542" s="48"/>
      <c r="AC542" s="1440">
        <v>12</v>
      </c>
      <c r="AD542" s="1441"/>
      <c r="AE542" s="1441"/>
      <c r="AF542" s="1441"/>
      <c r="AG542" s="38" t="s">
        <v>402</v>
      </c>
      <c r="AH542" s="1398">
        <v>2028</v>
      </c>
      <c r="AI542" s="1398"/>
      <c r="AJ542" s="1398"/>
      <c r="AK542" s="139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86" t="s">
        <v>2102</v>
      </c>
      <c r="C551" s="1428"/>
      <c r="D551" s="1428"/>
      <c r="E551" s="1428"/>
      <c r="F551" s="1428"/>
      <c r="G551" s="1428"/>
      <c r="H551" s="1428"/>
      <c r="I551" s="1428"/>
      <c r="J551" s="1428"/>
      <c r="K551" s="1428"/>
      <c r="L551" s="1429"/>
      <c r="M551" s="1686" t="s">
        <v>2103</v>
      </c>
      <c r="N551" s="1428"/>
      <c r="O551" s="1428"/>
      <c r="P551" s="1429"/>
      <c r="Q551" s="1686" t="s">
        <v>2129</v>
      </c>
      <c r="R551" s="1428"/>
      <c r="S551" s="1429"/>
      <c r="T551" s="1686" t="s">
        <v>2130</v>
      </c>
      <c r="U551" s="1428"/>
      <c r="V551" s="1429"/>
      <c r="W551" s="1686" t="s">
        <v>453</v>
      </c>
      <c r="X551" s="1428"/>
      <c r="Y551" s="1429"/>
      <c r="Z551" s="1686" t="s">
        <v>1851</v>
      </c>
      <c r="AA551" s="1428"/>
      <c r="AB551" s="1428"/>
      <c r="AC551" s="1428"/>
      <c r="AD551" s="1429"/>
      <c r="AE551" s="1686" t="s">
        <v>1676</v>
      </c>
      <c r="AF551" s="1428"/>
      <c r="AG551" s="1428"/>
      <c r="AH551" s="1429"/>
      <c r="AI551" s="1686" t="s">
        <v>1677</v>
      </c>
      <c r="AJ551" s="1428"/>
      <c r="AK551" s="1428"/>
      <c r="AL551" s="1429"/>
      <c r="AM551" s="1686" t="s">
        <v>454</v>
      </c>
      <c r="AN551" s="1428"/>
      <c r="AO551" s="1428"/>
      <c r="AP551" s="1428"/>
      <c r="AQ551" s="1428"/>
      <c r="AR551" s="1428"/>
      <c r="AS551" s="1429"/>
      <c r="BB551" s="3"/>
      <c r="BC551" s="3"/>
      <c r="BD551" s="3"/>
      <c r="BE551" s="3"/>
      <c r="BF551" s="3"/>
      <c r="BG551" s="3"/>
      <c r="BH551" s="3" t="s">
        <v>581</v>
      </c>
      <c r="BI551" s="3" t="str">
        <f>AG657</f>
        <v>No</v>
      </c>
    </row>
    <row r="552" spans="1:61" ht="12.95" customHeight="1">
      <c r="B552" s="1687"/>
      <c r="C552" s="1430"/>
      <c r="D552" s="1430"/>
      <c r="E552" s="1430"/>
      <c r="F552" s="1430"/>
      <c r="G552" s="1430"/>
      <c r="H552" s="1430"/>
      <c r="I552" s="1430"/>
      <c r="J552" s="1430"/>
      <c r="K552" s="1430"/>
      <c r="L552" s="1431"/>
      <c r="M552" s="1687"/>
      <c r="N552" s="1430"/>
      <c r="O552" s="1430"/>
      <c r="P552" s="1431"/>
      <c r="Q552" s="1687"/>
      <c r="R552" s="1430"/>
      <c r="S552" s="1431"/>
      <c r="T552" s="1687"/>
      <c r="U552" s="1430"/>
      <c r="V552" s="1431"/>
      <c r="W552" s="1687"/>
      <c r="X552" s="1430"/>
      <c r="Y552" s="1431"/>
      <c r="Z552" s="1687"/>
      <c r="AA552" s="1430"/>
      <c r="AB552" s="1430"/>
      <c r="AC552" s="1430"/>
      <c r="AD552" s="1431"/>
      <c r="AE552" s="1687"/>
      <c r="AF552" s="1430"/>
      <c r="AG552" s="1430"/>
      <c r="AH552" s="1431"/>
      <c r="AI552" s="1687"/>
      <c r="AJ552" s="1430"/>
      <c r="AK552" s="1430"/>
      <c r="AL552" s="1431"/>
      <c r="AM552" s="1687"/>
      <c r="AN552" s="1430"/>
      <c r="AO552" s="1430"/>
      <c r="AP552" s="1430"/>
      <c r="AQ552" s="1430"/>
      <c r="AR552" s="1430"/>
      <c r="AS552" s="1431"/>
      <c r="AU552" s="1147"/>
      <c r="BB552" s="3"/>
      <c r="BC552" s="3"/>
      <c r="BD552" s="3"/>
      <c r="BE552" s="3"/>
      <c r="BF552" s="3"/>
      <c r="BG552" s="3"/>
      <c r="BH552" s="3"/>
      <c r="BI552" s="3"/>
    </row>
    <row r="553" spans="1:61" ht="12.95" customHeight="1">
      <c r="B553" s="1688"/>
      <c r="C553" s="1432"/>
      <c r="D553" s="1432"/>
      <c r="E553" s="1432"/>
      <c r="F553" s="1432"/>
      <c r="G553" s="1432"/>
      <c r="H553" s="1432"/>
      <c r="I553" s="1432"/>
      <c r="J553" s="1432"/>
      <c r="K553" s="1432"/>
      <c r="L553" s="1433"/>
      <c r="M553" s="1688"/>
      <c r="N553" s="1432"/>
      <c r="O553" s="1432"/>
      <c r="P553" s="1433"/>
      <c r="Q553" s="1688"/>
      <c r="R553" s="1432"/>
      <c r="S553" s="1433"/>
      <c r="T553" s="1688"/>
      <c r="U553" s="1432"/>
      <c r="V553" s="1433"/>
      <c r="W553" s="1688"/>
      <c r="X553" s="1432"/>
      <c r="Y553" s="1433"/>
      <c r="Z553" s="1688"/>
      <c r="AA553" s="1432"/>
      <c r="AB553" s="1432"/>
      <c r="AC553" s="1432"/>
      <c r="AD553" s="1433"/>
      <c r="AE553" s="1688"/>
      <c r="AF553" s="1432"/>
      <c r="AG553" s="1432"/>
      <c r="AH553" s="1433"/>
      <c r="AI553" s="1688"/>
      <c r="AJ553" s="1432"/>
      <c r="AK553" s="1432"/>
      <c r="AL553" s="1433"/>
      <c r="AM553" s="1688"/>
      <c r="AN553" s="1432"/>
      <c r="AO553" s="1432"/>
      <c r="AP553" s="1432"/>
      <c r="AQ553" s="1432"/>
      <c r="AR553" s="1432"/>
      <c r="AS553" s="1433"/>
      <c r="AU553" s="1147"/>
      <c r="BB553" s="3"/>
      <c r="BC553" s="3"/>
      <c r="BD553" s="3"/>
      <c r="BE553" s="3"/>
      <c r="BF553" s="3"/>
      <c r="BG553" s="3"/>
      <c r="BH553" s="3"/>
      <c r="BI553" s="3"/>
    </row>
    <row r="554" spans="1:61" ht="12.95" customHeight="1">
      <c r="B554" s="51" t="s">
        <v>112</v>
      </c>
      <c r="C554" s="1699" t="s">
        <v>2704</v>
      </c>
      <c r="D554" s="1699"/>
      <c r="E554" s="1699"/>
      <c r="F554" s="1699"/>
      <c r="G554" s="1699"/>
      <c r="H554" s="1699"/>
      <c r="I554" s="1699"/>
      <c r="J554" s="1699"/>
      <c r="K554" s="1699"/>
      <c r="L554" s="1699"/>
      <c r="M554" s="1699" t="s">
        <v>2119</v>
      </c>
      <c r="N554" s="1699"/>
      <c r="O554" s="1699"/>
      <c r="P554" s="1699"/>
      <c r="Q554" s="1462">
        <v>36</v>
      </c>
      <c r="R554" s="1462"/>
      <c r="S554" s="1463"/>
      <c r="T554" s="1461"/>
      <c r="U554" s="1462"/>
      <c r="V554" s="1463"/>
      <c r="W554" s="1464">
        <v>0.06</v>
      </c>
      <c r="X554" s="1465"/>
      <c r="Y554" s="1466"/>
      <c r="Z554" s="1700" t="s">
        <v>2731</v>
      </c>
      <c r="AA554" s="1700"/>
      <c r="AB554" s="1700"/>
      <c r="AC554" s="1700"/>
      <c r="AD554" s="1700"/>
      <c r="AE554" s="1445">
        <v>1</v>
      </c>
      <c r="AF554" s="1446"/>
      <c r="AG554" s="1446"/>
      <c r="AH554" s="1447"/>
      <c r="AI554" s="1694"/>
      <c r="AJ554" s="1695"/>
      <c r="AK554" s="1695"/>
      <c r="AL554" s="1696"/>
      <c r="AM554" s="1437">
        <v>22500000</v>
      </c>
      <c r="AN554" s="1438"/>
      <c r="AO554" s="1438"/>
      <c r="AP554" s="1438"/>
      <c r="AQ554" s="1438"/>
      <c r="AR554" s="1438"/>
      <c r="AS554" s="1439"/>
      <c r="AT554" s="1148"/>
      <c r="AU554" s="1147"/>
      <c r="BB554" s="3"/>
      <c r="BC554" s="3"/>
      <c r="BD554" s="3"/>
      <c r="BE554" s="3"/>
      <c r="BF554" s="3"/>
      <c r="BG554" s="3"/>
      <c r="BH554" s="3"/>
      <c r="BI554" s="3"/>
    </row>
    <row r="555" spans="1:61" ht="12.95" customHeight="1">
      <c r="B555" s="52" t="s">
        <v>113</v>
      </c>
      <c r="C555" s="1697" t="s">
        <v>2705</v>
      </c>
      <c r="D555" s="1697"/>
      <c r="E555" s="1697"/>
      <c r="F555" s="1697"/>
      <c r="G555" s="1697"/>
      <c r="H555" s="1697"/>
      <c r="I555" s="1697"/>
      <c r="J555" s="1697"/>
      <c r="K555" s="1697"/>
      <c r="L555" s="1697"/>
      <c r="M555" s="1699" t="s">
        <v>2118</v>
      </c>
      <c r="N555" s="1699"/>
      <c r="O555" s="1699"/>
      <c r="P555" s="1699"/>
      <c r="Q555" s="1461">
        <v>36</v>
      </c>
      <c r="R555" s="1462"/>
      <c r="S555" s="1463"/>
      <c r="T555" s="1461"/>
      <c r="U555" s="1462"/>
      <c r="V555" s="1463"/>
      <c r="W555" s="1464">
        <v>6.5000000000000002E-2</v>
      </c>
      <c r="X555" s="1465"/>
      <c r="Y555" s="1466"/>
      <c r="Z555" s="1700" t="s">
        <v>2731</v>
      </c>
      <c r="AA555" s="1700"/>
      <c r="AB555" s="1700"/>
      <c r="AC555" s="1700"/>
      <c r="AD555" s="1700"/>
      <c r="AE555" s="1445">
        <v>1</v>
      </c>
      <c r="AF555" s="1446"/>
      <c r="AG555" s="1446"/>
      <c r="AH555" s="1447"/>
      <c r="AI555" s="1694"/>
      <c r="AJ555" s="1695"/>
      <c r="AK555" s="1695"/>
      <c r="AL555" s="1696"/>
      <c r="AM555" s="1437">
        <v>40500000</v>
      </c>
      <c r="AN555" s="1438"/>
      <c r="AO555" s="1438"/>
      <c r="AP555" s="1438"/>
      <c r="AQ555" s="1438"/>
      <c r="AR555" s="1438"/>
      <c r="AS555" s="1439"/>
      <c r="AT555" s="1148" t="str">
        <f>IF(AND(NOT(C554=""),C555="",NOT(C556="")),"!","")</f>
        <v/>
      </c>
      <c r="AU555" s="1147"/>
      <c r="BB555" s="3"/>
      <c r="BC555" s="3"/>
      <c r="BD555" s="3"/>
      <c r="BE555" s="3"/>
      <c r="BF555" s="3"/>
      <c r="BG555" s="3"/>
      <c r="BH555" s="3"/>
      <c r="BI555" s="3"/>
    </row>
    <row r="556" spans="1:61" ht="12.95" customHeight="1">
      <c r="B556" s="52" t="s">
        <v>119</v>
      </c>
      <c r="C556" s="1697" t="s">
        <v>2706</v>
      </c>
      <c r="D556" s="1697"/>
      <c r="E556" s="1697"/>
      <c r="F556" s="1697"/>
      <c r="G556" s="1697"/>
      <c r="H556" s="1697"/>
      <c r="I556" s="1697"/>
      <c r="J556" s="1697"/>
      <c r="K556" s="1697"/>
      <c r="L556" s="1697"/>
      <c r="M556" s="1699" t="s">
        <v>2120</v>
      </c>
      <c r="N556" s="1699"/>
      <c r="O556" s="1699"/>
      <c r="P556" s="1699"/>
      <c r="Q556" s="1461">
        <v>36</v>
      </c>
      <c r="R556" s="1462"/>
      <c r="S556" s="1463"/>
      <c r="T556" s="1461"/>
      <c r="U556" s="1462"/>
      <c r="V556" s="1463"/>
      <c r="W556" s="1464">
        <v>0.06</v>
      </c>
      <c r="X556" s="1465"/>
      <c r="Y556" s="1466"/>
      <c r="Z556" s="1700" t="s">
        <v>2731</v>
      </c>
      <c r="AA556" s="1700"/>
      <c r="AB556" s="1700"/>
      <c r="AC556" s="1700"/>
      <c r="AD556" s="1700"/>
      <c r="AE556" s="1445">
        <v>1</v>
      </c>
      <c r="AF556" s="1446"/>
      <c r="AG556" s="1446"/>
      <c r="AH556" s="1447"/>
      <c r="AI556" s="1694"/>
      <c r="AJ556" s="1695"/>
      <c r="AK556" s="1695"/>
      <c r="AL556" s="1696"/>
      <c r="AM556" s="1437">
        <v>12000000</v>
      </c>
      <c r="AN556" s="1438"/>
      <c r="AO556" s="1438"/>
      <c r="AP556" s="1438"/>
      <c r="AQ556" s="1438"/>
      <c r="AR556" s="1438"/>
      <c r="AS556" s="1439"/>
      <c r="AT556" s="1148" t="str">
        <f>IF(AND(NOT(C555=""),C556="",NOT(C557="")),"!","")</f>
        <v/>
      </c>
      <c r="AU556" s="1147"/>
      <c r="BB556" s="3"/>
      <c r="BC556" s="3"/>
      <c r="BD556" s="3"/>
      <c r="BE556" s="3"/>
      <c r="BF556" s="3"/>
      <c r="BG556" s="3"/>
      <c r="BH556" s="3"/>
      <c r="BI556" s="3"/>
    </row>
    <row r="557" spans="1:61" ht="12.95" customHeight="1">
      <c r="B557" s="52" t="s">
        <v>581</v>
      </c>
      <c r="C557" s="1697" t="s">
        <v>2320</v>
      </c>
      <c r="D557" s="1697"/>
      <c r="E557" s="1697"/>
      <c r="F557" s="1697"/>
      <c r="G557" s="1697"/>
      <c r="H557" s="1697"/>
      <c r="I557" s="1697"/>
      <c r="J557" s="1697"/>
      <c r="K557" s="1697"/>
      <c r="L557" s="1697"/>
      <c r="M557" s="1699" t="s">
        <v>2106</v>
      </c>
      <c r="N557" s="1699"/>
      <c r="O557" s="1699"/>
      <c r="P557" s="1699"/>
      <c r="Q557" s="1461"/>
      <c r="R557" s="1462"/>
      <c r="S557" s="1463"/>
      <c r="T557" s="1461"/>
      <c r="U557" s="1462"/>
      <c r="V557" s="1463"/>
      <c r="W557" s="1464"/>
      <c r="X557" s="1465"/>
      <c r="Y557" s="1466"/>
      <c r="Z557" s="1700" t="s">
        <v>591</v>
      </c>
      <c r="AA557" s="1700"/>
      <c r="AB557" s="1700"/>
      <c r="AC557" s="1700"/>
      <c r="AD557" s="1700"/>
      <c r="AE557" s="1445"/>
      <c r="AF557" s="1446"/>
      <c r="AG557" s="1446"/>
      <c r="AH557" s="1447"/>
      <c r="AI557" s="1694"/>
      <c r="AJ557" s="1695"/>
      <c r="AK557" s="1695"/>
      <c r="AL557" s="1696"/>
      <c r="AM557" s="1437">
        <f>6270517+4226814</f>
        <v>10497331</v>
      </c>
      <c r="AN557" s="1438"/>
      <c r="AO557" s="1438"/>
      <c r="AP557" s="1438"/>
      <c r="AQ557" s="1438"/>
      <c r="AR557" s="1438"/>
      <c r="AS557" s="1439"/>
      <c r="AT557" s="1148" t="str">
        <f>IF(AND(NOT(C556=""),C557="",NOT(C558="")),"!","")</f>
        <v/>
      </c>
      <c r="AU557" s="1147"/>
      <c r="BB557" s="3"/>
      <c r="BC557" s="3"/>
      <c r="BD557" s="3"/>
      <c r="BE557" s="3"/>
      <c r="BF557" s="3"/>
      <c r="BG557" s="3"/>
      <c r="BH557" s="3"/>
      <c r="BI557" s="3"/>
    </row>
    <row r="558" spans="1:61" ht="12.95" customHeight="1">
      <c r="B558" s="52" t="s">
        <v>763</v>
      </c>
      <c r="C558" s="1697" t="s">
        <v>2707</v>
      </c>
      <c r="D558" s="1697"/>
      <c r="E558" s="1697"/>
      <c r="F558" s="1697"/>
      <c r="G558" s="1697"/>
      <c r="H558" s="1697"/>
      <c r="I558" s="1697"/>
      <c r="J558" s="1697"/>
      <c r="K558" s="1697"/>
      <c r="L558" s="1697"/>
      <c r="M558" s="1699" t="s">
        <v>2105</v>
      </c>
      <c r="N558" s="1699"/>
      <c r="O558" s="1699"/>
      <c r="P558" s="1699"/>
      <c r="Q558" s="1461"/>
      <c r="R558" s="1462"/>
      <c r="S558" s="1463"/>
      <c r="T558" s="1461"/>
      <c r="U558" s="1462"/>
      <c r="V558" s="1463"/>
      <c r="W558" s="1464"/>
      <c r="X558" s="1465"/>
      <c r="Y558" s="1466"/>
      <c r="Z558" s="1700" t="s">
        <v>591</v>
      </c>
      <c r="AA558" s="1700"/>
      <c r="AB558" s="1700"/>
      <c r="AC558" s="1700"/>
      <c r="AD558" s="1700"/>
      <c r="AE558" s="1445"/>
      <c r="AF558" s="1446"/>
      <c r="AG558" s="1446"/>
      <c r="AH558" s="1447"/>
      <c r="AI558" s="1694"/>
      <c r="AJ558" s="1695"/>
      <c r="AK558" s="1695"/>
      <c r="AL558" s="1696"/>
      <c r="AM558" s="1437">
        <v>563796</v>
      </c>
      <c r="AN558" s="1438"/>
      <c r="AO558" s="1438"/>
      <c r="AP558" s="1438"/>
      <c r="AQ558" s="1438"/>
      <c r="AR558" s="1438"/>
      <c r="AS558" s="1439"/>
      <c r="AT558" s="1148" t="str">
        <f t="shared" ref="AT558:AT565" si="0">IF(AND(NOT(C557=""),C558="",NOT(C559="")),"!","")</f>
        <v/>
      </c>
      <c r="AU558" s="1147"/>
      <c r="BB558" s="3"/>
      <c r="BC558" s="3"/>
      <c r="BD558" s="3"/>
      <c r="BE558" s="3"/>
      <c r="BF558" s="3"/>
      <c r="BG558" s="3"/>
      <c r="BH558" s="3" t="s">
        <v>763</v>
      </c>
      <c r="BI558" s="3" t="str">
        <f>N665</f>
        <v>No</v>
      </c>
    </row>
    <row r="559" spans="1:61" ht="12.95" customHeight="1">
      <c r="B559" s="52" t="s">
        <v>584</v>
      </c>
      <c r="C559" s="1697" t="s">
        <v>2708</v>
      </c>
      <c r="D559" s="1697"/>
      <c r="E559" s="1697"/>
      <c r="F559" s="1697"/>
      <c r="G559" s="1697"/>
      <c r="H559" s="1697"/>
      <c r="I559" s="1697"/>
      <c r="J559" s="1697"/>
      <c r="K559" s="1697"/>
      <c r="L559" s="1697"/>
      <c r="M559" s="1699" t="s">
        <v>2110</v>
      </c>
      <c r="N559" s="1699"/>
      <c r="O559" s="1699"/>
      <c r="P559" s="1699"/>
      <c r="Q559" s="1461"/>
      <c r="R559" s="1462"/>
      <c r="S559" s="1463"/>
      <c r="T559" s="1461"/>
      <c r="U559" s="1462"/>
      <c r="V559" s="1463"/>
      <c r="W559" s="1464"/>
      <c r="X559" s="1465"/>
      <c r="Y559" s="1466"/>
      <c r="Z559" s="1700" t="s">
        <v>591</v>
      </c>
      <c r="AA559" s="1700"/>
      <c r="AB559" s="1700"/>
      <c r="AC559" s="1700"/>
      <c r="AD559" s="1700"/>
      <c r="AE559" s="1445"/>
      <c r="AF559" s="1446"/>
      <c r="AG559" s="1446"/>
      <c r="AH559" s="1447"/>
      <c r="AI559" s="1694"/>
      <c r="AJ559" s="1695"/>
      <c r="AK559" s="1695"/>
      <c r="AL559" s="1696"/>
      <c r="AM559" s="1437">
        <f>3173916+1035000</f>
        <v>4208916</v>
      </c>
      <c r="AN559" s="1438"/>
      <c r="AO559" s="1438"/>
      <c r="AP559" s="1438"/>
      <c r="AQ559" s="1438"/>
      <c r="AR559" s="1438"/>
      <c r="AS559" s="1439"/>
      <c r="AT559" s="1148" t="str">
        <f t="shared" si="0"/>
        <v/>
      </c>
      <c r="AU559" s="1147"/>
      <c r="BB559" s="3"/>
      <c r="BC559" s="3"/>
      <c r="BD559" s="3"/>
      <c r="BE559" s="3"/>
      <c r="BF559" s="3"/>
      <c r="BG559" s="3"/>
      <c r="BH559" s="3" t="s">
        <v>584</v>
      </c>
      <c r="BI559" s="3" t="str">
        <f>AG665</f>
        <v>No</v>
      </c>
    </row>
    <row r="560" spans="1:61" ht="12.95" customHeight="1">
      <c r="B560" s="52" t="s">
        <v>455</v>
      </c>
      <c r="C560" s="1697" t="s">
        <v>2733</v>
      </c>
      <c r="D560" s="1697"/>
      <c r="E560" s="1697"/>
      <c r="F560" s="1697"/>
      <c r="G560" s="1697"/>
      <c r="H560" s="1697"/>
      <c r="I560" s="1697"/>
      <c r="J560" s="1697"/>
      <c r="K560" s="1697"/>
      <c r="L560" s="1697"/>
      <c r="M560" s="1699" t="s">
        <v>2121</v>
      </c>
      <c r="N560" s="1699"/>
      <c r="O560" s="1699"/>
      <c r="P560" s="1699"/>
      <c r="Q560" s="1461"/>
      <c r="R560" s="1462"/>
      <c r="S560" s="1463"/>
      <c r="T560" s="1461"/>
      <c r="U560" s="1462"/>
      <c r="V560" s="1463"/>
      <c r="W560" s="1464"/>
      <c r="X560" s="1465"/>
      <c r="Y560" s="1466"/>
      <c r="Z560" s="1700" t="s">
        <v>591</v>
      </c>
      <c r="AA560" s="1700"/>
      <c r="AB560" s="1700"/>
      <c r="AC560" s="1700"/>
      <c r="AD560" s="1700"/>
      <c r="AE560" s="1445"/>
      <c r="AF560" s="1446"/>
      <c r="AG560" s="1446"/>
      <c r="AH560" s="1447"/>
      <c r="AI560" s="1694"/>
      <c r="AJ560" s="1695"/>
      <c r="AK560" s="1695"/>
      <c r="AL560" s="1696"/>
      <c r="AM560" s="1437">
        <v>1412957</v>
      </c>
      <c r="AN560" s="1438"/>
      <c r="AO560" s="1438"/>
      <c r="AP560" s="1438"/>
      <c r="AQ560" s="1438"/>
      <c r="AR560" s="1438"/>
      <c r="AS560" s="1439"/>
      <c r="AT560" s="1148" t="str">
        <f t="shared" si="0"/>
        <v/>
      </c>
      <c r="AU560" s="1147"/>
      <c r="BB560" s="3"/>
      <c r="BC560" s="3"/>
      <c r="BD560" s="3"/>
      <c r="BE560" s="3"/>
      <c r="BF560" s="3"/>
      <c r="BG560" s="3"/>
      <c r="BH560" s="3"/>
      <c r="BI560" s="3"/>
    </row>
    <row r="561" spans="1:61" ht="12.95" customHeight="1">
      <c r="B561" s="52" t="s">
        <v>456</v>
      </c>
      <c r="C561" s="1697"/>
      <c r="D561" s="1697"/>
      <c r="E561" s="1697"/>
      <c r="F561" s="1697"/>
      <c r="G561" s="1697"/>
      <c r="H561" s="1697"/>
      <c r="I561" s="1697"/>
      <c r="J561" s="1697"/>
      <c r="K561" s="1697"/>
      <c r="L561" s="1697"/>
      <c r="M561" s="1699" t="s">
        <v>1184</v>
      </c>
      <c r="N561" s="1699"/>
      <c r="O561" s="1699"/>
      <c r="P561" s="1699"/>
      <c r="Q561" s="1461"/>
      <c r="R561" s="1462"/>
      <c r="S561" s="1463"/>
      <c r="T561" s="1461"/>
      <c r="U561" s="1462"/>
      <c r="V561" s="1463"/>
      <c r="W561" s="1464"/>
      <c r="X561" s="1465"/>
      <c r="Y561" s="1466"/>
      <c r="Z561" s="1700" t="s">
        <v>1184</v>
      </c>
      <c r="AA561" s="1700"/>
      <c r="AB561" s="1700"/>
      <c r="AC561" s="1700"/>
      <c r="AD561" s="1700"/>
      <c r="AE561" s="1445"/>
      <c r="AF561" s="1446"/>
      <c r="AG561" s="1446"/>
      <c r="AH561" s="1447"/>
      <c r="AI561" s="1694"/>
      <c r="AJ561" s="1695"/>
      <c r="AK561" s="1695"/>
      <c r="AL561" s="1696"/>
      <c r="AM561" s="1437"/>
      <c r="AN561" s="1438"/>
      <c r="AO561" s="1438"/>
      <c r="AP561" s="1438"/>
      <c r="AQ561" s="1438"/>
      <c r="AR561" s="1438"/>
      <c r="AS561" s="1439"/>
      <c r="AT561" s="1148" t="str">
        <f t="shared" si="0"/>
        <v/>
      </c>
      <c r="AU561" s="1147"/>
      <c r="BB561" s="3"/>
      <c r="BC561" s="3"/>
      <c r="BD561" s="3"/>
      <c r="BE561" s="3"/>
      <c r="BF561" s="3"/>
      <c r="BG561" s="3"/>
      <c r="BH561" s="3"/>
      <c r="BI561" s="3"/>
    </row>
    <row r="562" spans="1:61" ht="12.95" customHeight="1">
      <c r="B562" s="52" t="s">
        <v>461</v>
      </c>
      <c r="C562" s="1697"/>
      <c r="D562" s="1697"/>
      <c r="E562" s="1697"/>
      <c r="F562" s="1697"/>
      <c r="G562" s="1697"/>
      <c r="H562" s="1697"/>
      <c r="I562" s="1697"/>
      <c r="J562" s="1697"/>
      <c r="K562" s="1697"/>
      <c r="L562" s="1697"/>
      <c r="M562" s="1699" t="s">
        <v>1184</v>
      </c>
      <c r="N562" s="1699"/>
      <c r="O562" s="1699"/>
      <c r="P562" s="1699"/>
      <c r="Q562" s="1461"/>
      <c r="R562" s="1462"/>
      <c r="S562" s="1463"/>
      <c r="T562" s="1461"/>
      <c r="U562" s="1462"/>
      <c r="V562" s="1463"/>
      <c r="W562" s="1464"/>
      <c r="X562" s="1465"/>
      <c r="Y562" s="1466"/>
      <c r="Z562" s="1700" t="s">
        <v>1184</v>
      </c>
      <c r="AA562" s="1700"/>
      <c r="AB562" s="1700"/>
      <c r="AC562" s="1700"/>
      <c r="AD562" s="1700"/>
      <c r="AE562" s="1445"/>
      <c r="AF562" s="1446"/>
      <c r="AG562" s="1446"/>
      <c r="AH562" s="1447"/>
      <c r="AI562" s="1694"/>
      <c r="AJ562" s="1695"/>
      <c r="AK562" s="1695"/>
      <c r="AL562" s="1696"/>
      <c r="AM562" s="1437"/>
      <c r="AN562" s="1438"/>
      <c r="AO562" s="1438"/>
      <c r="AP562" s="1438"/>
      <c r="AQ562" s="1438"/>
      <c r="AR562" s="1438"/>
      <c r="AS562" s="1439"/>
      <c r="AT562" s="1148" t="str">
        <f t="shared" si="0"/>
        <v/>
      </c>
      <c r="AU562" s="1147"/>
      <c r="BB562" s="3"/>
      <c r="BC562" s="3"/>
      <c r="BD562" s="3"/>
      <c r="BE562" s="3"/>
      <c r="BF562" s="3"/>
      <c r="BG562" s="3"/>
      <c r="BH562" s="3"/>
      <c r="BI562" s="3"/>
    </row>
    <row r="563" spans="1:61" ht="12.95" customHeight="1">
      <c r="B563" s="52" t="s">
        <v>646</v>
      </c>
      <c r="C563" s="1697"/>
      <c r="D563" s="1697"/>
      <c r="E563" s="1697"/>
      <c r="F563" s="1697"/>
      <c r="G563" s="1697"/>
      <c r="H563" s="1697"/>
      <c r="I563" s="1697"/>
      <c r="J563" s="1697"/>
      <c r="K563" s="1697"/>
      <c r="L563" s="1697"/>
      <c r="M563" s="1699" t="s">
        <v>1184</v>
      </c>
      <c r="N563" s="1699"/>
      <c r="O563" s="1699"/>
      <c r="P563" s="1699"/>
      <c r="Q563" s="1461"/>
      <c r="R563" s="1462"/>
      <c r="S563" s="1463"/>
      <c r="T563" s="1461"/>
      <c r="U563" s="1462"/>
      <c r="V563" s="1463"/>
      <c r="W563" s="1464"/>
      <c r="X563" s="1465"/>
      <c r="Y563" s="1466"/>
      <c r="Z563" s="1700" t="s">
        <v>1184</v>
      </c>
      <c r="AA563" s="1700"/>
      <c r="AB563" s="1700"/>
      <c r="AC563" s="1700"/>
      <c r="AD563" s="1700"/>
      <c r="AE563" s="1445"/>
      <c r="AF563" s="1446"/>
      <c r="AG563" s="1446"/>
      <c r="AH563" s="1447"/>
      <c r="AI563" s="1694"/>
      <c r="AJ563" s="1695"/>
      <c r="AK563" s="1695"/>
      <c r="AL563" s="1696"/>
      <c r="AM563" s="1437"/>
      <c r="AN563" s="1438"/>
      <c r="AO563" s="1438"/>
      <c r="AP563" s="1438"/>
      <c r="AQ563" s="1438"/>
      <c r="AR563" s="1438"/>
      <c r="AS563" s="1439"/>
      <c r="AT563" s="1148" t="str">
        <f t="shared" si="0"/>
        <v/>
      </c>
      <c r="BB563" s="3"/>
      <c r="BC563" s="3"/>
      <c r="BD563" s="3"/>
      <c r="BE563" s="3"/>
      <c r="BF563" s="3"/>
      <c r="BG563" s="3"/>
      <c r="BH563" s="3"/>
      <c r="BI563" s="3"/>
    </row>
    <row r="564" spans="1:61" ht="12.95" customHeight="1">
      <c r="B564" s="52" t="s">
        <v>361</v>
      </c>
      <c r="C564" s="1697"/>
      <c r="D564" s="1697"/>
      <c r="E564" s="1697"/>
      <c r="F564" s="1697"/>
      <c r="G564" s="1697"/>
      <c r="H564" s="1697"/>
      <c r="I564" s="1697"/>
      <c r="J564" s="1697"/>
      <c r="K564" s="1697"/>
      <c r="L564" s="1697"/>
      <c r="M564" s="1699" t="s">
        <v>1184</v>
      </c>
      <c r="N564" s="1699"/>
      <c r="O564" s="1699"/>
      <c r="P564" s="1699"/>
      <c r="Q564" s="1461"/>
      <c r="R564" s="1462"/>
      <c r="S564" s="1463"/>
      <c r="T564" s="1461"/>
      <c r="U564" s="1462"/>
      <c r="V564" s="1463"/>
      <c r="W564" s="1464"/>
      <c r="X564" s="1465"/>
      <c r="Y564" s="1466"/>
      <c r="Z564" s="1700" t="s">
        <v>1184</v>
      </c>
      <c r="AA564" s="1700"/>
      <c r="AB564" s="1700"/>
      <c r="AC564" s="1700"/>
      <c r="AD564" s="1700"/>
      <c r="AE564" s="1445"/>
      <c r="AF564" s="1446"/>
      <c r="AG564" s="1446"/>
      <c r="AH564" s="1447"/>
      <c r="AI564" s="1694"/>
      <c r="AJ564" s="1695"/>
      <c r="AK564" s="1695"/>
      <c r="AL564" s="1696"/>
      <c r="AM564" s="1437"/>
      <c r="AN564" s="1438"/>
      <c r="AO564" s="1438"/>
      <c r="AP564" s="1438"/>
      <c r="AQ564" s="1438"/>
      <c r="AR564" s="1438"/>
      <c r="AS564" s="1439"/>
      <c r="AT564" s="1148" t="str">
        <f t="shared" si="0"/>
        <v/>
      </c>
      <c r="BB564" s="3"/>
      <c r="BC564" s="3"/>
      <c r="BD564" s="3"/>
      <c r="BE564" s="3"/>
      <c r="BF564" s="3"/>
      <c r="BG564" s="3"/>
      <c r="BH564" s="3"/>
      <c r="BI564" s="3"/>
    </row>
    <row r="565" spans="1:61" ht="12.95" customHeight="1">
      <c r="B565" s="52" t="s">
        <v>362</v>
      </c>
      <c r="C565" s="1697"/>
      <c r="D565" s="1697"/>
      <c r="E565" s="1697"/>
      <c r="F565" s="1697"/>
      <c r="G565" s="1697"/>
      <c r="H565" s="1697"/>
      <c r="I565" s="1697"/>
      <c r="J565" s="1697"/>
      <c r="K565" s="1697"/>
      <c r="L565" s="1697"/>
      <c r="M565" s="1699" t="s">
        <v>1184</v>
      </c>
      <c r="N565" s="1699"/>
      <c r="O565" s="1699"/>
      <c r="P565" s="1699"/>
      <c r="Q565" s="1461"/>
      <c r="R565" s="1462"/>
      <c r="S565" s="1463"/>
      <c r="T565" s="1461"/>
      <c r="U565" s="1462"/>
      <c r="V565" s="1463"/>
      <c r="W565" s="1464"/>
      <c r="X565" s="1465"/>
      <c r="Y565" s="1466"/>
      <c r="Z565" s="1700" t="s">
        <v>1184</v>
      </c>
      <c r="AA565" s="1700"/>
      <c r="AB565" s="1700"/>
      <c r="AC565" s="1700"/>
      <c r="AD565" s="1700"/>
      <c r="AE565" s="1445"/>
      <c r="AF565" s="1446"/>
      <c r="AG565" s="1446"/>
      <c r="AH565" s="1447"/>
      <c r="AI565" s="1694"/>
      <c r="AJ565" s="1695"/>
      <c r="AK565" s="1695"/>
      <c r="AL565" s="1696"/>
      <c r="AM565" s="1437"/>
      <c r="AN565" s="1438"/>
      <c r="AO565" s="1438"/>
      <c r="AP565" s="1438"/>
      <c r="AQ565" s="1438"/>
      <c r="AR565" s="1438"/>
      <c r="AS565" s="1439"/>
      <c r="AT565" s="1148" t="str">
        <f t="shared" si="0"/>
        <v/>
      </c>
      <c r="BB565" s="3"/>
      <c r="BC565" s="3"/>
      <c r="BD565" s="3"/>
      <c r="BE565" s="3"/>
      <c r="BF565" s="3"/>
      <c r="BG565" s="3"/>
      <c r="BH565" s="3"/>
      <c r="BI565" s="3"/>
    </row>
    <row r="566" spans="1:61" ht="12.95" customHeight="1">
      <c r="B566" s="1458" t="s">
        <v>127</v>
      </c>
      <c r="C566" s="1459"/>
      <c r="D566" s="1459"/>
      <c r="E566" s="1459"/>
      <c r="F566" s="1459"/>
      <c r="G566" s="1459"/>
      <c r="H566" s="1459"/>
      <c r="I566" s="1459"/>
      <c r="J566" s="1459"/>
      <c r="K566" s="1459"/>
      <c r="L566" s="1459"/>
      <c r="M566" s="1459"/>
      <c r="N566" s="1459"/>
      <c r="O566" s="1459"/>
      <c r="P566" s="1459"/>
      <c r="Q566" s="1459"/>
      <c r="R566" s="1459"/>
      <c r="S566" s="1459"/>
      <c r="T566" s="1459"/>
      <c r="U566" s="1690"/>
      <c r="V566" s="1459"/>
      <c r="W566" s="1459"/>
      <c r="X566" s="1459"/>
      <c r="Y566" s="1459"/>
      <c r="Z566" s="1459"/>
      <c r="AA566" s="1459"/>
      <c r="AB566" s="1459"/>
      <c r="AC566" s="1459"/>
      <c r="AD566" s="1459"/>
      <c r="AE566" s="1459"/>
      <c r="AF566" s="1459"/>
      <c r="AG566" s="1459"/>
      <c r="AH566" s="1459"/>
      <c r="AI566" s="1459"/>
      <c r="AJ566" s="1459"/>
      <c r="AK566" s="1459"/>
      <c r="AL566" s="1460"/>
      <c r="AM566" s="1629">
        <f>SUM(AM554:AS565)</f>
        <v>91683000</v>
      </c>
      <c r="AN566" s="1630"/>
      <c r="AO566" s="1630"/>
      <c r="AP566" s="1630"/>
      <c r="AQ566" s="1630"/>
      <c r="AR566" s="1630"/>
      <c r="AS566" s="1631"/>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00" t="str">
        <f>C554</f>
        <v xml:space="preserve">Citi-Tax Exempt Construction </v>
      </c>
      <c r="H568" s="1400"/>
      <c r="I568" s="1400"/>
      <c r="J568" s="1400"/>
      <c r="K568" s="1400"/>
      <c r="L568" s="1400"/>
      <c r="M568" s="1400"/>
      <c r="N568" s="1400"/>
      <c r="O568" s="1400"/>
      <c r="P568" s="1400"/>
      <c r="Q568" s="1400"/>
      <c r="R568" s="1400"/>
      <c r="S568" s="8"/>
      <c r="T568" s="55" t="s">
        <v>113</v>
      </c>
      <c r="U568" t="s">
        <v>463</v>
      </c>
      <c r="Z568" s="1400" t="str">
        <f>C555</f>
        <v>Citi-Taxable Construction</v>
      </c>
      <c r="AA568" s="1400"/>
      <c r="AB568" s="1400"/>
      <c r="AC568" s="1400"/>
      <c r="AD568" s="1400"/>
      <c r="AE568" s="1400"/>
      <c r="AF568" s="1400"/>
      <c r="AG568" s="1400"/>
      <c r="AH568" s="1400"/>
      <c r="AI568" s="1400"/>
      <c r="AJ568" s="1400"/>
      <c r="AK568" s="1400"/>
      <c r="BB568" s="3"/>
      <c r="BC568" s="3"/>
      <c r="BD568" s="3"/>
      <c r="BE568" s="3"/>
      <c r="BF568" s="3"/>
      <c r="BG568" s="3"/>
      <c r="BH568" s="3"/>
      <c r="BI568" s="3"/>
    </row>
    <row r="569" spans="1:61" ht="12.95" customHeight="1">
      <c r="A569" s="22"/>
      <c r="B569" t="s">
        <v>85</v>
      </c>
      <c r="G569" s="1360" t="s">
        <v>2709</v>
      </c>
      <c r="H569" s="1360"/>
      <c r="I569" s="1360"/>
      <c r="J569" s="1360"/>
      <c r="K569" s="1360"/>
      <c r="L569" s="1360"/>
      <c r="M569" s="1360"/>
      <c r="N569" s="1360"/>
      <c r="O569" s="1360"/>
      <c r="P569" s="1360"/>
      <c r="Q569" s="1360"/>
      <c r="R569" s="1360"/>
      <c r="S569" s="8"/>
      <c r="T569" s="22"/>
      <c r="U569" t="s">
        <v>85</v>
      </c>
      <c r="Z569" s="1360" t="s">
        <v>2715</v>
      </c>
      <c r="AA569" s="1360"/>
      <c r="AB569" s="1360"/>
      <c r="AC569" s="1360"/>
      <c r="AD569" s="1360"/>
      <c r="AE569" s="1360"/>
      <c r="AF569" s="1360"/>
      <c r="AG569" s="1360"/>
      <c r="AH569" s="1360"/>
      <c r="AI569" s="1360"/>
      <c r="AJ569" s="1360"/>
      <c r="AK569" s="1360"/>
      <c r="BB569" s="3"/>
      <c r="BC569" s="3"/>
      <c r="BD569" s="3"/>
      <c r="BE569" s="3"/>
      <c r="BF569" s="3"/>
      <c r="BG569" s="3"/>
      <c r="BH569" s="3"/>
      <c r="BI569" s="3"/>
    </row>
    <row r="570" spans="1:61" ht="12.95" customHeight="1">
      <c r="A570" s="22"/>
      <c r="B570" t="s">
        <v>580</v>
      </c>
      <c r="G570" s="1360" t="s">
        <v>2710</v>
      </c>
      <c r="H570" s="1360"/>
      <c r="I570" s="1360"/>
      <c r="J570" s="1360"/>
      <c r="K570" s="1360"/>
      <c r="L570" s="1360"/>
      <c r="M570" s="1360"/>
      <c r="N570" s="1360"/>
      <c r="O570" s="1360"/>
      <c r="P570" s="1360"/>
      <c r="Q570" s="1360"/>
      <c r="R570" s="1360"/>
      <c r="T570" s="22"/>
      <c r="U570" t="s">
        <v>580</v>
      </c>
      <c r="Z570" s="1467" t="s">
        <v>2710</v>
      </c>
      <c r="AA570" s="1467"/>
      <c r="AB570" s="1467"/>
      <c r="AC570" s="1467"/>
      <c r="AD570" s="1467"/>
      <c r="AE570" s="1467"/>
      <c r="AF570" s="1467"/>
      <c r="AG570" s="1467"/>
      <c r="AH570" s="1467"/>
      <c r="AI570" s="1467"/>
      <c r="AJ570" s="1467"/>
      <c r="AK570" s="1467"/>
      <c r="BB570" s="3"/>
      <c r="BC570" s="3"/>
      <c r="BD570" s="3"/>
      <c r="BE570" s="3"/>
      <c r="BF570" s="3"/>
      <c r="BG570" s="3"/>
      <c r="BH570" s="3"/>
      <c r="BI570" s="3"/>
    </row>
    <row r="571" spans="1:61" ht="12.95" customHeight="1">
      <c r="A571" s="22"/>
      <c r="B571" t="s">
        <v>17</v>
      </c>
      <c r="G571" s="1360" t="s">
        <v>2711</v>
      </c>
      <c r="H571" s="1360"/>
      <c r="I571" s="1360"/>
      <c r="J571" s="1360"/>
      <c r="K571" s="1360"/>
      <c r="L571" s="1360"/>
      <c r="M571" s="1360"/>
      <c r="N571" s="1360"/>
      <c r="O571" s="1360"/>
      <c r="P571" s="1360"/>
      <c r="Q571" s="1360"/>
      <c r="R571" s="1360"/>
      <c r="S571" s="8"/>
      <c r="T571" s="22"/>
      <c r="U571" t="s">
        <v>17</v>
      </c>
      <c r="Z571" s="1467" t="s">
        <v>2711</v>
      </c>
      <c r="AA571" s="1467"/>
      <c r="AB571" s="1467"/>
      <c r="AC571" s="1467"/>
      <c r="AD571" s="1467"/>
      <c r="AE571" s="1467"/>
      <c r="AF571" s="1467"/>
      <c r="AG571" s="1467"/>
      <c r="AH571" s="1467"/>
      <c r="AI571" s="1467"/>
      <c r="AJ571" s="1467"/>
      <c r="AK571" s="1467"/>
      <c r="BB571" s="3"/>
      <c r="BC571" s="3"/>
      <c r="BD571" s="3"/>
      <c r="BE571" s="3"/>
      <c r="BF571" s="3"/>
      <c r="BG571" s="3"/>
      <c r="BH571" s="3"/>
      <c r="BI571" s="3"/>
    </row>
    <row r="572" spans="1:61" ht="12.95" customHeight="1">
      <c r="A572" s="22"/>
      <c r="B572" t="s">
        <v>315</v>
      </c>
      <c r="G572" s="1357" t="s">
        <v>2712</v>
      </c>
      <c r="H572" s="1358"/>
      <c r="I572" s="1358"/>
      <c r="J572" s="1358"/>
      <c r="K572" s="1358"/>
      <c r="L572" s="1358"/>
      <c r="O572" s="33" t="s">
        <v>205</v>
      </c>
      <c r="P572" s="1434"/>
      <c r="Q572" s="1434"/>
      <c r="R572" s="1434"/>
      <c r="S572" s="10"/>
      <c r="T572" s="22"/>
      <c r="U572" t="s">
        <v>315</v>
      </c>
      <c r="Z572" s="1357" t="s">
        <v>2712</v>
      </c>
      <c r="AA572" s="1358"/>
      <c r="AB572" s="1358"/>
      <c r="AC572" s="1358"/>
      <c r="AD572" s="1358"/>
      <c r="AE572" s="1358"/>
      <c r="AH572" s="33" t="s">
        <v>205</v>
      </c>
      <c r="AI572" s="1434"/>
      <c r="AJ572" s="1434"/>
      <c r="AK572" s="1434"/>
      <c r="BB572" s="3"/>
      <c r="BC572" s="3"/>
      <c r="BD572" s="3"/>
      <c r="BE572" s="3"/>
      <c r="BF572" s="3"/>
      <c r="BG572" s="3"/>
      <c r="BH572" s="3"/>
      <c r="BI572" s="3"/>
    </row>
    <row r="573" spans="1:61" ht="12.95" customHeight="1">
      <c r="A573" s="22"/>
      <c r="B573" t="s">
        <v>18</v>
      </c>
      <c r="H573" s="1360" t="s">
        <v>2713</v>
      </c>
      <c r="I573" s="1360"/>
      <c r="J573" s="1360"/>
      <c r="K573" s="1360"/>
      <c r="L573" s="1360"/>
      <c r="M573" s="1360"/>
      <c r="N573" s="1360"/>
      <c r="O573" s="1360"/>
      <c r="P573" s="1360"/>
      <c r="Q573" s="1360"/>
      <c r="R573" s="1360"/>
      <c r="S573" s="8"/>
      <c r="T573" s="22"/>
      <c r="U573" t="s">
        <v>18</v>
      </c>
      <c r="AA573" s="1360" t="s">
        <v>2716</v>
      </c>
      <c r="AB573" s="1360"/>
      <c r="AC573" s="1360"/>
      <c r="AD573" s="1360"/>
      <c r="AE573" s="1360"/>
      <c r="AF573" s="1360"/>
      <c r="AG573" s="1360"/>
      <c r="AH573" s="1360"/>
      <c r="AI573" s="1360"/>
      <c r="AJ573" s="1360"/>
      <c r="AK573" s="1360"/>
      <c r="BB573" s="3"/>
      <c r="BC573" s="3"/>
      <c r="BD573" s="3"/>
      <c r="BE573" s="3"/>
      <c r="BF573" s="3"/>
      <c r="BG573" s="3"/>
      <c r="BH573" s="3"/>
      <c r="BI573" s="3"/>
    </row>
    <row r="574" spans="1:61" ht="12.95" customHeight="1">
      <c r="A574" s="22"/>
      <c r="B574" s="320" t="s">
        <v>1185</v>
      </c>
      <c r="H574" s="8"/>
      <c r="I574" s="8"/>
      <c r="J574" s="8"/>
      <c r="K574" s="8"/>
      <c r="L574" s="8"/>
      <c r="M574" s="1692" t="s">
        <v>2714</v>
      </c>
      <c r="N574" s="1692"/>
      <c r="O574" s="1692"/>
      <c r="P574" s="1692"/>
      <c r="Q574" s="1692"/>
      <c r="R574" s="1692"/>
      <c r="S574" s="8"/>
      <c r="T574" s="22"/>
      <c r="U574" s="320" t="s">
        <v>1185</v>
      </c>
      <c r="AA574" s="8"/>
      <c r="AB574" s="8"/>
      <c r="AC574" s="8"/>
      <c r="AD574" s="8"/>
      <c r="AE574" s="8"/>
      <c r="AF574" s="1692" t="s">
        <v>2714</v>
      </c>
      <c r="AG574" s="1692"/>
      <c r="AH574" s="1692"/>
      <c r="AI574" s="1692"/>
      <c r="AJ574" s="1692"/>
      <c r="AK574" s="1692"/>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00" t="str">
        <f>C556</f>
        <v>Citi-Recycled Bond</v>
      </c>
      <c r="H577" s="1400"/>
      <c r="I577" s="1400"/>
      <c r="J577" s="1400"/>
      <c r="K577" s="1400"/>
      <c r="L577" s="1400"/>
      <c r="M577" s="1400"/>
      <c r="N577" s="1400"/>
      <c r="O577" s="1400"/>
      <c r="P577" s="1400"/>
      <c r="Q577" s="1400"/>
      <c r="R577" s="1400"/>
      <c r="T577" s="55" t="s">
        <v>581</v>
      </c>
      <c r="U577" t="s">
        <v>463</v>
      </c>
      <c r="Z577" s="1400" t="str">
        <f>C557</f>
        <v>Deferred Developer Fee</v>
      </c>
      <c r="AA577" s="1400"/>
      <c r="AB577" s="1400"/>
      <c r="AC577" s="1400"/>
      <c r="AD577" s="1400"/>
      <c r="AE577" s="1400"/>
      <c r="AF577" s="1400"/>
      <c r="AG577" s="1400"/>
      <c r="AH577" s="1400"/>
      <c r="AI577" s="1400"/>
      <c r="AJ577" s="1400"/>
      <c r="AK577" s="1400"/>
      <c r="BB577" s="3"/>
      <c r="BC577" s="3"/>
    </row>
    <row r="578" spans="1:55" ht="12.95" customHeight="1">
      <c r="A578" s="22"/>
      <c r="B578" t="s">
        <v>85</v>
      </c>
      <c r="G578" s="1360" t="s">
        <v>2717</v>
      </c>
      <c r="H578" s="1360"/>
      <c r="I578" s="1360"/>
      <c r="J578" s="1360"/>
      <c r="K578" s="1360"/>
      <c r="L578" s="1360"/>
      <c r="M578" s="1360"/>
      <c r="N578" s="1360"/>
      <c r="O578" s="1360"/>
      <c r="P578" s="1360"/>
      <c r="Q578" s="1360"/>
      <c r="R578" s="1360"/>
      <c r="T578" s="22"/>
      <c r="U578" t="s">
        <v>85</v>
      </c>
      <c r="Z578" s="1360" t="s">
        <v>2632</v>
      </c>
      <c r="AA578" s="1360"/>
      <c r="AB578" s="1360"/>
      <c r="AC578" s="1360"/>
      <c r="AD578" s="1360"/>
      <c r="AE578" s="1360"/>
      <c r="AF578" s="1360"/>
      <c r="AG578" s="1360"/>
      <c r="AH578" s="1360"/>
      <c r="AI578" s="1360"/>
      <c r="AJ578" s="1360"/>
      <c r="AK578" s="1360"/>
      <c r="BB578" s="3"/>
      <c r="BC578" s="3"/>
    </row>
    <row r="579" spans="1:55" ht="12.95" customHeight="1">
      <c r="A579" s="22"/>
      <c r="B579" t="s">
        <v>580</v>
      </c>
      <c r="G579" s="1467" t="s">
        <v>2710</v>
      </c>
      <c r="H579" s="1467"/>
      <c r="I579" s="1467"/>
      <c r="J579" s="1467"/>
      <c r="K579" s="1467"/>
      <c r="L579" s="1467"/>
      <c r="M579" s="1467"/>
      <c r="N579" s="1467"/>
      <c r="O579" s="1467"/>
      <c r="P579" s="1467"/>
      <c r="Q579" s="1467"/>
      <c r="R579" s="1467"/>
      <c r="T579" s="22"/>
      <c r="U579" t="s">
        <v>580</v>
      </c>
      <c r="Z579" s="1467" t="s">
        <v>2718</v>
      </c>
      <c r="AA579" s="1467"/>
      <c r="AB579" s="1467"/>
      <c r="AC579" s="1467"/>
      <c r="AD579" s="1467"/>
      <c r="AE579" s="1467"/>
      <c r="AF579" s="1467"/>
      <c r="AG579" s="1467"/>
      <c r="AH579" s="1467"/>
      <c r="AI579" s="1467"/>
      <c r="AJ579" s="1467"/>
      <c r="AK579" s="1467"/>
      <c r="BB579" s="3"/>
      <c r="BC579" s="3"/>
    </row>
    <row r="580" spans="1:55" ht="12.95" customHeight="1">
      <c r="A580" s="22"/>
      <c r="B580" t="s">
        <v>17</v>
      </c>
      <c r="G580" s="1467" t="s">
        <v>2711</v>
      </c>
      <c r="H580" s="1467"/>
      <c r="I580" s="1467"/>
      <c r="J580" s="1467"/>
      <c r="K580" s="1467"/>
      <c r="L580" s="1467"/>
      <c r="M580" s="1467"/>
      <c r="N580" s="1467"/>
      <c r="O580" s="1467"/>
      <c r="P580" s="1467"/>
      <c r="Q580" s="1467"/>
      <c r="R580" s="1467"/>
      <c r="T580" s="22"/>
      <c r="U580" t="s">
        <v>17</v>
      </c>
      <c r="Z580" s="1467" t="s">
        <v>2633</v>
      </c>
      <c r="AA580" s="1467"/>
      <c r="AB580" s="1467"/>
      <c r="AC580" s="1467"/>
      <c r="AD580" s="1467"/>
      <c r="AE580" s="1467"/>
      <c r="AF580" s="1467"/>
      <c r="AG580" s="1467"/>
      <c r="AH580" s="1467"/>
      <c r="AI580" s="1467"/>
      <c r="AJ580" s="1467"/>
      <c r="AK580" s="1467"/>
      <c r="BB580" s="3"/>
      <c r="BC580" s="3"/>
    </row>
    <row r="581" spans="1:55" ht="12.95" customHeight="1">
      <c r="A581" s="22"/>
      <c r="B581" t="s">
        <v>315</v>
      </c>
      <c r="G581" s="1357" t="s">
        <v>2712</v>
      </c>
      <c r="H581" s="1358"/>
      <c r="I581" s="1358"/>
      <c r="J581" s="1358"/>
      <c r="K581" s="1358"/>
      <c r="L581" s="1358"/>
      <c r="O581" s="33" t="s">
        <v>205</v>
      </c>
      <c r="P581" s="1434"/>
      <c r="Q581" s="1434"/>
      <c r="R581" s="1434"/>
      <c r="T581" s="22"/>
      <c r="U581" t="s">
        <v>315</v>
      </c>
      <c r="Z581" s="1357" t="s">
        <v>2634</v>
      </c>
      <c r="AA581" s="1358"/>
      <c r="AB581" s="1358"/>
      <c r="AC581" s="1358"/>
      <c r="AD581" s="1358"/>
      <c r="AE581" s="1358"/>
      <c r="AH581" s="33" t="s">
        <v>205</v>
      </c>
      <c r="AI581" s="1434"/>
      <c r="AJ581" s="1434"/>
      <c r="AK581" s="1434"/>
      <c r="BB581" s="3"/>
      <c r="BC581" s="3"/>
    </row>
    <row r="582" spans="1:55" ht="12.95" customHeight="1">
      <c r="A582" s="22"/>
      <c r="B582" t="s">
        <v>18</v>
      </c>
      <c r="H582" s="1360" t="s">
        <v>2713</v>
      </c>
      <c r="I582" s="1360"/>
      <c r="J582" s="1360"/>
      <c r="K582" s="1360"/>
      <c r="L582" s="1360"/>
      <c r="M582" s="1360"/>
      <c r="N582" s="1360"/>
      <c r="O582" s="1360"/>
      <c r="P582" s="1360"/>
      <c r="Q582" s="1360"/>
      <c r="R582" s="1360"/>
      <c r="T582" s="22"/>
      <c r="U582" t="s">
        <v>18</v>
      </c>
      <c r="AA582" s="1360" t="s">
        <v>2707</v>
      </c>
      <c r="AB582" s="1360"/>
      <c r="AC582" s="1360"/>
      <c r="AD582" s="1360"/>
      <c r="AE582" s="1360"/>
      <c r="AF582" s="1360"/>
      <c r="AG582" s="1360"/>
      <c r="AH582" s="1360"/>
      <c r="AI582" s="1360"/>
      <c r="AJ582" s="1360"/>
      <c r="AK582" s="1360"/>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400" t="str">
        <f>C558</f>
        <v>Deferred Costs</v>
      </c>
      <c r="H585" s="1400"/>
      <c r="I585" s="1400"/>
      <c r="J585" s="1400"/>
      <c r="K585" s="1400"/>
      <c r="L585" s="1400"/>
      <c r="M585" s="1400"/>
      <c r="N585" s="1400"/>
      <c r="O585" s="1400"/>
      <c r="P585" s="1400"/>
      <c r="Q585" s="1400"/>
      <c r="R585" s="1400"/>
      <c r="T585" s="55" t="s">
        <v>584</v>
      </c>
      <c r="U585" t="s">
        <v>463</v>
      </c>
      <c r="Z585" s="1400" t="str">
        <f>C559</f>
        <v xml:space="preserve">LIHTC Equity </v>
      </c>
      <c r="AA585" s="1400"/>
      <c r="AB585" s="1400"/>
      <c r="AC585" s="1400"/>
      <c r="AD585" s="1400"/>
      <c r="AE585" s="1400"/>
      <c r="AF585" s="1400"/>
      <c r="AG585" s="1400"/>
      <c r="AH585" s="1400"/>
      <c r="AI585" s="1400"/>
      <c r="AJ585" s="1400"/>
      <c r="AK585" s="1400"/>
      <c r="BB585" s="3"/>
      <c r="BC585" s="3"/>
    </row>
    <row r="586" spans="1:55" ht="12.95" customHeight="1">
      <c r="A586" s="22"/>
      <c r="B586" t="s">
        <v>85</v>
      </c>
      <c r="G586" s="1360" t="s">
        <v>2632</v>
      </c>
      <c r="H586" s="1360"/>
      <c r="I586" s="1360"/>
      <c r="J586" s="1360"/>
      <c r="K586" s="1360"/>
      <c r="L586" s="1360"/>
      <c r="M586" s="1360"/>
      <c r="N586" s="1360"/>
      <c r="O586" s="1360"/>
      <c r="P586" s="1360"/>
      <c r="Q586" s="1360"/>
      <c r="R586" s="1360"/>
      <c r="T586" s="22"/>
      <c r="U586" t="s">
        <v>85</v>
      </c>
      <c r="Z586" s="1360" t="s">
        <v>2671</v>
      </c>
      <c r="AA586" s="1360"/>
      <c r="AB586" s="1360"/>
      <c r="AC586" s="1360"/>
      <c r="AD586" s="1360"/>
      <c r="AE586" s="1360"/>
      <c r="AF586" s="1360"/>
      <c r="AG586" s="1360"/>
      <c r="AH586" s="1360"/>
      <c r="AI586" s="1360"/>
      <c r="AJ586" s="1360"/>
      <c r="AK586" s="1360"/>
      <c r="BB586" s="3"/>
      <c r="BC586" s="3"/>
    </row>
    <row r="587" spans="1:55" ht="12.95" customHeight="1">
      <c r="A587" s="22"/>
      <c r="B587" t="s">
        <v>580</v>
      </c>
      <c r="G587" s="1360" t="s">
        <v>2718</v>
      </c>
      <c r="H587" s="1360"/>
      <c r="I587" s="1360"/>
      <c r="J587" s="1360"/>
      <c r="K587" s="1360"/>
      <c r="L587" s="1360"/>
      <c r="M587" s="1360"/>
      <c r="N587" s="1360"/>
      <c r="O587" s="1360"/>
      <c r="P587" s="1360"/>
      <c r="Q587" s="1360"/>
      <c r="R587" s="1360"/>
      <c r="T587" s="22"/>
      <c r="U587" t="s">
        <v>580</v>
      </c>
      <c r="Z587" s="1467" t="s">
        <v>2719</v>
      </c>
      <c r="AA587" s="1467"/>
      <c r="AB587" s="1467"/>
      <c r="AC587" s="1467"/>
      <c r="AD587" s="1467"/>
      <c r="AE587" s="1467"/>
      <c r="AF587" s="1467"/>
      <c r="AG587" s="1467"/>
      <c r="AH587" s="1467"/>
      <c r="AI587" s="1467"/>
      <c r="AJ587" s="1467"/>
      <c r="AK587" s="1467"/>
      <c r="BB587" s="3"/>
      <c r="BC587" s="3"/>
    </row>
    <row r="588" spans="1:55" ht="12.95" customHeight="1">
      <c r="A588" s="22"/>
      <c r="B588" t="s">
        <v>17</v>
      </c>
      <c r="G588" s="1360" t="s">
        <v>2633</v>
      </c>
      <c r="H588" s="1360"/>
      <c r="I588" s="1360"/>
      <c r="J588" s="1360"/>
      <c r="K588" s="1360"/>
      <c r="L588" s="1360"/>
      <c r="M588" s="1360"/>
      <c r="N588" s="1360"/>
      <c r="O588" s="1360"/>
      <c r="P588" s="1360"/>
      <c r="Q588" s="1360"/>
      <c r="R588" s="1360"/>
      <c r="T588" s="22"/>
      <c r="U588" t="s">
        <v>17</v>
      </c>
      <c r="Z588" s="1467" t="s">
        <v>2673</v>
      </c>
      <c r="AA588" s="1467"/>
      <c r="AB588" s="1467"/>
      <c r="AC588" s="1467"/>
      <c r="AD588" s="1467"/>
      <c r="AE588" s="1467"/>
      <c r="AF588" s="1467"/>
      <c r="AG588" s="1467"/>
      <c r="AH588" s="1467"/>
      <c r="AI588" s="1467"/>
      <c r="AJ588" s="1467"/>
      <c r="AK588" s="1467"/>
    </row>
    <row r="589" spans="1:55" ht="12.95" customHeight="1">
      <c r="A589" s="22"/>
      <c r="B589" t="s">
        <v>315</v>
      </c>
      <c r="G589" s="1357" t="s">
        <v>2634</v>
      </c>
      <c r="H589" s="1358"/>
      <c r="I589" s="1358"/>
      <c r="J589" s="1358"/>
      <c r="K589" s="1358"/>
      <c r="L589" s="1358"/>
      <c r="O589" s="33" t="s">
        <v>205</v>
      </c>
      <c r="P589" s="1434"/>
      <c r="Q589" s="1434"/>
      <c r="R589" s="1434"/>
      <c r="T589" s="22"/>
      <c r="U589" t="s">
        <v>315</v>
      </c>
      <c r="Z589" s="1357" t="s">
        <v>2674</v>
      </c>
      <c r="AA589" s="1358"/>
      <c r="AB589" s="1358"/>
      <c r="AC589" s="1358"/>
      <c r="AD589" s="1358"/>
      <c r="AE589" s="1358"/>
      <c r="AH589" s="33" t="s">
        <v>205</v>
      </c>
      <c r="AI589" s="1434"/>
      <c r="AJ589" s="1434"/>
      <c r="AK589" s="1434"/>
      <c r="AZ589" s="3"/>
      <c r="BA589" s="3"/>
      <c r="BB589" s="3"/>
      <c r="BC589" s="3"/>
    </row>
    <row r="590" spans="1:55" ht="12.95" customHeight="1">
      <c r="A590" s="22"/>
      <c r="B590" t="s">
        <v>18</v>
      </c>
      <c r="H590" s="1360" t="s">
        <v>2707</v>
      </c>
      <c r="I590" s="1360"/>
      <c r="J590" s="1360"/>
      <c r="K590" s="1360"/>
      <c r="L590" s="1360"/>
      <c r="M590" s="1360"/>
      <c r="N590" s="1360"/>
      <c r="O590" s="1360"/>
      <c r="P590" s="1360"/>
      <c r="Q590" s="1360"/>
      <c r="R590" s="1360"/>
      <c r="T590" s="22"/>
      <c r="U590" t="s">
        <v>18</v>
      </c>
      <c r="AA590" s="1360" t="s">
        <v>2720</v>
      </c>
      <c r="AB590" s="1360"/>
      <c r="AC590" s="1360"/>
      <c r="AD590" s="1360"/>
      <c r="AE590" s="1360"/>
      <c r="AF590" s="1360"/>
      <c r="AG590" s="1360"/>
      <c r="AH590" s="1360"/>
      <c r="AI590" s="1360"/>
      <c r="AJ590" s="1360"/>
      <c r="AK590" s="1360"/>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400" t="str">
        <f>C560</f>
        <v>Cash Flow From Operations</v>
      </c>
      <c r="H593" s="1400"/>
      <c r="I593" s="1400"/>
      <c r="J593" s="1400"/>
      <c r="K593" s="1400"/>
      <c r="L593" s="1400"/>
      <c r="M593" s="1400"/>
      <c r="N593" s="1400"/>
      <c r="O593" s="1400"/>
      <c r="P593" s="1400"/>
      <c r="Q593" s="1400"/>
      <c r="R593" s="1400"/>
      <c r="T593" s="55" t="s">
        <v>456</v>
      </c>
      <c r="U593" t="s">
        <v>463</v>
      </c>
      <c r="Z593" s="1400">
        <f>C561</f>
        <v>0</v>
      </c>
      <c r="AA593" s="1400"/>
      <c r="AB593" s="1400"/>
      <c r="AC593" s="1400"/>
      <c r="AD593" s="1400"/>
      <c r="AE593" s="1400"/>
      <c r="AF593" s="1400"/>
      <c r="AG593" s="1400"/>
      <c r="AH593" s="1400"/>
      <c r="AI593" s="1400"/>
      <c r="AJ593" s="1400"/>
      <c r="AK593" s="1400"/>
      <c r="AZ593" s="3"/>
      <c r="BA593" s="3"/>
      <c r="BB593" s="3"/>
      <c r="BC593" s="3"/>
    </row>
    <row r="594" spans="1:55" s="4" customFormat="1" ht="12.95" customHeight="1">
      <c r="A594" s="22"/>
      <c r="B594" t="s">
        <v>85</v>
      </c>
      <c r="C594"/>
      <c r="D594"/>
      <c r="E594"/>
      <c r="F594"/>
      <c r="G594" s="1359" t="s">
        <v>2724</v>
      </c>
      <c r="H594" s="1360"/>
      <c r="I594" s="1360"/>
      <c r="J594" s="1360"/>
      <c r="K594" s="1360"/>
      <c r="L594" s="1360"/>
      <c r="M594" s="1360"/>
      <c r="N594" s="1360"/>
      <c r="O594" s="1360"/>
      <c r="P594" s="1360"/>
      <c r="Q594" s="1360"/>
      <c r="R594" s="1360"/>
      <c r="S594"/>
      <c r="T594" s="22"/>
      <c r="U594" t="s">
        <v>85</v>
      </c>
      <c r="V594"/>
      <c r="W594"/>
      <c r="X594"/>
      <c r="Y594"/>
      <c r="Z594" s="1360"/>
      <c r="AA594" s="1360"/>
      <c r="AB594" s="1360"/>
      <c r="AC594" s="1360"/>
      <c r="AD594" s="1360"/>
      <c r="AE594" s="1360"/>
      <c r="AF594" s="1360"/>
      <c r="AG594" s="1360"/>
      <c r="AH594" s="1360"/>
      <c r="AI594" s="1360"/>
      <c r="AJ594" s="1360"/>
      <c r="AK594" s="1360"/>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59" t="s">
        <v>2718</v>
      </c>
      <c r="H595" s="1360"/>
      <c r="I595" s="1360"/>
      <c r="J595" s="1360"/>
      <c r="K595" s="1360"/>
      <c r="L595" s="1360"/>
      <c r="M595" s="1360"/>
      <c r="N595" s="1360"/>
      <c r="O595" s="1360"/>
      <c r="P595" s="1360"/>
      <c r="Q595" s="1360"/>
      <c r="R595" s="1360"/>
      <c r="S595"/>
      <c r="T595" s="22"/>
      <c r="U595" t="s">
        <v>580</v>
      </c>
      <c r="V595"/>
      <c r="W595"/>
      <c r="X595"/>
      <c r="Y595"/>
      <c r="Z595" s="1467"/>
      <c r="AA595" s="1467"/>
      <c r="AB595" s="1467"/>
      <c r="AC595" s="1467"/>
      <c r="AD595" s="1467"/>
      <c r="AE595" s="1467"/>
      <c r="AF595" s="1467"/>
      <c r="AG595" s="1467"/>
      <c r="AH595" s="1467"/>
      <c r="AI595" s="1467"/>
      <c r="AJ595" s="1467"/>
      <c r="AK595" s="146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59" t="s">
        <v>2633</v>
      </c>
      <c r="H596" s="1360"/>
      <c r="I596" s="1360"/>
      <c r="J596" s="1360"/>
      <c r="K596" s="1360"/>
      <c r="L596" s="1360"/>
      <c r="M596" s="1360"/>
      <c r="N596" s="1360"/>
      <c r="O596" s="1360"/>
      <c r="P596" s="1360"/>
      <c r="Q596" s="1360"/>
      <c r="R596" s="1360"/>
      <c r="S596"/>
      <c r="T596" s="22"/>
      <c r="U596" t="s">
        <v>17</v>
      </c>
      <c r="V596"/>
      <c r="W596"/>
      <c r="X596"/>
      <c r="Y596"/>
      <c r="Z596" s="1467"/>
      <c r="AA596" s="1467"/>
      <c r="AB596" s="1467"/>
      <c r="AC596" s="1467"/>
      <c r="AD596" s="1467"/>
      <c r="AE596" s="1467"/>
      <c r="AF596" s="1467"/>
      <c r="AG596" s="1467"/>
      <c r="AH596" s="1467"/>
      <c r="AI596" s="1467"/>
      <c r="AJ596" s="1467"/>
      <c r="AK596" s="1467"/>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57" t="s">
        <v>2634</v>
      </c>
      <c r="H597" s="1358"/>
      <c r="I597" s="1358"/>
      <c r="J597" s="1358"/>
      <c r="K597" s="1358"/>
      <c r="L597" s="1358"/>
      <c r="M597"/>
      <c r="N597"/>
      <c r="O597" s="33" t="s">
        <v>205</v>
      </c>
      <c r="P597" s="1434"/>
      <c r="Q597" s="1434"/>
      <c r="R597" s="1434"/>
      <c r="S597"/>
      <c r="T597" s="22"/>
      <c r="U597" t="s">
        <v>315</v>
      </c>
      <c r="V597"/>
      <c r="W597"/>
      <c r="X597"/>
      <c r="Y597"/>
      <c r="Z597" s="1358"/>
      <c r="AA597" s="1358"/>
      <c r="AB597" s="1358"/>
      <c r="AC597" s="1358"/>
      <c r="AD597" s="1358"/>
      <c r="AE597" s="1358"/>
      <c r="AF597"/>
      <c r="AG597"/>
      <c r="AH597" s="33" t="s">
        <v>205</v>
      </c>
      <c r="AI597" s="1434"/>
      <c r="AJ597" s="1434"/>
      <c r="AK597" s="1434"/>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59" t="s">
        <v>2734</v>
      </c>
      <c r="I598" s="1360"/>
      <c r="J598" s="1360"/>
      <c r="K598" s="1360"/>
      <c r="L598" s="1360"/>
      <c r="M598" s="1360"/>
      <c r="N598" s="1360"/>
      <c r="O598" s="1360"/>
      <c r="P598" s="1360"/>
      <c r="Q598" s="1360"/>
      <c r="R598" s="1360"/>
      <c r="S598"/>
      <c r="T598" s="22"/>
      <c r="U598" t="s">
        <v>18</v>
      </c>
      <c r="V598"/>
      <c r="W598"/>
      <c r="X598"/>
      <c r="Y598"/>
      <c r="Z598"/>
      <c r="AA598" s="1360"/>
      <c r="AB598" s="1360"/>
      <c r="AC598" s="1360"/>
      <c r="AD598" s="1360"/>
      <c r="AE598" s="1360"/>
      <c r="AF598" s="1360"/>
      <c r="AG598" s="1360"/>
      <c r="AH598" s="1360"/>
      <c r="AI598" s="1360"/>
      <c r="AJ598" s="1360"/>
      <c r="AK598" s="1360"/>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669</v>
      </c>
      <c r="AH599" s="1332"/>
      <c r="BB599" s="3"/>
      <c r="BC599" s="3"/>
    </row>
    <row r="600" spans="1:55" ht="12.95" customHeight="1">
      <c r="A600" s="22"/>
      <c r="T600" s="22"/>
      <c r="BB600" s="3"/>
      <c r="BC600" s="3"/>
    </row>
    <row r="601" spans="1:55" ht="12.95" customHeight="1">
      <c r="A601" s="55" t="s">
        <v>461</v>
      </c>
      <c r="B601" t="s">
        <v>463</v>
      </c>
      <c r="G601" s="1400">
        <f>C562</f>
        <v>0</v>
      </c>
      <c r="H601" s="1400"/>
      <c r="I601" s="1400"/>
      <c r="J601" s="1400"/>
      <c r="K601" s="1400"/>
      <c r="L601" s="1400"/>
      <c r="M601" s="1400"/>
      <c r="N601" s="1400"/>
      <c r="O601" s="1400"/>
      <c r="P601" s="1400"/>
      <c r="Q601" s="1400"/>
      <c r="R601" s="1400"/>
      <c r="T601" s="55" t="s">
        <v>646</v>
      </c>
      <c r="U601" t="s">
        <v>463</v>
      </c>
      <c r="Z601" s="1400">
        <f>C563</f>
        <v>0</v>
      </c>
      <c r="AA601" s="1400"/>
      <c r="AB601" s="1400"/>
      <c r="AC601" s="1400"/>
      <c r="AD601" s="1400"/>
      <c r="AE601" s="1400"/>
      <c r="AF601" s="1400"/>
      <c r="AG601" s="1400"/>
      <c r="AH601" s="1400"/>
      <c r="AI601" s="1400"/>
      <c r="AJ601" s="1400"/>
      <c r="AK601" s="1400"/>
      <c r="BB601" s="3"/>
      <c r="BC601" s="3"/>
    </row>
    <row r="602" spans="1:55" ht="12.95" customHeight="1">
      <c r="A602" s="22"/>
      <c r="B602" t="s">
        <v>85</v>
      </c>
      <c r="G602" s="1360"/>
      <c r="H602" s="1360"/>
      <c r="I602" s="1360"/>
      <c r="J602" s="1360"/>
      <c r="K602" s="1360"/>
      <c r="L602" s="1360"/>
      <c r="M602" s="1360"/>
      <c r="N602" s="1360"/>
      <c r="O602" s="1360"/>
      <c r="P602" s="1360"/>
      <c r="Q602" s="1360"/>
      <c r="R602" s="1360"/>
      <c r="T602" s="22"/>
      <c r="U602" t="s">
        <v>85</v>
      </c>
      <c r="Z602" s="1360"/>
      <c r="AA602" s="1360"/>
      <c r="AB602" s="1360"/>
      <c r="AC602" s="1360"/>
      <c r="AD602" s="1360"/>
      <c r="AE602" s="1360"/>
      <c r="AF602" s="1360"/>
      <c r="AG602" s="1360"/>
      <c r="AH602" s="1360"/>
      <c r="AI602" s="1360"/>
      <c r="AJ602" s="1360"/>
      <c r="AK602" s="1360"/>
      <c r="AZ602" s="3"/>
      <c r="BA602" s="3"/>
      <c r="BB602" s="3"/>
      <c r="BC602" s="3"/>
    </row>
    <row r="603" spans="1:55" ht="12.95" customHeight="1">
      <c r="A603" s="22"/>
      <c r="B603" t="s">
        <v>580</v>
      </c>
      <c r="G603" s="1360"/>
      <c r="H603" s="1360"/>
      <c r="I603" s="1360"/>
      <c r="J603" s="1360"/>
      <c r="K603" s="1360"/>
      <c r="L603" s="1360"/>
      <c r="M603" s="1360"/>
      <c r="N603" s="1360"/>
      <c r="O603" s="1360"/>
      <c r="P603" s="1360"/>
      <c r="Q603" s="1360"/>
      <c r="R603" s="1360"/>
      <c r="T603" s="22"/>
      <c r="U603" t="s">
        <v>580</v>
      </c>
      <c r="Z603" s="1467"/>
      <c r="AA603" s="1467"/>
      <c r="AB603" s="1467"/>
      <c r="AC603" s="1467"/>
      <c r="AD603" s="1467"/>
      <c r="AE603" s="1467"/>
      <c r="AF603" s="1467"/>
      <c r="AG603" s="1467"/>
      <c r="AH603" s="1467"/>
      <c r="AI603" s="1467"/>
      <c r="AJ603" s="1467"/>
      <c r="AK603" s="1467"/>
      <c r="AZ603" s="3"/>
      <c r="BA603" s="3"/>
      <c r="BB603" s="3"/>
      <c r="BC603" s="3"/>
    </row>
    <row r="604" spans="1:55" ht="12.95" customHeight="1">
      <c r="A604" s="22"/>
      <c r="B604" t="s">
        <v>17</v>
      </c>
      <c r="G604" s="1360"/>
      <c r="H604" s="1360"/>
      <c r="I604" s="1360"/>
      <c r="J604" s="1360"/>
      <c r="K604" s="1360"/>
      <c r="L604" s="1360"/>
      <c r="M604" s="1360"/>
      <c r="N604" s="1360"/>
      <c r="O604" s="1360"/>
      <c r="P604" s="1360"/>
      <c r="Q604" s="1360"/>
      <c r="R604" s="1360"/>
      <c r="T604" s="22"/>
      <c r="U604" t="s">
        <v>17</v>
      </c>
      <c r="Z604" s="1467"/>
      <c r="AA604" s="1467"/>
      <c r="AB604" s="1467"/>
      <c r="AC604" s="1467"/>
      <c r="AD604" s="1467"/>
      <c r="AE604" s="1467"/>
      <c r="AF604" s="1467"/>
      <c r="AG604" s="1467"/>
      <c r="AH604" s="1467"/>
      <c r="AI604" s="1467"/>
      <c r="AJ604" s="1467"/>
      <c r="AK604" s="1467"/>
      <c r="AZ604" s="3"/>
      <c r="BA604" s="3"/>
      <c r="BB604" s="3"/>
      <c r="BC604" s="3"/>
    </row>
    <row r="605" spans="1:55" s="4" customFormat="1" ht="12.95" customHeight="1">
      <c r="A605" s="22"/>
      <c r="B605" t="s">
        <v>315</v>
      </c>
      <c r="C605"/>
      <c r="D605"/>
      <c r="E605"/>
      <c r="F605"/>
      <c r="G605" s="1358"/>
      <c r="H605" s="1358"/>
      <c r="I605" s="1358"/>
      <c r="J605" s="1358"/>
      <c r="K605" s="1358"/>
      <c r="L605" s="1358"/>
      <c r="M605"/>
      <c r="N605"/>
      <c r="O605" s="33" t="s">
        <v>205</v>
      </c>
      <c r="P605" s="1434"/>
      <c r="Q605" s="1434"/>
      <c r="R605" s="1434"/>
      <c r="S605"/>
      <c r="T605" s="22"/>
      <c r="U605" t="s">
        <v>315</v>
      </c>
      <c r="V605"/>
      <c r="W605"/>
      <c r="X605"/>
      <c r="Y605"/>
      <c r="Z605" s="1358"/>
      <c r="AA605" s="1358"/>
      <c r="AB605" s="1358"/>
      <c r="AC605" s="1358"/>
      <c r="AD605" s="1358"/>
      <c r="AE605" s="1358"/>
      <c r="AF605"/>
      <c r="AG605"/>
      <c r="AH605" s="33" t="s">
        <v>205</v>
      </c>
      <c r="AI605" s="1434"/>
      <c r="AJ605" s="1434"/>
      <c r="AK605" s="1434"/>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60"/>
      <c r="I606" s="1360"/>
      <c r="J606" s="1360"/>
      <c r="K606" s="1360"/>
      <c r="L606" s="1360"/>
      <c r="M606" s="1360"/>
      <c r="N606" s="1360"/>
      <c r="O606" s="1360"/>
      <c r="P606" s="1360"/>
      <c r="Q606" s="1360"/>
      <c r="R606" s="1360"/>
      <c r="S606"/>
      <c r="T606" s="22"/>
      <c r="U606" t="s">
        <v>18</v>
      </c>
      <c r="V606"/>
      <c r="W606"/>
      <c r="X606"/>
      <c r="Y606"/>
      <c r="Z606"/>
      <c r="AA606" s="1360"/>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00">
        <f>C564</f>
        <v>0</v>
      </c>
      <c r="H609" s="1400"/>
      <c r="I609" s="1400"/>
      <c r="J609" s="1400"/>
      <c r="K609" s="1400"/>
      <c r="L609" s="1400"/>
      <c r="M609" s="1400"/>
      <c r="N609" s="1400"/>
      <c r="O609" s="1400"/>
      <c r="P609" s="1400"/>
      <c r="Q609" s="1400"/>
      <c r="R609" s="1400"/>
      <c r="T609" s="55" t="s">
        <v>362</v>
      </c>
      <c r="U609" t="s">
        <v>463</v>
      </c>
      <c r="Z609" s="1400">
        <f>C565</f>
        <v>0</v>
      </c>
      <c r="AA609" s="1400"/>
      <c r="AB609" s="1400"/>
      <c r="AC609" s="1400"/>
      <c r="AD609" s="1400"/>
      <c r="AE609" s="1400"/>
      <c r="AF609" s="1400"/>
      <c r="AG609" s="1400"/>
      <c r="AH609" s="1400"/>
      <c r="AI609" s="1400"/>
      <c r="AJ609" s="1400"/>
      <c r="AK609" s="1400"/>
      <c r="AZ609" s="3"/>
      <c r="BA609" s="3"/>
      <c r="BB609" s="3"/>
      <c r="BC609" s="3"/>
    </row>
    <row r="610" spans="1:55" ht="12.95" customHeight="1">
      <c r="B610" t="s">
        <v>85</v>
      </c>
      <c r="G610" s="1360"/>
      <c r="H610" s="1360"/>
      <c r="I610" s="1360"/>
      <c r="J610" s="1360"/>
      <c r="K610" s="1360"/>
      <c r="L610" s="1360"/>
      <c r="M610" s="1360"/>
      <c r="N610" s="1360"/>
      <c r="O610" s="1360"/>
      <c r="P610" s="1360"/>
      <c r="Q610" s="1360"/>
      <c r="R610" s="1360"/>
      <c r="U610" t="s">
        <v>85</v>
      </c>
      <c r="Z610" s="1360"/>
      <c r="AA610" s="1360"/>
      <c r="AB610" s="1360"/>
      <c r="AC610" s="1360"/>
      <c r="AD610" s="1360"/>
      <c r="AE610" s="1360"/>
      <c r="AF610" s="1360"/>
      <c r="AG610" s="1360"/>
      <c r="AH610" s="1360"/>
      <c r="AI610" s="1360"/>
      <c r="AJ610" s="1360"/>
      <c r="AK610" s="1360"/>
      <c r="AZ610" s="3"/>
      <c r="BA610" s="3"/>
      <c r="BB610" s="3"/>
      <c r="BC610" s="3"/>
    </row>
    <row r="611" spans="1:55" ht="12.95" customHeight="1">
      <c r="B611" t="s">
        <v>580</v>
      </c>
      <c r="G611" s="1360"/>
      <c r="H611" s="1360"/>
      <c r="I611" s="1360"/>
      <c r="J611" s="1360"/>
      <c r="K611" s="1360"/>
      <c r="L611" s="1360"/>
      <c r="M611" s="1360"/>
      <c r="N611" s="1360"/>
      <c r="O611" s="1360"/>
      <c r="P611" s="1360"/>
      <c r="Q611" s="1360"/>
      <c r="R611" s="1360"/>
      <c r="U611" t="s">
        <v>580</v>
      </c>
      <c r="Z611" s="1467"/>
      <c r="AA611" s="1467"/>
      <c r="AB611" s="1467"/>
      <c r="AC611" s="1467"/>
      <c r="AD611" s="1467"/>
      <c r="AE611" s="1467"/>
      <c r="AF611" s="1467"/>
      <c r="AG611" s="1467"/>
      <c r="AH611" s="1467"/>
      <c r="AI611" s="1467"/>
      <c r="AJ611" s="1467"/>
      <c r="AK611" s="1467"/>
      <c r="AZ611" s="3"/>
      <c r="BA611" s="3"/>
      <c r="BB611" s="3"/>
      <c r="BC611" s="3"/>
    </row>
    <row r="612" spans="1:55" ht="12.95" customHeight="1">
      <c r="B612" t="s">
        <v>17</v>
      </c>
      <c r="G612" s="1360"/>
      <c r="H612" s="1360"/>
      <c r="I612" s="1360"/>
      <c r="J612" s="1360"/>
      <c r="K612" s="1360"/>
      <c r="L612" s="1360"/>
      <c r="M612" s="1360"/>
      <c r="N612" s="1360"/>
      <c r="O612" s="1360"/>
      <c r="P612" s="1360"/>
      <c r="Q612" s="1360"/>
      <c r="R612" s="1360"/>
      <c r="U612" t="s">
        <v>17</v>
      </c>
      <c r="Z612" s="1467"/>
      <c r="AA612" s="1467"/>
      <c r="AB612" s="1467"/>
      <c r="AC612" s="1467"/>
      <c r="AD612" s="1467"/>
      <c r="AE612" s="1467"/>
      <c r="AF612" s="1467"/>
      <c r="AG612" s="1467"/>
      <c r="AH612" s="1467"/>
      <c r="AI612" s="1467"/>
      <c r="AJ612" s="1467"/>
      <c r="AK612" s="1467"/>
      <c r="AZ612" s="3"/>
      <c r="BA612" s="3"/>
      <c r="BB612" s="3"/>
      <c r="BC612" s="3"/>
    </row>
    <row r="613" spans="1:55" ht="12.95" customHeight="1">
      <c r="B613" t="s">
        <v>315</v>
      </c>
      <c r="G613" s="1358"/>
      <c r="H613" s="1358"/>
      <c r="I613" s="1358"/>
      <c r="J613" s="1358"/>
      <c r="K613" s="1358"/>
      <c r="L613" s="1358"/>
      <c r="O613" s="33" t="s">
        <v>205</v>
      </c>
      <c r="P613" s="1434"/>
      <c r="Q613" s="1434"/>
      <c r="R613" s="1434"/>
      <c r="U613" t="s">
        <v>315</v>
      </c>
      <c r="Z613" s="1358"/>
      <c r="AA613" s="1358"/>
      <c r="AB613" s="1358"/>
      <c r="AC613" s="1358"/>
      <c r="AD613" s="1358"/>
      <c r="AE613" s="1358"/>
      <c r="AH613" s="33" t="s">
        <v>205</v>
      </c>
      <c r="AI613" s="1434"/>
      <c r="AJ613" s="1434"/>
      <c r="AK613" s="1434"/>
      <c r="AZ613" s="3"/>
      <c r="BA613" s="3"/>
      <c r="BB613" s="3"/>
      <c r="BC613" s="3"/>
    </row>
    <row r="614" spans="1:55" ht="12.95" customHeight="1">
      <c r="B614" t="s">
        <v>18</v>
      </c>
      <c r="H614" s="1360"/>
      <c r="I614" s="1360"/>
      <c r="J614" s="1360"/>
      <c r="K614" s="1360"/>
      <c r="L614" s="1360"/>
      <c r="M614" s="1360"/>
      <c r="N614" s="1360"/>
      <c r="O614" s="1360"/>
      <c r="P614" s="1360"/>
      <c r="Q614" s="1360"/>
      <c r="R614" s="1360"/>
      <c r="U614" t="s">
        <v>18</v>
      </c>
      <c r="AA614" s="1360"/>
      <c r="AB614" s="1360"/>
      <c r="AC614" s="1360"/>
      <c r="AD614" s="1360"/>
      <c r="AE614" s="1360"/>
      <c r="AF614" s="1360"/>
      <c r="AG614" s="1360"/>
      <c r="AH614" s="1360"/>
      <c r="AI614" s="1360"/>
      <c r="AJ614" s="1360"/>
      <c r="AK614" s="1360"/>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5" t="s">
        <v>2102</v>
      </c>
      <c r="C624" s="1705"/>
      <c r="D624" s="1705"/>
      <c r="E624" s="1705"/>
      <c r="F624" s="1705"/>
      <c r="G624" s="1705"/>
      <c r="H624" s="1705"/>
      <c r="I624" s="1705"/>
      <c r="J624" s="1705"/>
      <c r="K624" s="1705"/>
      <c r="L624" s="1705"/>
      <c r="M624" s="1436" t="s">
        <v>2103</v>
      </c>
      <c r="N624" s="1436"/>
      <c r="O624" s="1436"/>
      <c r="P624" s="1436"/>
      <c r="Q624" s="1436" t="s">
        <v>1852</v>
      </c>
      <c r="R624" s="1436"/>
      <c r="S624" s="1436"/>
      <c r="T624" s="1436" t="s">
        <v>1850</v>
      </c>
      <c r="U624" s="1436"/>
      <c r="V624" s="1436"/>
      <c r="W624" s="1706" t="s">
        <v>453</v>
      </c>
      <c r="X624" s="1706"/>
      <c r="Y624" s="1706"/>
      <c r="Z624" s="1428" t="s">
        <v>2132</v>
      </c>
      <c r="AA624" s="1428"/>
      <c r="AB624" s="1429"/>
      <c r="AC624" s="1677" t="s">
        <v>1676</v>
      </c>
      <c r="AD624" s="1678"/>
      <c r="AE624" s="1679"/>
      <c r="AF624" s="1686" t="s">
        <v>1930</v>
      </c>
      <c r="AG624" s="1428"/>
      <c r="AH624" s="1428"/>
      <c r="AI624" s="1428"/>
      <c r="AJ624" s="1429"/>
      <c r="AK624" s="1707" t="s">
        <v>1931</v>
      </c>
      <c r="AL624" s="1708"/>
      <c r="AM624" s="1708"/>
      <c r="AN624" s="1709"/>
      <c r="AO624" s="1436" t="s">
        <v>454</v>
      </c>
      <c r="AP624" s="1436"/>
      <c r="AQ624" s="1436"/>
      <c r="AR624" s="1436"/>
      <c r="AS624" s="1436"/>
      <c r="AU624" s="3"/>
      <c r="AZ624" s="3"/>
      <c r="BA624" s="3"/>
      <c r="BB624" s="3"/>
      <c r="BC624" s="3"/>
    </row>
    <row r="625" spans="2:157" ht="12.95" customHeight="1">
      <c r="B625" s="1705"/>
      <c r="C625" s="1705"/>
      <c r="D625" s="1705"/>
      <c r="E625" s="1705"/>
      <c r="F625" s="1705"/>
      <c r="G625" s="1705"/>
      <c r="H625" s="1705"/>
      <c r="I625" s="1705"/>
      <c r="J625" s="1705"/>
      <c r="K625" s="1705"/>
      <c r="L625" s="1705"/>
      <c r="M625" s="1436"/>
      <c r="N625" s="1436"/>
      <c r="O625" s="1436"/>
      <c r="P625" s="1436"/>
      <c r="Q625" s="1436"/>
      <c r="R625" s="1436"/>
      <c r="S625" s="1436"/>
      <c r="T625" s="1436"/>
      <c r="U625" s="1436"/>
      <c r="V625" s="1436"/>
      <c r="W625" s="1706"/>
      <c r="X625" s="1706"/>
      <c r="Y625" s="1706"/>
      <c r="Z625" s="1430"/>
      <c r="AA625" s="1430"/>
      <c r="AB625" s="1431"/>
      <c r="AC625" s="1680"/>
      <c r="AD625" s="1681"/>
      <c r="AE625" s="1682"/>
      <c r="AF625" s="1687"/>
      <c r="AG625" s="1430"/>
      <c r="AH625" s="1430"/>
      <c r="AI625" s="1430"/>
      <c r="AJ625" s="1431"/>
      <c r="AK625" s="1710"/>
      <c r="AL625" s="1711"/>
      <c r="AM625" s="1711"/>
      <c r="AN625" s="1712"/>
      <c r="AO625" s="1436"/>
      <c r="AP625" s="1436"/>
      <c r="AQ625" s="1436"/>
      <c r="AR625" s="1436"/>
      <c r="AS625" s="1436"/>
      <c r="AU625" s="3"/>
      <c r="AZ625" s="3"/>
      <c r="BA625" s="3"/>
      <c r="BB625" s="3"/>
      <c r="BC625" s="3"/>
      <c r="BD625" s="3"/>
    </row>
    <row r="626" spans="2:157" ht="12.95" customHeight="1">
      <c r="B626" s="1705"/>
      <c r="C626" s="1705"/>
      <c r="D626" s="1705"/>
      <c r="E626" s="1705"/>
      <c r="F626" s="1705"/>
      <c r="G626" s="1705"/>
      <c r="H626" s="1705"/>
      <c r="I626" s="1705"/>
      <c r="J626" s="1705"/>
      <c r="K626" s="1705"/>
      <c r="L626" s="1705"/>
      <c r="M626" s="1436"/>
      <c r="N626" s="1436"/>
      <c r="O626" s="1436"/>
      <c r="P626" s="1436"/>
      <c r="Q626" s="1436"/>
      <c r="R626" s="1436"/>
      <c r="S626" s="1436"/>
      <c r="T626" s="1436"/>
      <c r="U626" s="1436"/>
      <c r="V626" s="1436"/>
      <c r="W626" s="1706"/>
      <c r="X626" s="1706"/>
      <c r="Y626" s="1706"/>
      <c r="Z626" s="1432"/>
      <c r="AA626" s="1432"/>
      <c r="AB626" s="1433"/>
      <c r="AC626" s="1683"/>
      <c r="AD626" s="1684"/>
      <c r="AE626" s="1685"/>
      <c r="AF626" s="1688"/>
      <c r="AG626" s="1432"/>
      <c r="AH626" s="1432"/>
      <c r="AI626" s="1432"/>
      <c r="AJ626" s="1433"/>
      <c r="AK626" s="1713"/>
      <c r="AL626" s="1714"/>
      <c r="AM626" s="1714"/>
      <c r="AN626" s="1715"/>
      <c r="AO626" s="1436"/>
      <c r="AP626" s="1436"/>
      <c r="AQ626" s="1436"/>
      <c r="AR626" s="1436"/>
      <c r="AS626" s="1436"/>
      <c r="AT626" s="3"/>
      <c r="AU626" s="3"/>
      <c r="AZ626" s="3"/>
      <c r="BA626" s="3"/>
      <c r="BB626" s="3"/>
      <c r="BC626" s="3"/>
      <c r="BD626" s="3"/>
    </row>
    <row r="627" spans="2:157" ht="12.95" customHeight="1">
      <c r="B627" s="51" t="s">
        <v>112</v>
      </c>
      <c r="C627" s="1698" t="s">
        <v>2721</v>
      </c>
      <c r="D627" s="1698"/>
      <c r="E627" s="1698"/>
      <c r="F627" s="1698"/>
      <c r="G627" s="1698"/>
      <c r="H627" s="1698"/>
      <c r="I627" s="1698"/>
      <c r="J627" s="1698"/>
      <c r="K627" s="1698"/>
      <c r="L627" s="1698"/>
      <c r="M627" s="1474" t="s">
        <v>2113</v>
      </c>
      <c r="N627" s="1474"/>
      <c r="O627" s="1474"/>
      <c r="P627" s="1474"/>
      <c r="Q627" s="1422">
        <v>180</v>
      </c>
      <c r="R627" s="1422"/>
      <c r="S627" s="1423"/>
      <c r="T627" s="1421">
        <v>480</v>
      </c>
      <c r="U627" s="1422"/>
      <c r="V627" s="1423"/>
      <c r="W627" s="1401">
        <v>5.8500000000000003E-2</v>
      </c>
      <c r="X627" s="1402"/>
      <c r="Y627" s="1403"/>
      <c r="Z627" s="1471" t="s">
        <v>2131</v>
      </c>
      <c r="AA627" s="1472"/>
      <c r="AB627" s="1473"/>
      <c r="AC627" s="1455">
        <v>1</v>
      </c>
      <c r="AD627" s="1456"/>
      <c r="AE627" s="1457"/>
      <c r="AF627" s="1468">
        <v>2440961</v>
      </c>
      <c r="AG627" s="1469"/>
      <c r="AH627" s="1469"/>
      <c r="AI627" s="1469"/>
      <c r="AJ627" s="1470"/>
      <c r="AK627" s="1424"/>
      <c r="AL627" s="1425"/>
      <c r="AM627" s="1425"/>
      <c r="AN627" s="1426"/>
      <c r="AO627" s="1487">
        <v>37683556</v>
      </c>
      <c r="AP627" s="1487"/>
      <c r="AQ627" s="1487"/>
      <c r="AR627" s="1487"/>
      <c r="AS627" s="1487"/>
      <c r="AT627" s="3"/>
      <c r="AU627" s="3"/>
      <c r="AZ627" s="3"/>
      <c r="BA627" s="3"/>
      <c r="BB627" s="3"/>
      <c r="BC627" s="3"/>
      <c r="BD627" s="3"/>
    </row>
    <row r="628" spans="2:157" ht="12.95" customHeight="1">
      <c r="B628" s="52" t="s">
        <v>113</v>
      </c>
      <c r="C628" s="1698" t="s">
        <v>2320</v>
      </c>
      <c r="D628" s="1698"/>
      <c r="E628" s="1698"/>
      <c r="F628" s="1698"/>
      <c r="G628" s="1698"/>
      <c r="H628" s="1698"/>
      <c r="I628" s="1698"/>
      <c r="J628" s="1698"/>
      <c r="K628" s="1698"/>
      <c r="L628" s="1698"/>
      <c r="M628" s="1474" t="s">
        <v>2106</v>
      </c>
      <c r="N628" s="1474"/>
      <c r="O628" s="1474"/>
      <c r="P628" s="1474"/>
      <c r="Q628" s="1421"/>
      <c r="R628" s="1422"/>
      <c r="S628" s="1423"/>
      <c r="T628" s="1421"/>
      <c r="U628" s="1422"/>
      <c r="V628" s="1423"/>
      <c r="W628" s="1401"/>
      <c r="X628" s="1402"/>
      <c r="Y628" s="1403"/>
      <c r="Z628" s="1471" t="s">
        <v>458</v>
      </c>
      <c r="AA628" s="1472"/>
      <c r="AB628" s="1473"/>
      <c r="AC628" s="1455"/>
      <c r="AD628" s="1456"/>
      <c r="AE628" s="1457"/>
      <c r="AF628" s="1468"/>
      <c r="AG628" s="1469"/>
      <c r="AH628" s="1469"/>
      <c r="AI628" s="1469"/>
      <c r="AJ628" s="1470"/>
      <c r="AK628" s="1424"/>
      <c r="AL628" s="1425"/>
      <c r="AM628" s="1425"/>
      <c r="AN628" s="1426"/>
      <c r="AO628" s="1483">
        <f>AM557</f>
        <v>10497331</v>
      </c>
      <c r="AP628" s="1484"/>
      <c r="AQ628" s="1484"/>
      <c r="AR628" s="1484"/>
      <c r="AS628" s="1485"/>
      <c r="AT628" s="1148" t="str">
        <f>IF(AND(NOT(C627=""),C628="",NOT(C629="")),"!","")</f>
        <v/>
      </c>
      <c r="AU628" s="3"/>
      <c r="AZ628" s="3"/>
      <c r="BA628" s="3"/>
      <c r="BB628" s="3"/>
      <c r="BC628" s="3"/>
      <c r="BD628" s="3"/>
    </row>
    <row r="629" spans="2:157" ht="12.95" customHeight="1">
      <c r="B629" s="52" t="s">
        <v>119</v>
      </c>
      <c r="C629" s="1698" t="s">
        <v>2733</v>
      </c>
      <c r="D629" s="1698"/>
      <c r="E629" s="1698"/>
      <c r="F629" s="1698"/>
      <c r="G629" s="1698"/>
      <c r="H629" s="1698"/>
      <c r="I629" s="1698"/>
      <c r="J629" s="1698"/>
      <c r="K629" s="1698"/>
      <c r="L629" s="1698"/>
      <c r="M629" s="1474" t="s">
        <v>2121</v>
      </c>
      <c r="N629" s="1474"/>
      <c r="O629" s="1474"/>
      <c r="P629" s="1474"/>
      <c r="Q629" s="1421"/>
      <c r="R629" s="1422"/>
      <c r="S629" s="1423"/>
      <c r="T629" s="1421"/>
      <c r="U629" s="1422"/>
      <c r="V629" s="1423"/>
      <c r="W629" s="1401"/>
      <c r="X629" s="1402"/>
      <c r="Y629" s="1403"/>
      <c r="Z629" s="1471" t="s">
        <v>299</v>
      </c>
      <c r="AA629" s="1472"/>
      <c r="AB629" s="1473"/>
      <c r="AC629" s="1455"/>
      <c r="AD629" s="1456"/>
      <c r="AE629" s="1457"/>
      <c r="AF629" s="1468"/>
      <c r="AG629" s="1469"/>
      <c r="AH629" s="1469"/>
      <c r="AI629" s="1469"/>
      <c r="AJ629" s="1470"/>
      <c r="AK629" s="1424"/>
      <c r="AL629" s="1425"/>
      <c r="AM629" s="1425"/>
      <c r="AN629" s="1426"/>
      <c r="AO629" s="1483">
        <v>1412957</v>
      </c>
      <c r="AP629" s="1484"/>
      <c r="AQ629" s="1484"/>
      <c r="AR629" s="1484"/>
      <c r="AS629" s="1485"/>
      <c r="AT629" s="1148" t="str">
        <f t="shared" ref="AT629:AT638" si="1">IF(AND(NOT(C628=""),C629="",NOT(C630="")),"!","")</f>
        <v/>
      </c>
      <c r="AU629" s="3"/>
      <c r="AZ629" s="3"/>
      <c r="BA629" s="3"/>
      <c r="BB629" s="3"/>
      <c r="BC629" s="3"/>
      <c r="BD629" s="3"/>
    </row>
    <row r="630" spans="2:157" ht="12.95" customHeight="1">
      <c r="B630" s="52" t="s">
        <v>581</v>
      </c>
      <c r="C630" s="1427"/>
      <c r="D630" s="1427"/>
      <c r="E630" s="1427"/>
      <c r="F630" s="1427"/>
      <c r="G630" s="1427"/>
      <c r="H630" s="1427"/>
      <c r="I630" s="1427"/>
      <c r="J630" s="1427"/>
      <c r="K630" s="1427"/>
      <c r="L630" s="1427"/>
      <c r="M630" s="1474" t="s">
        <v>1184</v>
      </c>
      <c r="N630" s="1474"/>
      <c r="O630" s="1474"/>
      <c r="P630" s="1474"/>
      <c r="Q630" s="1421"/>
      <c r="R630" s="1422"/>
      <c r="S630" s="1423"/>
      <c r="T630" s="1421"/>
      <c r="U630" s="1422"/>
      <c r="V630" s="1423"/>
      <c r="W630" s="1401"/>
      <c r="X630" s="1402"/>
      <c r="Y630" s="1403"/>
      <c r="Z630" s="1471" t="s">
        <v>1184</v>
      </c>
      <c r="AA630" s="1472"/>
      <c r="AB630" s="1473"/>
      <c r="AC630" s="1455"/>
      <c r="AD630" s="1456"/>
      <c r="AE630" s="1457"/>
      <c r="AF630" s="1468"/>
      <c r="AG630" s="1469"/>
      <c r="AH630" s="1469"/>
      <c r="AI630" s="1469"/>
      <c r="AJ630" s="1470"/>
      <c r="AK630" s="1424"/>
      <c r="AL630" s="1425"/>
      <c r="AM630" s="1425"/>
      <c r="AN630" s="1426"/>
      <c r="AO630" s="1483"/>
      <c r="AP630" s="1484"/>
      <c r="AQ630" s="1484"/>
      <c r="AR630" s="1484"/>
      <c r="AS630" s="1485"/>
      <c r="AT630" s="1148" t="str">
        <f t="shared" si="1"/>
        <v/>
      </c>
      <c r="AU630" s="3"/>
      <c r="AZ630" s="3"/>
      <c r="BA630" s="3"/>
      <c r="BB630" s="3"/>
      <c r="BC630" s="3"/>
      <c r="BD630" s="3"/>
    </row>
    <row r="631" spans="2:157" ht="12.95" customHeight="1">
      <c r="B631" s="52" t="s">
        <v>763</v>
      </c>
      <c r="C631" s="1427"/>
      <c r="D631" s="1427"/>
      <c r="E631" s="1427"/>
      <c r="F631" s="1427"/>
      <c r="G631" s="1427"/>
      <c r="H631" s="1427"/>
      <c r="I631" s="1427"/>
      <c r="J631" s="1427"/>
      <c r="K631" s="1427"/>
      <c r="L631" s="1427"/>
      <c r="M631" s="1474" t="s">
        <v>1184</v>
      </c>
      <c r="N631" s="1474"/>
      <c r="O631" s="1474"/>
      <c r="P631" s="1474"/>
      <c r="Q631" s="1421"/>
      <c r="R631" s="1422"/>
      <c r="S631" s="1423"/>
      <c r="T631" s="1421"/>
      <c r="U631" s="1422"/>
      <c r="V631" s="1423"/>
      <c r="W631" s="1401"/>
      <c r="X631" s="1402"/>
      <c r="Y631" s="1403"/>
      <c r="Z631" s="1471" t="s">
        <v>1184</v>
      </c>
      <c r="AA631" s="1472"/>
      <c r="AB631" s="1473"/>
      <c r="AC631" s="1455"/>
      <c r="AD631" s="1456"/>
      <c r="AE631" s="1457"/>
      <c r="AF631" s="1468"/>
      <c r="AG631" s="1469"/>
      <c r="AH631" s="1469"/>
      <c r="AI631" s="1469"/>
      <c r="AJ631" s="1470"/>
      <c r="AK631" s="1424"/>
      <c r="AL631" s="1425"/>
      <c r="AM631" s="1425"/>
      <c r="AN631" s="1426"/>
      <c r="AO631" s="1483"/>
      <c r="AP631" s="1484"/>
      <c r="AQ631" s="1484"/>
      <c r="AR631" s="1484"/>
      <c r="AS631" s="1485"/>
      <c r="AT631" s="1148" t="str">
        <f t="shared" si="1"/>
        <v/>
      </c>
      <c r="AU631" s="3"/>
      <c r="AZ631" s="3"/>
      <c r="BA631" s="3"/>
      <c r="BB631" s="3"/>
      <c r="BC631" s="3"/>
      <c r="BD631" s="3"/>
    </row>
    <row r="632" spans="2:157" ht="12.95" customHeight="1">
      <c r="B632" s="52" t="s">
        <v>584</v>
      </c>
      <c r="C632" s="1427"/>
      <c r="D632" s="1427"/>
      <c r="E632" s="1427"/>
      <c r="F632" s="1427"/>
      <c r="G632" s="1427"/>
      <c r="H632" s="1427"/>
      <c r="I632" s="1427"/>
      <c r="J632" s="1427"/>
      <c r="K632" s="1427"/>
      <c r="L632" s="1427"/>
      <c r="M632" s="1474" t="s">
        <v>1184</v>
      </c>
      <c r="N632" s="1474"/>
      <c r="O632" s="1474"/>
      <c r="P632" s="1474"/>
      <c r="Q632" s="1421"/>
      <c r="R632" s="1422"/>
      <c r="S632" s="1423"/>
      <c r="T632" s="1421"/>
      <c r="U632" s="1422"/>
      <c r="V632" s="1423"/>
      <c r="W632" s="1401"/>
      <c r="X632" s="1402"/>
      <c r="Y632" s="1403"/>
      <c r="Z632" s="1471" t="s">
        <v>1184</v>
      </c>
      <c r="AA632" s="1472"/>
      <c r="AB632" s="1473"/>
      <c r="AC632" s="1455"/>
      <c r="AD632" s="1456"/>
      <c r="AE632" s="1457"/>
      <c r="AF632" s="1468"/>
      <c r="AG632" s="1469"/>
      <c r="AH632" s="1469"/>
      <c r="AI632" s="1469"/>
      <c r="AJ632" s="1470"/>
      <c r="AK632" s="1424"/>
      <c r="AL632" s="1425"/>
      <c r="AM632" s="1425"/>
      <c r="AN632" s="1426"/>
      <c r="AO632" s="1483"/>
      <c r="AP632" s="1484"/>
      <c r="AQ632" s="1484"/>
      <c r="AR632" s="1484"/>
      <c r="AS632" s="1485"/>
      <c r="AT632" s="1148" t="str">
        <f t="shared" si="1"/>
        <v/>
      </c>
      <c r="AU632" s="3"/>
      <c r="AZ632" s="3"/>
      <c r="BA632" s="3"/>
      <c r="BB632" s="3"/>
      <c r="BC632" s="3"/>
      <c r="BD632" s="3"/>
    </row>
    <row r="633" spans="2:157" ht="12.95" customHeight="1">
      <c r="B633" s="52" t="s">
        <v>455</v>
      </c>
      <c r="C633" s="1427"/>
      <c r="D633" s="1427"/>
      <c r="E633" s="1427"/>
      <c r="F633" s="1427"/>
      <c r="G633" s="1427"/>
      <c r="H633" s="1427"/>
      <c r="I633" s="1427"/>
      <c r="J633" s="1427"/>
      <c r="K633" s="1427"/>
      <c r="L633" s="1427"/>
      <c r="M633" s="1474" t="s">
        <v>1184</v>
      </c>
      <c r="N633" s="1474"/>
      <c r="O633" s="1474"/>
      <c r="P633" s="1474"/>
      <c r="Q633" s="1421"/>
      <c r="R633" s="1422"/>
      <c r="S633" s="1423"/>
      <c r="T633" s="1421"/>
      <c r="U633" s="1422"/>
      <c r="V633" s="1423"/>
      <c r="W633" s="1401"/>
      <c r="X633" s="1402"/>
      <c r="Y633" s="1403"/>
      <c r="Z633" s="1471" t="s">
        <v>1184</v>
      </c>
      <c r="AA633" s="1472"/>
      <c r="AB633" s="1473"/>
      <c r="AC633" s="1455"/>
      <c r="AD633" s="1456"/>
      <c r="AE633" s="1457"/>
      <c r="AF633" s="1468"/>
      <c r="AG633" s="1469"/>
      <c r="AH633" s="1469"/>
      <c r="AI633" s="1469"/>
      <c r="AJ633" s="1470"/>
      <c r="AK633" s="1424"/>
      <c r="AL633" s="1425"/>
      <c r="AM633" s="1425"/>
      <c r="AN633" s="1426"/>
      <c r="AO633" s="1483"/>
      <c r="AP633" s="1484"/>
      <c r="AQ633" s="1484"/>
      <c r="AR633" s="1484"/>
      <c r="AS633" s="1485"/>
      <c r="AT633" s="1148" t="str">
        <f t="shared" si="1"/>
        <v/>
      </c>
      <c r="AU633" s="3"/>
      <c r="AV633" s="3"/>
      <c r="AW633" s="3"/>
      <c r="AX633" s="3"/>
      <c r="AY633" s="3"/>
      <c r="AZ633" s="3"/>
      <c r="BA633" s="3"/>
      <c r="BB633" s="3"/>
      <c r="BC633" s="3"/>
      <c r="BD633" s="3"/>
    </row>
    <row r="634" spans="2:157" ht="12.95" customHeight="1">
      <c r="B634" s="52" t="s">
        <v>456</v>
      </c>
      <c r="C634" s="1427"/>
      <c r="D634" s="1427"/>
      <c r="E634" s="1427"/>
      <c r="F634" s="1427"/>
      <c r="G634" s="1427"/>
      <c r="H634" s="1427"/>
      <c r="I634" s="1427"/>
      <c r="J634" s="1427"/>
      <c r="K634" s="1427"/>
      <c r="L634" s="1427"/>
      <c r="M634" s="1474" t="s">
        <v>1184</v>
      </c>
      <c r="N634" s="1474"/>
      <c r="O634" s="1474"/>
      <c r="P634" s="1474"/>
      <c r="Q634" s="1421"/>
      <c r="R634" s="1422"/>
      <c r="S634" s="1423"/>
      <c r="T634" s="1421"/>
      <c r="U634" s="1422"/>
      <c r="V634" s="1423"/>
      <c r="W634" s="1401"/>
      <c r="X634" s="1402"/>
      <c r="Y634" s="1403"/>
      <c r="Z634" s="1471" t="s">
        <v>1184</v>
      </c>
      <c r="AA634" s="1472"/>
      <c r="AB634" s="1473"/>
      <c r="AC634" s="1455"/>
      <c r="AD634" s="1456"/>
      <c r="AE634" s="1457"/>
      <c r="AF634" s="1468"/>
      <c r="AG634" s="1469"/>
      <c r="AH634" s="1469"/>
      <c r="AI634" s="1469"/>
      <c r="AJ634" s="1470"/>
      <c r="AK634" s="1424"/>
      <c r="AL634" s="1425"/>
      <c r="AM634" s="1425"/>
      <c r="AN634" s="1426"/>
      <c r="AO634" s="1483"/>
      <c r="AP634" s="1484"/>
      <c r="AQ634" s="1484"/>
      <c r="AR634" s="1484"/>
      <c r="AS634" s="1485"/>
      <c r="AT634" s="1148" t="str">
        <f t="shared" si="1"/>
        <v/>
      </c>
      <c r="AU634" s="3"/>
      <c r="AV634" s="3"/>
      <c r="AW634" s="3"/>
      <c r="AX634" s="3"/>
      <c r="AY634" s="3"/>
      <c r="AZ634" s="3"/>
      <c r="BA634" s="3" t="s">
        <v>1184</v>
      </c>
      <c r="BB634" s="3"/>
      <c r="BC634" s="3"/>
      <c r="BD634" s="3"/>
    </row>
    <row r="635" spans="2:157" ht="12.95" customHeight="1">
      <c r="B635" s="52" t="s">
        <v>461</v>
      </c>
      <c r="C635" s="1427"/>
      <c r="D635" s="1427"/>
      <c r="E635" s="1427"/>
      <c r="F635" s="1427"/>
      <c r="G635" s="1427"/>
      <c r="H635" s="1427"/>
      <c r="I635" s="1427"/>
      <c r="J635" s="1427"/>
      <c r="K635" s="1427"/>
      <c r="L635" s="1427"/>
      <c r="M635" s="1474" t="s">
        <v>1184</v>
      </c>
      <c r="N635" s="1474"/>
      <c r="O635" s="1474"/>
      <c r="P635" s="1474"/>
      <c r="Q635" s="1421"/>
      <c r="R635" s="1422"/>
      <c r="S635" s="1423"/>
      <c r="T635" s="1421"/>
      <c r="U635" s="1422"/>
      <c r="V635" s="1423"/>
      <c r="W635" s="1401"/>
      <c r="X635" s="1402"/>
      <c r="Y635" s="1403"/>
      <c r="Z635" s="1471" t="s">
        <v>1184</v>
      </c>
      <c r="AA635" s="1472"/>
      <c r="AB635" s="1473"/>
      <c r="AC635" s="1455"/>
      <c r="AD635" s="1456"/>
      <c r="AE635" s="1457"/>
      <c r="AF635" s="1468"/>
      <c r="AG635" s="1469"/>
      <c r="AH635" s="1469"/>
      <c r="AI635" s="1469"/>
      <c r="AJ635" s="1470"/>
      <c r="AK635" s="1424"/>
      <c r="AL635" s="1425"/>
      <c r="AM635" s="1425"/>
      <c r="AN635" s="1426"/>
      <c r="AO635" s="1483"/>
      <c r="AP635" s="1484"/>
      <c r="AQ635" s="1484"/>
      <c r="AR635" s="1484"/>
      <c r="AS635" s="1485"/>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4" t="e">
        <f t="shared" ref="DX635:DX669" si="2">EZ718*(CP718/$CP$753)</f>
        <v>#VALUE!</v>
      </c>
      <c r="DY635" s="1454"/>
      <c r="DZ635" s="1454"/>
      <c r="EA635" s="1454"/>
      <c r="EB635" s="1454"/>
      <c r="EC635" s="1454">
        <f t="shared" ref="EC635:EC669" si="3">FE718*(CU718/$CU$753)</f>
        <v>530.32258064516122</v>
      </c>
      <c r="ED635" s="1454"/>
      <c r="EE635" s="1454"/>
      <c r="EF635" s="1454"/>
      <c r="EG635" s="1454"/>
      <c r="EH635" s="1454" t="e">
        <f t="shared" ref="EH635:EH669" si="4">FJ718*(CZ718/$CZ$753)</f>
        <v>#VALUE!</v>
      </c>
      <c r="EI635" s="1454"/>
      <c r="EJ635" s="1454"/>
      <c r="EK635" s="1454"/>
      <c r="EL635" s="1454"/>
      <c r="EM635" s="1454" t="e">
        <f t="shared" ref="EM635:EM669" si="5">FO718*(DE718/$DE$753)</f>
        <v>#VALUE!</v>
      </c>
      <c r="EN635" s="1454"/>
      <c r="EO635" s="1454"/>
      <c r="EP635" s="1454"/>
      <c r="EQ635" s="1454"/>
      <c r="ER635" s="1454" t="e">
        <f t="shared" ref="ER635:ER669" si="6">FT718*(DJ718/$DJ$753)</f>
        <v>#VALUE!</v>
      </c>
      <c r="ES635" s="1454"/>
      <c r="ET635" s="1454"/>
      <c r="EU635" s="1454"/>
      <c r="EV635" s="1454"/>
      <c r="EW635" s="1454" t="e">
        <f t="shared" ref="EW635:EW669" si="7">FY718*(DO718/$DO$753)</f>
        <v>#VALUE!</v>
      </c>
      <c r="EX635" s="1454"/>
      <c r="EY635" s="1454"/>
      <c r="EZ635" s="1454"/>
      <c r="FA635" s="1454"/>
    </row>
    <row r="636" spans="2:157" ht="12.95" customHeight="1">
      <c r="B636" s="52" t="s">
        <v>646</v>
      </c>
      <c r="C636" s="1427"/>
      <c r="D636" s="1427"/>
      <c r="E636" s="1427"/>
      <c r="F636" s="1427"/>
      <c r="G636" s="1427"/>
      <c r="H636" s="1427"/>
      <c r="I636" s="1427"/>
      <c r="J636" s="1427"/>
      <c r="K636" s="1427"/>
      <c r="L636" s="1427"/>
      <c r="M636" s="1474" t="s">
        <v>1184</v>
      </c>
      <c r="N636" s="1474"/>
      <c r="O636" s="1474"/>
      <c r="P636" s="1474"/>
      <c r="Q636" s="1421"/>
      <c r="R636" s="1422"/>
      <c r="S636" s="1423"/>
      <c r="T636" s="1421"/>
      <c r="U636" s="1422"/>
      <c r="V636" s="1423"/>
      <c r="W636" s="1401"/>
      <c r="X636" s="1402"/>
      <c r="Y636" s="1403"/>
      <c r="Z636" s="1471" t="s">
        <v>1184</v>
      </c>
      <c r="AA636" s="1472"/>
      <c r="AB636" s="1473"/>
      <c r="AC636" s="1455"/>
      <c r="AD636" s="1456"/>
      <c r="AE636" s="1457"/>
      <c r="AF636" s="1468"/>
      <c r="AG636" s="1469"/>
      <c r="AH636" s="1469"/>
      <c r="AI636" s="1469"/>
      <c r="AJ636" s="1470"/>
      <c r="AK636" s="1424"/>
      <c r="AL636" s="1425"/>
      <c r="AM636" s="1425"/>
      <c r="AN636" s="1426"/>
      <c r="AO636" s="1483"/>
      <c r="AP636" s="1484"/>
      <c r="AQ636" s="1484"/>
      <c r="AR636" s="1484"/>
      <c r="AS636" s="1485"/>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54" t="e">
        <f t="shared" si="2"/>
        <v>#VALUE!</v>
      </c>
      <c r="DY636" s="1454"/>
      <c r="DZ636" s="1454"/>
      <c r="EA636" s="1454"/>
      <c r="EB636" s="1454"/>
      <c r="EC636" s="1454">
        <f t="shared" si="3"/>
        <v>694.41935483870975</v>
      </c>
      <c r="ED636" s="1454"/>
      <c r="EE636" s="1454"/>
      <c r="EF636" s="1454"/>
      <c r="EG636" s="1454"/>
      <c r="EH636" s="1454" t="e">
        <f t="shared" si="4"/>
        <v>#VALUE!</v>
      </c>
      <c r="EI636" s="1454"/>
      <c r="EJ636" s="1454"/>
      <c r="EK636" s="1454"/>
      <c r="EL636" s="1454"/>
      <c r="EM636" s="1454" t="e">
        <f t="shared" si="5"/>
        <v>#VALUE!</v>
      </c>
      <c r="EN636" s="1454"/>
      <c r="EO636" s="1454"/>
      <c r="EP636" s="1454"/>
      <c r="EQ636" s="1454"/>
      <c r="ER636" s="1454" t="e">
        <f t="shared" si="6"/>
        <v>#VALUE!</v>
      </c>
      <c r="ES636" s="1454"/>
      <c r="ET636" s="1454"/>
      <c r="EU636" s="1454"/>
      <c r="EV636" s="1454"/>
      <c r="EW636" s="1454" t="e">
        <f t="shared" si="7"/>
        <v>#VALUE!</v>
      </c>
      <c r="EX636" s="1454"/>
      <c r="EY636" s="1454"/>
      <c r="EZ636" s="1454"/>
      <c r="FA636" s="1454"/>
    </row>
    <row r="637" spans="2:157" ht="12.95" customHeight="1">
      <c r="B637" s="52" t="s">
        <v>361</v>
      </c>
      <c r="C637" s="1427"/>
      <c r="D637" s="1427"/>
      <c r="E637" s="1427"/>
      <c r="F637" s="1427"/>
      <c r="G637" s="1427"/>
      <c r="H637" s="1427"/>
      <c r="I637" s="1427"/>
      <c r="J637" s="1427"/>
      <c r="K637" s="1427"/>
      <c r="L637" s="1427"/>
      <c r="M637" s="1474" t="s">
        <v>1184</v>
      </c>
      <c r="N637" s="1474"/>
      <c r="O637" s="1474"/>
      <c r="P637" s="1474"/>
      <c r="Q637" s="1421"/>
      <c r="R637" s="1422"/>
      <c r="S637" s="1423"/>
      <c r="T637" s="1421"/>
      <c r="U637" s="1422"/>
      <c r="V637" s="1423"/>
      <c r="W637" s="1401"/>
      <c r="X637" s="1402"/>
      <c r="Y637" s="1403"/>
      <c r="Z637" s="1471" t="s">
        <v>1184</v>
      </c>
      <c r="AA637" s="1472"/>
      <c r="AB637" s="1473"/>
      <c r="AC637" s="1455"/>
      <c r="AD637" s="1456"/>
      <c r="AE637" s="1457"/>
      <c r="AF637" s="1468"/>
      <c r="AG637" s="1469"/>
      <c r="AH637" s="1469"/>
      <c r="AI637" s="1469"/>
      <c r="AJ637" s="1470"/>
      <c r="AK637" s="1424"/>
      <c r="AL637" s="1425"/>
      <c r="AM637" s="1425"/>
      <c r="AN637" s="1426"/>
      <c r="AO637" s="1483"/>
      <c r="AP637" s="1484"/>
      <c r="AQ637" s="1484"/>
      <c r="AR637" s="1484"/>
      <c r="AS637" s="1485"/>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54" t="e">
        <f t="shared" si="2"/>
        <v>#VALUE!</v>
      </c>
      <c r="DY637" s="1454"/>
      <c r="DZ637" s="1454"/>
      <c r="EA637" s="1454"/>
      <c r="EB637" s="1454"/>
      <c r="EC637" s="1454" t="e">
        <f t="shared" si="3"/>
        <v>#VALUE!</v>
      </c>
      <c r="ED637" s="1454"/>
      <c r="EE637" s="1454"/>
      <c r="EF637" s="1454"/>
      <c r="EG637" s="1454"/>
      <c r="EH637" s="1454">
        <f t="shared" si="4"/>
        <v>184.3125</v>
      </c>
      <c r="EI637" s="1454"/>
      <c r="EJ637" s="1454"/>
      <c r="EK637" s="1454"/>
      <c r="EL637" s="1454"/>
      <c r="EM637" s="1454" t="e">
        <f t="shared" si="5"/>
        <v>#VALUE!</v>
      </c>
      <c r="EN637" s="1454"/>
      <c r="EO637" s="1454"/>
      <c r="EP637" s="1454"/>
      <c r="EQ637" s="1454"/>
      <c r="ER637" s="1454" t="e">
        <f t="shared" si="6"/>
        <v>#VALUE!</v>
      </c>
      <c r="ES637" s="1454"/>
      <c r="ET637" s="1454"/>
      <c r="EU637" s="1454"/>
      <c r="EV637" s="1454"/>
      <c r="EW637" s="1454" t="e">
        <f t="shared" si="7"/>
        <v>#VALUE!</v>
      </c>
      <c r="EX637" s="1454"/>
      <c r="EY637" s="1454"/>
      <c r="EZ637" s="1454"/>
      <c r="FA637" s="1454"/>
    </row>
    <row r="638" spans="2:157" ht="12.95" customHeight="1">
      <c r="B638" s="52" t="s">
        <v>362</v>
      </c>
      <c r="C638" s="1427"/>
      <c r="D638" s="1427"/>
      <c r="E638" s="1427"/>
      <c r="F638" s="1427"/>
      <c r="G638" s="1427"/>
      <c r="H638" s="1427"/>
      <c r="I638" s="1427"/>
      <c r="J638" s="1427"/>
      <c r="K638" s="1427"/>
      <c r="L638" s="1427"/>
      <c r="M638" s="1474" t="s">
        <v>1184</v>
      </c>
      <c r="N638" s="1474"/>
      <c r="O638" s="1474"/>
      <c r="P638" s="1474"/>
      <c r="Q638" s="1421"/>
      <c r="R638" s="1422"/>
      <c r="S638" s="1423"/>
      <c r="T638" s="1421"/>
      <c r="U638" s="1422"/>
      <c r="V638" s="1423"/>
      <c r="W638" s="1401"/>
      <c r="X638" s="1402"/>
      <c r="Y638" s="1403"/>
      <c r="Z638" s="1471" t="s">
        <v>1184</v>
      </c>
      <c r="AA638" s="1472"/>
      <c r="AB638" s="1473"/>
      <c r="AC638" s="1455"/>
      <c r="AD638" s="1456"/>
      <c r="AE638" s="1457"/>
      <c r="AF638" s="1468"/>
      <c r="AG638" s="1469"/>
      <c r="AH638" s="1469"/>
      <c r="AI638" s="1469"/>
      <c r="AJ638" s="1470"/>
      <c r="AK638" s="1424"/>
      <c r="AL638" s="1425"/>
      <c r="AM638" s="1425"/>
      <c r="AN638" s="1426"/>
      <c r="AO638" s="1483"/>
      <c r="AP638" s="1484"/>
      <c r="AQ638" s="1484"/>
      <c r="AR638" s="1484"/>
      <c r="AS638" s="1485"/>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54" t="e">
        <f t="shared" si="2"/>
        <v>#VALUE!</v>
      </c>
      <c r="DY638" s="1454"/>
      <c r="DZ638" s="1454"/>
      <c r="EA638" s="1454"/>
      <c r="EB638" s="1454"/>
      <c r="EC638" s="1454" t="e">
        <f t="shared" si="3"/>
        <v>#VALUE!</v>
      </c>
      <c r="ED638" s="1454"/>
      <c r="EE638" s="1454"/>
      <c r="EF638" s="1454"/>
      <c r="EG638" s="1454"/>
      <c r="EH638" s="1454">
        <f t="shared" si="4"/>
        <v>451.125</v>
      </c>
      <c r="EI638" s="1454"/>
      <c r="EJ638" s="1454"/>
      <c r="EK638" s="1454"/>
      <c r="EL638" s="1454"/>
      <c r="EM638" s="1454" t="e">
        <f t="shared" si="5"/>
        <v>#VALUE!</v>
      </c>
      <c r="EN638" s="1454"/>
      <c r="EO638" s="1454"/>
      <c r="EP638" s="1454"/>
      <c r="EQ638" s="1454"/>
      <c r="ER638" s="1454" t="e">
        <f t="shared" si="6"/>
        <v>#VALUE!</v>
      </c>
      <c r="ES638" s="1454"/>
      <c r="ET638" s="1454"/>
      <c r="EU638" s="1454"/>
      <c r="EV638" s="1454"/>
      <c r="EW638" s="1454" t="e">
        <f t="shared" si="7"/>
        <v>#VALUE!</v>
      </c>
      <c r="EX638" s="1454"/>
      <c r="EY638" s="1454"/>
      <c r="EZ638" s="1454"/>
      <c r="FA638" s="1454"/>
    </row>
    <row r="639" spans="2:157" ht="12.95" customHeight="1">
      <c r="B639" s="1458" t="s">
        <v>128</v>
      </c>
      <c r="C639" s="1459"/>
      <c r="D639" s="1459"/>
      <c r="E639" s="1459"/>
      <c r="F639" s="1459"/>
      <c r="G639" s="1459"/>
      <c r="H639" s="1459"/>
      <c r="I639" s="1459"/>
      <c r="J639" s="1459"/>
      <c r="K639" s="1459"/>
      <c r="L639" s="1459"/>
      <c r="M639" s="1459"/>
      <c r="N639" s="1459"/>
      <c r="O639" s="1459"/>
      <c r="P639" s="1459"/>
      <c r="Q639" s="1459"/>
      <c r="R639" s="1459"/>
      <c r="S639" s="1459"/>
      <c r="T639" s="1459"/>
      <c r="U639" s="1459"/>
      <c r="V639" s="1459"/>
      <c r="W639" s="1459"/>
      <c r="X639" s="1459"/>
      <c r="Y639" s="1459"/>
      <c r="Z639" s="1459"/>
      <c r="AA639" s="1459"/>
      <c r="AB639" s="1459"/>
      <c r="AC639" s="1459"/>
      <c r="AD639" s="1459"/>
      <c r="AE639" s="1459"/>
      <c r="AF639" s="1459"/>
      <c r="AG639" s="1459"/>
      <c r="AH639" s="1459"/>
      <c r="AI639" s="1459"/>
      <c r="AJ639" s="1459"/>
      <c r="AK639" s="1459"/>
      <c r="AL639" s="1459"/>
      <c r="AM639" s="1459"/>
      <c r="AN639" s="1460"/>
      <c r="AO639" s="1629">
        <f>SUM(AO627:AR638)</f>
        <v>49593844</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4" t="e">
        <f t="shared" si="2"/>
        <v>#VALUE!</v>
      </c>
      <c r="DY639" s="1454"/>
      <c r="DZ639" s="1454"/>
      <c r="EA639" s="1454"/>
      <c r="EB639" s="1454"/>
      <c r="EC639" s="1454" t="e">
        <f t="shared" si="3"/>
        <v>#VALUE!</v>
      </c>
      <c r="ED639" s="1454"/>
      <c r="EE639" s="1454"/>
      <c r="EF639" s="1454"/>
      <c r="EG639" s="1454"/>
      <c r="EH639" s="1454">
        <f t="shared" si="4"/>
        <v>1378.2750000000001</v>
      </c>
      <c r="EI639" s="1454"/>
      <c r="EJ639" s="1454"/>
      <c r="EK639" s="1454"/>
      <c r="EL639" s="1454"/>
      <c r="EM639" s="1454" t="e">
        <f t="shared" si="5"/>
        <v>#VALUE!</v>
      </c>
      <c r="EN639" s="1454"/>
      <c r="EO639" s="1454"/>
      <c r="EP639" s="1454"/>
      <c r="EQ639" s="1454"/>
      <c r="ER639" s="1454" t="e">
        <f t="shared" si="6"/>
        <v>#VALUE!</v>
      </c>
      <c r="ES639" s="1454"/>
      <c r="ET639" s="1454"/>
      <c r="EU639" s="1454"/>
      <c r="EV639" s="1454"/>
      <c r="EW639" s="1454" t="e">
        <f t="shared" si="7"/>
        <v>#VALUE!</v>
      </c>
      <c r="EX639" s="1454"/>
      <c r="EY639" s="1454"/>
      <c r="EZ639" s="1454"/>
      <c r="FA639" s="1454"/>
    </row>
    <row r="640" spans="2:157" ht="12.95" customHeight="1">
      <c r="B640" s="1458" t="s">
        <v>266</v>
      </c>
      <c r="C640" s="1459"/>
      <c r="D640" s="1459"/>
      <c r="E640" s="1459"/>
      <c r="F640" s="1459"/>
      <c r="G640" s="1459"/>
      <c r="H640" s="1459"/>
      <c r="I640" s="1459"/>
      <c r="J640" s="1459"/>
      <c r="K640" s="1459"/>
      <c r="L640" s="1459"/>
      <c r="M640" s="1459"/>
      <c r="N640" s="1459"/>
      <c r="O640" s="1459"/>
      <c r="P640" s="1459"/>
      <c r="Q640" s="1459"/>
      <c r="R640" s="1459"/>
      <c r="S640" s="1459"/>
      <c r="T640" s="1459"/>
      <c r="U640" s="1459"/>
      <c r="V640" s="1459"/>
      <c r="W640" s="1459"/>
      <c r="X640" s="1459"/>
      <c r="Y640" s="1459"/>
      <c r="Z640" s="1459"/>
      <c r="AA640" s="1459"/>
      <c r="AB640" s="1459"/>
      <c r="AC640" s="1459"/>
      <c r="AD640" s="1459"/>
      <c r="AE640" s="1459"/>
      <c r="AF640" s="1459"/>
      <c r="AG640" s="1459"/>
      <c r="AH640" s="1459"/>
      <c r="AI640" s="1459"/>
      <c r="AJ640" s="1459"/>
      <c r="AK640" s="1459"/>
      <c r="AL640" s="1459"/>
      <c r="AM640" s="1459"/>
      <c r="AN640" s="1460"/>
      <c r="AO640" s="1483">
        <f>10350000+31739156</f>
        <v>42089156</v>
      </c>
      <c r="AP640" s="1484"/>
      <c r="AQ640" s="1484"/>
      <c r="AR640" s="1484"/>
      <c r="AS640" s="1485"/>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4" t="e">
        <f t="shared" si="2"/>
        <v>#VALUE!</v>
      </c>
      <c r="DY640" s="1454"/>
      <c r="DZ640" s="1454"/>
      <c r="EA640" s="1454"/>
      <c r="EB640" s="1454"/>
      <c r="EC640" s="1454" t="e">
        <f t="shared" si="3"/>
        <v>#VALUE!</v>
      </c>
      <c r="ED640" s="1454"/>
      <c r="EE640" s="1454"/>
      <c r="EF640" s="1454"/>
      <c r="EG640" s="1454"/>
      <c r="EH640" s="1454" t="e">
        <f t="shared" si="4"/>
        <v>#VALUE!</v>
      </c>
      <c r="EI640" s="1454"/>
      <c r="EJ640" s="1454"/>
      <c r="EK640" s="1454"/>
      <c r="EL640" s="1454"/>
      <c r="EM640" s="1454">
        <f t="shared" si="5"/>
        <v>2708</v>
      </c>
      <c r="EN640" s="1454"/>
      <c r="EO640" s="1454"/>
      <c r="EP640" s="1454"/>
      <c r="EQ640" s="1454"/>
      <c r="ER640" s="1454" t="e">
        <f t="shared" si="6"/>
        <v>#VALUE!</v>
      </c>
      <c r="ES640" s="1454"/>
      <c r="ET640" s="1454"/>
      <c r="EU640" s="1454"/>
      <c r="EV640" s="1454"/>
      <c r="EW640" s="1454" t="e">
        <f t="shared" si="7"/>
        <v>#VALUE!</v>
      </c>
      <c r="EX640" s="1454"/>
      <c r="EY640" s="1454"/>
      <c r="EZ640" s="1454"/>
      <c r="FA640" s="1454"/>
    </row>
    <row r="641" spans="1:157" ht="12.95" customHeight="1">
      <c r="B641" s="1689" t="s">
        <v>267</v>
      </c>
      <c r="C641" s="1690"/>
      <c r="D641" s="1690"/>
      <c r="E641" s="1690"/>
      <c r="F641" s="1690"/>
      <c r="G641" s="1690"/>
      <c r="H641" s="1690"/>
      <c r="I641" s="1690"/>
      <c r="J641" s="1690"/>
      <c r="K641" s="1690"/>
      <c r="L641" s="1690"/>
      <c r="M641" s="1690"/>
      <c r="N641" s="1690"/>
      <c r="O641" s="1690"/>
      <c r="P641" s="1690"/>
      <c r="Q641" s="1690"/>
      <c r="R641" s="1690"/>
      <c r="S641" s="1690"/>
      <c r="T641" s="1690"/>
      <c r="U641" s="1690"/>
      <c r="V641" s="1690"/>
      <c r="W641" s="1690"/>
      <c r="X641" s="1690"/>
      <c r="Y641" s="1690"/>
      <c r="Z641" s="1690"/>
      <c r="AA641" s="1690"/>
      <c r="AB641" s="1690"/>
      <c r="AC641" s="1690"/>
      <c r="AD641" s="1690"/>
      <c r="AE641" s="1690"/>
      <c r="AF641" s="1690"/>
      <c r="AG641" s="1690"/>
      <c r="AH641" s="1690"/>
      <c r="AI641" s="1690"/>
      <c r="AJ641" s="1690"/>
      <c r="AK641" s="1690"/>
      <c r="AL641" s="1690"/>
      <c r="AM641" s="1690"/>
      <c r="AN641" s="1691"/>
      <c r="AO641" s="1629">
        <f>AO639+AO640</f>
        <v>91683000</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4" t="e">
        <f t="shared" si="2"/>
        <v>#VALUE!</v>
      </c>
      <c r="DY641" s="1454"/>
      <c r="DZ641" s="1454"/>
      <c r="EA641" s="1454"/>
      <c r="EB641" s="1454"/>
      <c r="EC641" s="1454" t="e">
        <f t="shared" si="3"/>
        <v>#VALUE!</v>
      </c>
      <c r="ED641" s="1454"/>
      <c r="EE641" s="1454"/>
      <c r="EF641" s="1454"/>
      <c r="EG641" s="1454"/>
      <c r="EH641" s="1454" t="e">
        <f t="shared" si="4"/>
        <v>#VALUE!</v>
      </c>
      <c r="EI641" s="1454"/>
      <c r="EJ641" s="1454"/>
      <c r="EK641" s="1454"/>
      <c r="EL641" s="1454"/>
      <c r="EM641" s="1454" t="e">
        <f t="shared" si="5"/>
        <v>#VALUE!</v>
      </c>
      <c r="EN641" s="1454"/>
      <c r="EO641" s="1454"/>
      <c r="EP641" s="1454"/>
      <c r="EQ641" s="1454"/>
      <c r="ER641" s="1454" t="e">
        <f t="shared" si="6"/>
        <v>#VALUE!</v>
      </c>
      <c r="ES641" s="1454"/>
      <c r="ET641" s="1454"/>
      <c r="EU641" s="1454"/>
      <c r="EV641" s="1454"/>
      <c r="EW641" s="1454" t="e">
        <f t="shared" si="7"/>
        <v>#VALUE!</v>
      </c>
      <c r="EX641" s="1454"/>
      <c r="EY641" s="1454"/>
      <c r="EZ641" s="1454"/>
      <c r="FA641" s="145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4" t="e">
        <f t="shared" si="2"/>
        <v>#VALUE!</v>
      </c>
      <c r="DY642" s="1454"/>
      <c r="DZ642" s="1454"/>
      <c r="EA642" s="1454"/>
      <c r="EB642" s="1454"/>
      <c r="EC642" s="1454" t="e">
        <f t="shared" si="3"/>
        <v>#VALUE!</v>
      </c>
      <c r="ED642" s="1454"/>
      <c r="EE642" s="1454"/>
      <c r="EF642" s="1454"/>
      <c r="EG642" s="1454"/>
      <c r="EH642" s="1454" t="e">
        <f t="shared" si="4"/>
        <v>#VALUE!</v>
      </c>
      <c r="EI642" s="1454"/>
      <c r="EJ642" s="1454"/>
      <c r="EK642" s="1454"/>
      <c r="EL642" s="1454"/>
      <c r="EM642" s="1454" t="e">
        <f t="shared" si="5"/>
        <v>#VALUE!</v>
      </c>
      <c r="EN642" s="1454"/>
      <c r="EO642" s="1454"/>
      <c r="EP642" s="1454"/>
      <c r="EQ642" s="1454"/>
      <c r="ER642" s="1454" t="e">
        <f t="shared" si="6"/>
        <v>#VALUE!</v>
      </c>
      <c r="ES642" s="1454"/>
      <c r="ET642" s="1454"/>
      <c r="EU642" s="1454"/>
      <c r="EV642" s="1454"/>
      <c r="EW642" s="1454" t="e">
        <f t="shared" si="7"/>
        <v>#VALUE!</v>
      </c>
      <c r="EX642" s="1454"/>
      <c r="EY642" s="1454"/>
      <c r="EZ642" s="1454"/>
      <c r="FA642" s="1454"/>
    </row>
    <row r="643" spans="1:157" ht="12.95" customHeight="1">
      <c r="A643" s="55" t="s">
        <v>112</v>
      </c>
      <c r="B643" t="s">
        <v>463</v>
      </c>
      <c r="G643" s="1400" t="str">
        <f>C627</f>
        <v>Citi-Tax Exempt Permanent</v>
      </c>
      <c r="H643" s="1400"/>
      <c r="I643" s="1400"/>
      <c r="J643" s="1400"/>
      <c r="K643" s="1400"/>
      <c r="L643" s="1400"/>
      <c r="M643" s="1400"/>
      <c r="N643" s="1400"/>
      <c r="O643" s="1400"/>
      <c r="P643" s="1400"/>
      <c r="Q643" s="1400"/>
      <c r="R643" s="1400"/>
      <c r="S643" s="8"/>
      <c r="T643" s="55" t="s">
        <v>113</v>
      </c>
      <c r="U643" t="s">
        <v>463</v>
      </c>
      <c r="Z643" s="1400" t="str">
        <f>C628</f>
        <v>Deferred Developer Fee</v>
      </c>
      <c r="AA643" s="1400"/>
      <c r="AB643" s="1400"/>
      <c r="AC643" s="1400"/>
      <c r="AD643" s="1400"/>
      <c r="AE643" s="1400"/>
      <c r="AF643" s="1400"/>
      <c r="AG643" s="1400"/>
      <c r="AH643" s="1400"/>
      <c r="AI643" s="1400"/>
      <c r="AJ643" s="1400"/>
      <c r="AK643" s="140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4" t="e">
        <f t="shared" si="2"/>
        <v>#VALUE!</v>
      </c>
      <c r="DY643" s="1454"/>
      <c r="DZ643" s="1454"/>
      <c r="EA643" s="1454"/>
      <c r="EB643" s="1454"/>
      <c r="EC643" s="1454" t="e">
        <f t="shared" si="3"/>
        <v>#VALUE!</v>
      </c>
      <c r="ED643" s="1454"/>
      <c r="EE643" s="1454"/>
      <c r="EF643" s="1454"/>
      <c r="EG643" s="1454"/>
      <c r="EH643" s="1454" t="e">
        <f t="shared" si="4"/>
        <v>#VALUE!</v>
      </c>
      <c r="EI643" s="1454"/>
      <c r="EJ643" s="1454"/>
      <c r="EK643" s="1454"/>
      <c r="EL643" s="1454"/>
      <c r="EM643" s="1454" t="e">
        <f t="shared" si="5"/>
        <v>#VALUE!</v>
      </c>
      <c r="EN643" s="1454"/>
      <c r="EO643" s="1454"/>
      <c r="EP643" s="1454"/>
      <c r="EQ643" s="1454"/>
      <c r="ER643" s="1454" t="e">
        <f t="shared" si="6"/>
        <v>#VALUE!</v>
      </c>
      <c r="ES643" s="1454"/>
      <c r="ET643" s="1454"/>
      <c r="EU643" s="1454"/>
      <c r="EV643" s="1454"/>
      <c r="EW643" s="1454" t="e">
        <f t="shared" si="7"/>
        <v>#VALUE!</v>
      </c>
      <c r="EX643" s="1454"/>
      <c r="EY643" s="1454"/>
      <c r="EZ643" s="1454"/>
      <c r="FA643" s="1454"/>
    </row>
    <row r="644" spans="1:157" ht="12.95" customHeight="1">
      <c r="A644" s="22"/>
      <c r="B644" t="s">
        <v>85</v>
      </c>
      <c r="G644" s="1360" t="s">
        <v>2709</v>
      </c>
      <c r="H644" s="1360"/>
      <c r="I644" s="1360"/>
      <c r="J644" s="1360"/>
      <c r="K644" s="1360"/>
      <c r="L644" s="1360"/>
      <c r="M644" s="1360"/>
      <c r="N644" s="1360"/>
      <c r="O644" s="1360"/>
      <c r="P644" s="1360"/>
      <c r="Q644" s="1360"/>
      <c r="R644" s="1360"/>
      <c r="S644" s="8"/>
      <c r="T644" s="22"/>
      <c r="U644" t="s">
        <v>85</v>
      </c>
      <c r="Z644" s="1359" t="s">
        <v>2724</v>
      </c>
      <c r="AA644" s="1360"/>
      <c r="AB644" s="1360"/>
      <c r="AC644" s="1360"/>
      <c r="AD644" s="1360"/>
      <c r="AE644" s="1360"/>
      <c r="AF644" s="1360"/>
      <c r="AG644" s="1360"/>
      <c r="AH644" s="1360"/>
      <c r="AI644" s="1360"/>
      <c r="AJ644" s="1360"/>
      <c r="AK644" s="1360"/>
      <c r="AV644" s="3"/>
      <c r="AW644" s="3"/>
      <c r="AX644" s="3"/>
      <c r="AY644" s="3"/>
      <c r="AZ644" s="3"/>
      <c r="BA644" s="3"/>
      <c r="BB644" s="3"/>
      <c r="BC644" s="3"/>
      <c r="BD644" s="3"/>
      <c r="BE644" s="3"/>
      <c r="BF644" s="3"/>
      <c r="BG644" s="3"/>
      <c r="BH644" s="3"/>
      <c r="BI644" s="3"/>
      <c r="BJ644" s="3"/>
      <c r="BK644" s="3"/>
      <c r="BL644" s="3"/>
      <c r="BM644" s="3"/>
      <c r="DX644" s="1454" t="e">
        <f t="shared" si="2"/>
        <v>#VALUE!</v>
      </c>
      <c r="DY644" s="1454"/>
      <c r="DZ644" s="1454"/>
      <c r="EA644" s="1454"/>
      <c r="EB644" s="1454"/>
      <c r="EC644" s="1454" t="e">
        <f t="shared" si="3"/>
        <v>#VALUE!</v>
      </c>
      <c r="ED644" s="1454"/>
      <c r="EE644" s="1454"/>
      <c r="EF644" s="1454"/>
      <c r="EG644" s="1454"/>
      <c r="EH644" s="1454" t="e">
        <f t="shared" si="4"/>
        <v>#VALUE!</v>
      </c>
      <c r="EI644" s="1454"/>
      <c r="EJ644" s="1454"/>
      <c r="EK644" s="1454"/>
      <c r="EL644" s="1454"/>
      <c r="EM644" s="1454" t="e">
        <f t="shared" si="5"/>
        <v>#VALUE!</v>
      </c>
      <c r="EN644" s="1454"/>
      <c r="EO644" s="1454"/>
      <c r="EP644" s="1454"/>
      <c r="EQ644" s="1454"/>
      <c r="ER644" s="1454" t="e">
        <f t="shared" si="6"/>
        <v>#VALUE!</v>
      </c>
      <c r="ES644" s="1454"/>
      <c r="ET644" s="1454"/>
      <c r="EU644" s="1454"/>
      <c r="EV644" s="1454"/>
      <c r="EW644" s="1454" t="e">
        <f t="shared" si="7"/>
        <v>#VALUE!</v>
      </c>
      <c r="EX644" s="1454"/>
      <c r="EY644" s="1454"/>
      <c r="EZ644" s="1454"/>
      <c r="FA644" s="1454"/>
    </row>
    <row r="645" spans="1:157" ht="12.95" customHeight="1">
      <c r="A645" s="22"/>
      <c r="B645" t="s">
        <v>580</v>
      </c>
      <c r="G645" s="1360" t="s">
        <v>2710</v>
      </c>
      <c r="H645" s="1360"/>
      <c r="I645" s="1360"/>
      <c r="J645" s="1360"/>
      <c r="K645" s="1360"/>
      <c r="L645" s="1360"/>
      <c r="M645" s="1360"/>
      <c r="N645" s="1360"/>
      <c r="O645" s="1360"/>
      <c r="P645" s="1360"/>
      <c r="Q645" s="1360"/>
      <c r="R645" s="1360"/>
      <c r="T645" s="22"/>
      <c r="U645" t="s">
        <v>580</v>
      </c>
      <c r="Z645" s="1549" t="s">
        <v>2718</v>
      </c>
      <c r="AA645" s="1467"/>
      <c r="AB645" s="1467"/>
      <c r="AC645" s="1467"/>
      <c r="AD645" s="1467"/>
      <c r="AE645" s="1467"/>
      <c r="AF645" s="1467"/>
      <c r="AG645" s="1467"/>
      <c r="AH645" s="1467"/>
      <c r="AI645" s="1467"/>
      <c r="AJ645" s="1467"/>
      <c r="AK645" s="1467"/>
      <c r="AV645" s="3"/>
      <c r="AW645" s="3"/>
      <c r="AX645" s="3"/>
      <c r="AY645" s="3"/>
      <c r="AZ645" s="3"/>
      <c r="BA645" s="3"/>
      <c r="BB645" s="3"/>
      <c r="BC645" s="3"/>
      <c r="BD645" s="3"/>
      <c r="BE645" s="3"/>
      <c r="BF645" s="3"/>
      <c r="BG645" s="3"/>
      <c r="BH645" s="3"/>
      <c r="BI645" s="3"/>
      <c r="BJ645" s="3"/>
      <c r="BK645" s="3"/>
      <c r="BL645" s="3"/>
      <c r="BM645" s="3"/>
      <c r="DX645" s="1454" t="e">
        <f t="shared" si="2"/>
        <v>#VALUE!</v>
      </c>
      <c r="DY645" s="1454"/>
      <c r="DZ645" s="1454"/>
      <c r="EA645" s="1454"/>
      <c r="EB645" s="1454"/>
      <c r="EC645" s="1454" t="e">
        <f t="shared" si="3"/>
        <v>#VALUE!</v>
      </c>
      <c r="ED645" s="1454"/>
      <c r="EE645" s="1454"/>
      <c r="EF645" s="1454"/>
      <c r="EG645" s="1454"/>
      <c r="EH645" s="1454" t="e">
        <f t="shared" si="4"/>
        <v>#VALUE!</v>
      </c>
      <c r="EI645" s="1454"/>
      <c r="EJ645" s="1454"/>
      <c r="EK645" s="1454"/>
      <c r="EL645" s="1454"/>
      <c r="EM645" s="1454" t="e">
        <f t="shared" si="5"/>
        <v>#VALUE!</v>
      </c>
      <c r="EN645" s="1454"/>
      <c r="EO645" s="1454"/>
      <c r="EP645" s="1454"/>
      <c r="EQ645" s="1454"/>
      <c r="ER645" s="1454" t="e">
        <f t="shared" si="6"/>
        <v>#VALUE!</v>
      </c>
      <c r="ES645" s="1454"/>
      <c r="ET645" s="1454"/>
      <c r="EU645" s="1454"/>
      <c r="EV645" s="1454"/>
      <c r="EW645" s="1454" t="e">
        <f t="shared" si="7"/>
        <v>#VALUE!</v>
      </c>
      <c r="EX645" s="1454"/>
      <c r="EY645" s="1454"/>
      <c r="EZ645" s="1454"/>
      <c r="FA645" s="1454"/>
    </row>
    <row r="646" spans="1:157" ht="12.95" customHeight="1">
      <c r="A646" s="22"/>
      <c r="B646" t="s">
        <v>17</v>
      </c>
      <c r="G646" s="1359" t="s">
        <v>2711</v>
      </c>
      <c r="H646" s="1360"/>
      <c r="I646" s="1360"/>
      <c r="J646" s="1360"/>
      <c r="K646" s="1360"/>
      <c r="L646" s="1360"/>
      <c r="M646" s="1360"/>
      <c r="N646" s="1360"/>
      <c r="O646" s="1360"/>
      <c r="P646" s="1360"/>
      <c r="Q646" s="1360"/>
      <c r="R646" s="1360"/>
      <c r="S646" s="8"/>
      <c r="T646" s="22"/>
      <c r="U646" t="s">
        <v>17</v>
      </c>
      <c r="Z646" s="1549" t="s">
        <v>2633</v>
      </c>
      <c r="AA646" s="1467"/>
      <c r="AB646" s="1467"/>
      <c r="AC646" s="1467"/>
      <c r="AD646" s="1467"/>
      <c r="AE646" s="1467"/>
      <c r="AF646" s="1467"/>
      <c r="AG646" s="1467"/>
      <c r="AH646" s="1467"/>
      <c r="AI646" s="1467"/>
      <c r="AJ646" s="1467"/>
      <c r="AK646" s="1467"/>
      <c r="AZ646" s="3"/>
      <c r="BA646" s="3"/>
      <c r="BB646" s="3"/>
      <c r="BC646" s="3"/>
      <c r="BD646" s="3"/>
      <c r="BE646" s="3"/>
      <c r="BF646" s="3"/>
      <c r="BG646" s="3"/>
      <c r="BH646" s="3"/>
      <c r="BI646" s="3"/>
      <c r="BJ646" s="3"/>
      <c r="BK646" s="3"/>
      <c r="BL646" s="3"/>
      <c r="BM646" s="3"/>
      <c r="DX646" s="1454" t="e">
        <f t="shared" si="2"/>
        <v>#VALUE!</v>
      </c>
      <c r="DY646" s="1454"/>
      <c r="DZ646" s="1454"/>
      <c r="EA646" s="1454"/>
      <c r="EB646" s="1454"/>
      <c r="EC646" s="1454" t="e">
        <f t="shared" si="3"/>
        <v>#VALUE!</v>
      </c>
      <c r="ED646" s="1454"/>
      <c r="EE646" s="1454"/>
      <c r="EF646" s="1454"/>
      <c r="EG646" s="1454"/>
      <c r="EH646" s="1454" t="e">
        <f t="shared" si="4"/>
        <v>#VALUE!</v>
      </c>
      <c r="EI646" s="1454"/>
      <c r="EJ646" s="1454"/>
      <c r="EK646" s="1454"/>
      <c r="EL646" s="1454"/>
      <c r="EM646" s="1454" t="e">
        <f t="shared" si="5"/>
        <v>#VALUE!</v>
      </c>
      <c r="EN646" s="1454"/>
      <c r="EO646" s="1454"/>
      <c r="EP646" s="1454"/>
      <c r="EQ646" s="1454"/>
      <c r="ER646" s="1454" t="e">
        <f t="shared" si="6"/>
        <v>#VALUE!</v>
      </c>
      <c r="ES646" s="1454"/>
      <c r="ET646" s="1454"/>
      <c r="EU646" s="1454"/>
      <c r="EV646" s="1454"/>
      <c r="EW646" s="1454" t="e">
        <f t="shared" si="7"/>
        <v>#VALUE!</v>
      </c>
      <c r="EX646" s="1454"/>
      <c r="EY646" s="1454"/>
      <c r="EZ646" s="1454"/>
      <c r="FA646" s="1454"/>
    </row>
    <row r="647" spans="1:157" ht="12.95" customHeight="1">
      <c r="A647" s="22"/>
      <c r="B647" t="s">
        <v>315</v>
      </c>
      <c r="G647" s="1357" t="s">
        <v>2722</v>
      </c>
      <c r="H647" s="1358"/>
      <c r="I647" s="1358"/>
      <c r="J647" s="1358"/>
      <c r="K647" s="1358"/>
      <c r="L647" s="1358"/>
      <c r="O647" s="33" t="s">
        <v>205</v>
      </c>
      <c r="P647" s="1434"/>
      <c r="Q647" s="1434"/>
      <c r="R647" s="1434"/>
      <c r="S647" s="10"/>
      <c r="T647" s="22"/>
      <c r="U647" t="s">
        <v>315</v>
      </c>
      <c r="Z647" s="1357" t="s">
        <v>2634</v>
      </c>
      <c r="AA647" s="1358"/>
      <c r="AB647" s="1358"/>
      <c r="AC647" s="1358"/>
      <c r="AD647" s="1358"/>
      <c r="AE647" s="1358"/>
      <c r="AH647" s="33" t="s">
        <v>205</v>
      </c>
      <c r="AI647" s="1434"/>
      <c r="AJ647" s="1434"/>
      <c r="AK647" s="1434"/>
      <c r="AZ647" s="34"/>
      <c r="BA647" s="34"/>
      <c r="BB647" s="34"/>
      <c r="BC647" s="34"/>
      <c r="BD647" s="34"/>
      <c r="BE647" s="34"/>
      <c r="BF647" s="34"/>
      <c r="BG647" s="34"/>
      <c r="BH647" s="34"/>
      <c r="BI647" s="34"/>
      <c r="BJ647" s="34"/>
      <c r="BK647" s="34"/>
      <c r="BL647" s="34"/>
      <c r="BM647" s="34"/>
      <c r="DX647" s="1454" t="e">
        <f t="shared" si="2"/>
        <v>#VALUE!</v>
      </c>
      <c r="DY647" s="1454"/>
      <c r="DZ647" s="1454"/>
      <c r="EA647" s="1454"/>
      <c r="EB647" s="1454"/>
      <c r="EC647" s="1454" t="e">
        <f t="shared" si="3"/>
        <v>#VALUE!</v>
      </c>
      <c r="ED647" s="1454"/>
      <c r="EE647" s="1454"/>
      <c r="EF647" s="1454"/>
      <c r="EG647" s="1454"/>
      <c r="EH647" s="1454" t="e">
        <f t="shared" si="4"/>
        <v>#VALUE!</v>
      </c>
      <c r="EI647" s="1454"/>
      <c r="EJ647" s="1454"/>
      <c r="EK647" s="1454"/>
      <c r="EL647" s="1454"/>
      <c r="EM647" s="1454" t="e">
        <f t="shared" si="5"/>
        <v>#VALUE!</v>
      </c>
      <c r="EN647" s="1454"/>
      <c r="EO647" s="1454"/>
      <c r="EP647" s="1454"/>
      <c r="EQ647" s="1454"/>
      <c r="ER647" s="1454" t="e">
        <f t="shared" si="6"/>
        <v>#VALUE!</v>
      </c>
      <c r="ES647" s="1454"/>
      <c r="ET647" s="1454"/>
      <c r="EU647" s="1454"/>
      <c r="EV647" s="1454"/>
      <c r="EW647" s="1454" t="e">
        <f t="shared" si="7"/>
        <v>#VALUE!</v>
      </c>
      <c r="EX647" s="1454"/>
      <c r="EY647" s="1454"/>
      <c r="EZ647" s="1454"/>
      <c r="FA647" s="1454"/>
    </row>
    <row r="648" spans="1:157" ht="12.95" customHeight="1">
      <c r="A648" s="22"/>
      <c r="B648" t="s">
        <v>18</v>
      </c>
      <c r="H648" s="1360" t="s">
        <v>2723</v>
      </c>
      <c r="I648" s="1360"/>
      <c r="J648" s="1360"/>
      <c r="K648" s="1360"/>
      <c r="L648" s="1360"/>
      <c r="M648" s="1360"/>
      <c r="N648" s="1360"/>
      <c r="O648" s="1360"/>
      <c r="P648" s="1360"/>
      <c r="Q648" s="1360"/>
      <c r="R648" s="1360"/>
      <c r="S648" s="8"/>
      <c r="T648" s="22"/>
      <c r="U648" t="s">
        <v>18</v>
      </c>
      <c r="AA648" s="1360" t="s">
        <v>2707</v>
      </c>
      <c r="AB648" s="1360"/>
      <c r="AC648" s="1360"/>
      <c r="AD648" s="1360"/>
      <c r="AE648" s="1360"/>
      <c r="AF648" s="1360"/>
      <c r="AG648" s="1360"/>
      <c r="AH648" s="1360"/>
      <c r="AI648" s="1360"/>
      <c r="AJ648" s="1360"/>
      <c r="AK648" s="1360"/>
      <c r="AZ648" s="34"/>
      <c r="BA648" s="34"/>
      <c r="BB648" s="34"/>
      <c r="BC648" s="34"/>
      <c r="BD648" s="34"/>
      <c r="BE648" s="34"/>
      <c r="BF648" s="34"/>
      <c r="BG648" s="34"/>
      <c r="BH648" s="34"/>
      <c r="BI648" s="34"/>
      <c r="BJ648" s="34"/>
      <c r="BK648" s="34"/>
      <c r="BL648" s="34"/>
      <c r="BM648" s="34"/>
      <c r="DX648" s="1454" t="e">
        <f t="shared" si="2"/>
        <v>#VALUE!</v>
      </c>
      <c r="DY648" s="1454"/>
      <c r="DZ648" s="1454"/>
      <c r="EA648" s="1454"/>
      <c r="EB648" s="1454"/>
      <c r="EC648" s="1454" t="e">
        <f t="shared" si="3"/>
        <v>#VALUE!</v>
      </c>
      <c r="ED648" s="1454"/>
      <c r="EE648" s="1454"/>
      <c r="EF648" s="1454"/>
      <c r="EG648" s="1454"/>
      <c r="EH648" s="1454" t="e">
        <f t="shared" si="4"/>
        <v>#VALUE!</v>
      </c>
      <c r="EI648" s="1454"/>
      <c r="EJ648" s="1454"/>
      <c r="EK648" s="1454"/>
      <c r="EL648" s="1454"/>
      <c r="EM648" s="1454" t="e">
        <f t="shared" si="5"/>
        <v>#VALUE!</v>
      </c>
      <c r="EN648" s="1454"/>
      <c r="EO648" s="1454"/>
      <c r="EP648" s="1454"/>
      <c r="EQ648" s="1454"/>
      <c r="ER648" s="1454" t="e">
        <f t="shared" si="6"/>
        <v>#VALUE!</v>
      </c>
      <c r="ES648" s="1454"/>
      <c r="ET648" s="1454"/>
      <c r="EU648" s="1454"/>
      <c r="EV648" s="1454"/>
      <c r="EW648" s="1454" t="e">
        <f t="shared" si="7"/>
        <v>#VALUE!</v>
      </c>
      <c r="EX648" s="1454"/>
      <c r="EY648" s="1454"/>
      <c r="EZ648" s="1454"/>
      <c r="FA648" s="1454"/>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54" t="e">
        <f t="shared" si="2"/>
        <v>#VALUE!</v>
      </c>
      <c r="DY649" s="1454"/>
      <c r="DZ649" s="1454"/>
      <c r="EA649" s="1454"/>
      <c r="EB649" s="1454"/>
      <c r="EC649" s="1454" t="e">
        <f t="shared" si="3"/>
        <v>#VALUE!</v>
      </c>
      <c r="ED649" s="1454"/>
      <c r="EE649" s="1454"/>
      <c r="EF649" s="1454"/>
      <c r="EG649" s="1454"/>
      <c r="EH649" s="1454" t="e">
        <f t="shared" si="4"/>
        <v>#VALUE!</v>
      </c>
      <c r="EI649" s="1454"/>
      <c r="EJ649" s="1454"/>
      <c r="EK649" s="1454"/>
      <c r="EL649" s="1454"/>
      <c r="EM649" s="1454" t="e">
        <f t="shared" si="5"/>
        <v>#VALUE!</v>
      </c>
      <c r="EN649" s="1454"/>
      <c r="EO649" s="1454"/>
      <c r="EP649" s="1454"/>
      <c r="EQ649" s="1454"/>
      <c r="ER649" s="1454" t="e">
        <f t="shared" si="6"/>
        <v>#VALUE!</v>
      </c>
      <c r="ES649" s="1454"/>
      <c r="ET649" s="1454"/>
      <c r="EU649" s="1454"/>
      <c r="EV649" s="1454"/>
      <c r="EW649" s="1454" t="e">
        <f t="shared" si="7"/>
        <v>#VALUE!</v>
      </c>
      <c r="EX649" s="1454"/>
      <c r="EY649" s="1454"/>
      <c r="EZ649" s="1454"/>
      <c r="FA649" s="1454"/>
    </row>
    <row r="650" spans="1:157" ht="12.95" customHeight="1">
      <c r="A650" s="22"/>
      <c r="T650" s="22"/>
      <c r="AZ650" s="34"/>
      <c r="BA650" s="34"/>
      <c r="BB650" s="34"/>
      <c r="BC650" s="34"/>
      <c r="BD650" s="34"/>
      <c r="BE650" s="34"/>
      <c r="BF650" s="34"/>
      <c r="BG650" s="34"/>
      <c r="BH650" s="34"/>
      <c r="BI650" s="34"/>
      <c r="BJ650" s="34"/>
      <c r="BK650" s="34"/>
      <c r="BL650" s="34"/>
      <c r="BM650" s="34"/>
      <c r="DX650" s="1454" t="e">
        <f t="shared" si="2"/>
        <v>#VALUE!</v>
      </c>
      <c r="DY650" s="1454"/>
      <c r="DZ650" s="1454"/>
      <c r="EA650" s="1454"/>
      <c r="EB650" s="1454"/>
      <c r="EC650" s="1454" t="e">
        <f t="shared" si="3"/>
        <v>#VALUE!</v>
      </c>
      <c r="ED650" s="1454"/>
      <c r="EE650" s="1454"/>
      <c r="EF650" s="1454"/>
      <c r="EG650" s="1454"/>
      <c r="EH650" s="1454" t="e">
        <f t="shared" si="4"/>
        <v>#VALUE!</v>
      </c>
      <c r="EI650" s="1454"/>
      <c r="EJ650" s="1454"/>
      <c r="EK650" s="1454"/>
      <c r="EL650" s="1454"/>
      <c r="EM650" s="1454" t="e">
        <f t="shared" si="5"/>
        <v>#VALUE!</v>
      </c>
      <c r="EN650" s="1454"/>
      <c r="EO650" s="1454"/>
      <c r="EP650" s="1454"/>
      <c r="EQ650" s="1454"/>
      <c r="ER650" s="1454" t="e">
        <f t="shared" si="6"/>
        <v>#VALUE!</v>
      </c>
      <c r="ES650" s="1454"/>
      <c r="ET650" s="1454"/>
      <c r="EU650" s="1454"/>
      <c r="EV650" s="1454"/>
      <c r="EW650" s="1454" t="e">
        <f t="shared" si="7"/>
        <v>#VALUE!</v>
      </c>
      <c r="EX650" s="1454"/>
      <c r="EY650" s="1454"/>
      <c r="EZ650" s="1454"/>
      <c r="FA650" s="1454"/>
    </row>
    <row r="651" spans="1:157" ht="12.95" customHeight="1">
      <c r="A651" s="55" t="s">
        <v>119</v>
      </c>
      <c r="B651" t="s">
        <v>463</v>
      </c>
      <c r="G651" s="1400" t="str">
        <f>C629</f>
        <v>Cash Flow From Operations</v>
      </c>
      <c r="H651" s="1400"/>
      <c r="I651" s="1400"/>
      <c r="J651" s="1400"/>
      <c r="K651" s="1400"/>
      <c r="L651" s="1400"/>
      <c r="M651" s="1400"/>
      <c r="N651" s="1400"/>
      <c r="O651" s="1400"/>
      <c r="P651" s="1400"/>
      <c r="Q651" s="1400"/>
      <c r="R651" s="1400"/>
      <c r="T651" s="55" t="s">
        <v>581</v>
      </c>
      <c r="U651" t="s">
        <v>463</v>
      </c>
      <c r="Z651" s="1400">
        <f>C630</f>
        <v>0</v>
      </c>
      <c r="AA651" s="1400"/>
      <c r="AB651" s="1400"/>
      <c r="AC651" s="1400"/>
      <c r="AD651" s="1400"/>
      <c r="AE651" s="1400"/>
      <c r="AF651" s="1400"/>
      <c r="AG651" s="1400"/>
      <c r="AH651" s="1400"/>
      <c r="AI651" s="1400"/>
      <c r="AJ651" s="1400"/>
      <c r="AK651" s="1400"/>
      <c r="AZ651" s="34"/>
      <c r="BA651" s="34"/>
      <c r="BB651" s="34"/>
      <c r="BC651" s="34"/>
      <c r="BD651" s="34"/>
      <c r="BE651" s="34"/>
      <c r="BF651" s="34"/>
      <c r="BG651" s="34"/>
      <c r="BH651" s="34"/>
      <c r="BI651" s="34"/>
      <c r="BJ651" s="34"/>
      <c r="BK651" s="34"/>
      <c r="BL651" s="34"/>
      <c r="BM651" s="34"/>
      <c r="DX651" s="1454" t="e">
        <f t="shared" si="2"/>
        <v>#VALUE!</v>
      </c>
      <c r="DY651" s="1454"/>
      <c r="DZ651" s="1454"/>
      <c r="EA651" s="1454"/>
      <c r="EB651" s="1454"/>
      <c r="EC651" s="1454" t="e">
        <f t="shared" si="3"/>
        <v>#VALUE!</v>
      </c>
      <c r="ED651" s="1454"/>
      <c r="EE651" s="1454"/>
      <c r="EF651" s="1454"/>
      <c r="EG651" s="1454"/>
      <c r="EH651" s="1454" t="e">
        <f t="shared" si="4"/>
        <v>#VALUE!</v>
      </c>
      <c r="EI651" s="1454"/>
      <c r="EJ651" s="1454"/>
      <c r="EK651" s="1454"/>
      <c r="EL651" s="1454"/>
      <c r="EM651" s="1454" t="e">
        <f t="shared" si="5"/>
        <v>#VALUE!</v>
      </c>
      <c r="EN651" s="1454"/>
      <c r="EO651" s="1454"/>
      <c r="EP651" s="1454"/>
      <c r="EQ651" s="1454"/>
      <c r="ER651" s="1454" t="e">
        <f t="shared" si="6"/>
        <v>#VALUE!</v>
      </c>
      <c r="ES651" s="1454"/>
      <c r="ET651" s="1454"/>
      <c r="EU651" s="1454"/>
      <c r="EV651" s="1454"/>
      <c r="EW651" s="1454" t="e">
        <f t="shared" si="7"/>
        <v>#VALUE!</v>
      </c>
      <c r="EX651" s="1454"/>
      <c r="EY651" s="1454"/>
      <c r="EZ651" s="1454"/>
      <c r="FA651" s="1454"/>
    </row>
    <row r="652" spans="1:157" ht="12.95" customHeight="1">
      <c r="A652" s="22"/>
      <c r="B652" t="s">
        <v>85</v>
      </c>
      <c r="G652" s="1359" t="s">
        <v>2724</v>
      </c>
      <c r="H652" s="1360"/>
      <c r="I652" s="1360"/>
      <c r="J652" s="1360"/>
      <c r="K652" s="1360"/>
      <c r="L652" s="1360"/>
      <c r="M652" s="1360"/>
      <c r="N652" s="1360"/>
      <c r="O652" s="1360"/>
      <c r="P652" s="1360"/>
      <c r="Q652" s="1360"/>
      <c r="R652" s="1360"/>
      <c r="T652" s="22"/>
      <c r="U652" t="s">
        <v>85</v>
      </c>
      <c r="Z652" s="1360"/>
      <c r="AA652" s="1360"/>
      <c r="AB652" s="1360"/>
      <c r="AC652" s="1360"/>
      <c r="AD652" s="1360"/>
      <c r="AE652" s="1360"/>
      <c r="AF652" s="1360"/>
      <c r="AG652" s="1360"/>
      <c r="AH652" s="1360"/>
      <c r="AI652" s="1360"/>
      <c r="AJ652" s="1360"/>
      <c r="AK652" s="1360"/>
      <c r="AZ652" s="34"/>
      <c r="BA652" s="34"/>
      <c r="BB652" s="34"/>
      <c r="BC652" s="34"/>
      <c r="BD652" s="34"/>
      <c r="BE652" s="34"/>
      <c r="BF652" s="34"/>
      <c r="BG652" s="34"/>
      <c r="BH652" s="34"/>
      <c r="BI652" s="34"/>
      <c r="BJ652" s="34"/>
      <c r="BK652" s="34"/>
      <c r="BL652" s="34"/>
      <c r="BM652" s="34"/>
      <c r="DX652" s="1454" t="e">
        <f t="shared" si="2"/>
        <v>#VALUE!</v>
      </c>
      <c r="DY652" s="1454"/>
      <c r="DZ652" s="1454"/>
      <c r="EA652" s="1454"/>
      <c r="EB652" s="1454"/>
      <c r="EC652" s="1454" t="e">
        <f t="shared" si="3"/>
        <v>#VALUE!</v>
      </c>
      <c r="ED652" s="1454"/>
      <c r="EE652" s="1454"/>
      <c r="EF652" s="1454"/>
      <c r="EG652" s="1454"/>
      <c r="EH652" s="1454" t="e">
        <f t="shared" si="4"/>
        <v>#VALUE!</v>
      </c>
      <c r="EI652" s="1454"/>
      <c r="EJ652" s="1454"/>
      <c r="EK652" s="1454"/>
      <c r="EL652" s="1454"/>
      <c r="EM652" s="1454" t="e">
        <f t="shared" si="5"/>
        <v>#VALUE!</v>
      </c>
      <c r="EN652" s="1454"/>
      <c r="EO652" s="1454"/>
      <c r="EP652" s="1454"/>
      <c r="EQ652" s="1454"/>
      <c r="ER652" s="1454" t="e">
        <f t="shared" si="6"/>
        <v>#VALUE!</v>
      </c>
      <c r="ES652" s="1454"/>
      <c r="ET652" s="1454"/>
      <c r="EU652" s="1454"/>
      <c r="EV652" s="1454"/>
      <c r="EW652" s="1454" t="e">
        <f t="shared" si="7"/>
        <v>#VALUE!</v>
      </c>
      <c r="EX652" s="1454"/>
      <c r="EY652" s="1454"/>
      <c r="EZ652" s="1454"/>
      <c r="FA652" s="1454"/>
    </row>
    <row r="653" spans="1:157" ht="12.95" customHeight="1">
      <c r="A653" s="22"/>
      <c r="B653" t="s">
        <v>580</v>
      </c>
      <c r="G653" s="1549" t="s">
        <v>2718</v>
      </c>
      <c r="H653" s="1467"/>
      <c r="I653" s="1467"/>
      <c r="J653" s="1467"/>
      <c r="K653" s="1467"/>
      <c r="L653" s="1467"/>
      <c r="M653" s="1467"/>
      <c r="N653" s="1467"/>
      <c r="O653" s="1467"/>
      <c r="P653" s="1467"/>
      <c r="Q653" s="1467"/>
      <c r="R653" s="1467"/>
      <c r="T653" s="22"/>
      <c r="U653" t="s">
        <v>580</v>
      </c>
      <c r="Z653" s="1467"/>
      <c r="AA653" s="1467"/>
      <c r="AB653" s="1467"/>
      <c r="AC653" s="1467"/>
      <c r="AD653" s="1467"/>
      <c r="AE653" s="1467"/>
      <c r="AF653" s="1467"/>
      <c r="AG653" s="1467"/>
      <c r="AH653" s="1467"/>
      <c r="AI653" s="1467"/>
      <c r="AJ653" s="1467"/>
      <c r="AK653" s="1467"/>
      <c r="AZ653" s="34"/>
      <c r="BA653" s="34"/>
      <c r="BB653" s="34"/>
      <c r="BC653" s="34"/>
      <c r="BD653" s="34"/>
      <c r="BE653" s="34"/>
      <c r="BF653" s="34"/>
      <c r="BG653" s="34"/>
      <c r="BH653" s="34"/>
      <c r="BI653" s="34"/>
      <c r="BJ653" s="34"/>
      <c r="BK653" s="34"/>
      <c r="BL653" s="34"/>
      <c r="BM653" s="34"/>
      <c r="DX653" s="1454" t="e">
        <f t="shared" si="2"/>
        <v>#VALUE!</v>
      </c>
      <c r="DY653" s="1454"/>
      <c r="DZ653" s="1454"/>
      <c r="EA653" s="1454"/>
      <c r="EB653" s="1454"/>
      <c r="EC653" s="1454" t="e">
        <f t="shared" si="3"/>
        <v>#VALUE!</v>
      </c>
      <c r="ED653" s="1454"/>
      <c r="EE653" s="1454"/>
      <c r="EF653" s="1454"/>
      <c r="EG653" s="1454"/>
      <c r="EH653" s="1454" t="e">
        <f t="shared" si="4"/>
        <v>#VALUE!</v>
      </c>
      <c r="EI653" s="1454"/>
      <c r="EJ653" s="1454"/>
      <c r="EK653" s="1454"/>
      <c r="EL653" s="1454"/>
      <c r="EM653" s="1454" t="e">
        <f t="shared" si="5"/>
        <v>#VALUE!</v>
      </c>
      <c r="EN653" s="1454"/>
      <c r="EO653" s="1454"/>
      <c r="EP653" s="1454"/>
      <c r="EQ653" s="1454"/>
      <c r="ER653" s="1454" t="e">
        <f t="shared" si="6"/>
        <v>#VALUE!</v>
      </c>
      <c r="ES653" s="1454"/>
      <c r="ET653" s="1454"/>
      <c r="EU653" s="1454"/>
      <c r="EV653" s="1454"/>
      <c r="EW653" s="1454" t="e">
        <f t="shared" si="7"/>
        <v>#VALUE!</v>
      </c>
      <c r="EX653" s="1454"/>
      <c r="EY653" s="1454"/>
      <c r="EZ653" s="1454"/>
      <c r="FA653" s="1454"/>
    </row>
    <row r="654" spans="1:157" ht="12.95" customHeight="1">
      <c r="A654" s="22"/>
      <c r="B654" t="s">
        <v>17</v>
      </c>
      <c r="G654" s="1549" t="s">
        <v>2633</v>
      </c>
      <c r="H654" s="1467"/>
      <c r="I654" s="1467"/>
      <c r="J654" s="1467"/>
      <c r="K654" s="1467"/>
      <c r="L654" s="1467"/>
      <c r="M654" s="1467"/>
      <c r="N654" s="1467"/>
      <c r="O654" s="1467"/>
      <c r="P654" s="1467"/>
      <c r="Q654" s="1467"/>
      <c r="R654" s="1467"/>
      <c r="T654" s="22"/>
      <c r="U654" t="s">
        <v>17</v>
      </c>
      <c r="Z654" s="1467"/>
      <c r="AA654" s="1467"/>
      <c r="AB654" s="1467"/>
      <c r="AC654" s="1467"/>
      <c r="AD654" s="1467"/>
      <c r="AE654" s="1467"/>
      <c r="AF654" s="1467"/>
      <c r="AG654" s="1467"/>
      <c r="AH654" s="1467"/>
      <c r="AI654" s="1467"/>
      <c r="AJ654" s="1467"/>
      <c r="AK654" s="1467"/>
      <c r="AZ654" s="34"/>
      <c r="BA654" s="34"/>
      <c r="BB654" s="34"/>
      <c r="BC654" s="34"/>
      <c r="BD654" s="34"/>
      <c r="BE654" s="34"/>
      <c r="BF654" s="34"/>
      <c r="BG654" s="34"/>
      <c r="BH654" s="34"/>
      <c r="BI654" s="34"/>
      <c r="BJ654" s="34"/>
      <c r="BK654" s="34"/>
      <c r="BL654" s="34"/>
      <c r="BM654" s="34"/>
      <c r="DX654" s="1454" t="e">
        <f t="shared" si="2"/>
        <v>#VALUE!</v>
      </c>
      <c r="DY654" s="1454"/>
      <c r="DZ654" s="1454"/>
      <c r="EA654" s="1454"/>
      <c r="EB654" s="1454"/>
      <c r="EC654" s="1454" t="e">
        <f t="shared" si="3"/>
        <v>#VALUE!</v>
      </c>
      <c r="ED654" s="1454"/>
      <c r="EE654" s="1454"/>
      <c r="EF654" s="1454"/>
      <c r="EG654" s="1454"/>
      <c r="EH654" s="1454" t="e">
        <f t="shared" si="4"/>
        <v>#VALUE!</v>
      </c>
      <c r="EI654" s="1454"/>
      <c r="EJ654" s="1454"/>
      <c r="EK654" s="1454"/>
      <c r="EL654" s="1454"/>
      <c r="EM654" s="1454" t="e">
        <f t="shared" si="5"/>
        <v>#VALUE!</v>
      </c>
      <c r="EN654" s="1454"/>
      <c r="EO654" s="1454"/>
      <c r="EP654" s="1454"/>
      <c r="EQ654" s="1454"/>
      <c r="ER654" s="1454" t="e">
        <f t="shared" si="6"/>
        <v>#VALUE!</v>
      </c>
      <c r="ES654" s="1454"/>
      <c r="ET654" s="1454"/>
      <c r="EU654" s="1454"/>
      <c r="EV654" s="1454"/>
      <c r="EW654" s="1454" t="e">
        <f t="shared" si="7"/>
        <v>#VALUE!</v>
      </c>
      <c r="EX654" s="1454"/>
      <c r="EY654" s="1454"/>
      <c r="EZ654" s="1454"/>
      <c r="FA654" s="1454"/>
    </row>
    <row r="655" spans="1:157" ht="12.95" customHeight="1">
      <c r="A655" s="22"/>
      <c r="B655" t="s">
        <v>315</v>
      </c>
      <c r="G655" s="1357" t="s">
        <v>2634</v>
      </c>
      <c r="H655" s="1358"/>
      <c r="I655" s="1358"/>
      <c r="J655" s="1358"/>
      <c r="K655" s="1358"/>
      <c r="L655" s="1358"/>
      <c r="O655" s="33" t="s">
        <v>205</v>
      </c>
      <c r="P655" s="1434"/>
      <c r="Q655" s="1434"/>
      <c r="R655" s="1434"/>
      <c r="T655" s="22"/>
      <c r="U655" t="s">
        <v>315</v>
      </c>
      <c r="Z655" s="1358"/>
      <c r="AA655" s="1358"/>
      <c r="AB655" s="1358"/>
      <c r="AC655" s="1358"/>
      <c r="AD655" s="1358"/>
      <c r="AE655" s="1358"/>
      <c r="AH655" s="33" t="s">
        <v>205</v>
      </c>
      <c r="AI655" s="1434"/>
      <c r="AJ655" s="1434"/>
      <c r="AK655" s="1434"/>
      <c r="AZ655" s="34"/>
      <c r="BA655" s="34"/>
      <c r="BB655" s="34"/>
      <c r="BC655" s="34"/>
      <c r="BD655" s="34"/>
      <c r="BE655" s="34"/>
      <c r="BF655" s="34"/>
      <c r="BG655" s="34"/>
      <c r="BH655" s="34"/>
      <c r="BI655" s="34"/>
      <c r="BJ655" s="34"/>
      <c r="BK655" s="34"/>
      <c r="BL655" s="34"/>
      <c r="BM655" s="34"/>
      <c r="DX655" s="1454" t="e">
        <f t="shared" si="2"/>
        <v>#VALUE!</v>
      </c>
      <c r="DY655" s="1454"/>
      <c r="DZ655" s="1454"/>
      <c r="EA655" s="1454"/>
      <c r="EB655" s="1454"/>
      <c r="EC655" s="1454" t="e">
        <f t="shared" si="3"/>
        <v>#VALUE!</v>
      </c>
      <c r="ED655" s="1454"/>
      <c r="EE655" s="1454"/>
      <c r="EF655" s="1454"/>
      <c r="EG655" s="1454"/>
      <c r="EH655" s="1454" t="e">
        <f t="shared" si="4"/>
        <v>#VALUE!</v>
      </c>
      <c r="EI655" s="1454"/>
      <c r="EJ655" s="1454"/>
      <c r="EK655" s="1454"/>
      <c r="EL655" s="1454"/>
      <c r="EM655" s="1454" t="e">
        <f t="shared" si="5"/>
        <v>#VALUE!</v>
      </c>
      <c r="EN655" s="1454"/>
      <c r="EO655" s="1454"/>
      <c r="EP655" s="1454"/>
      <c r="EQ655" s="1454"/>
      <c r="ER655" s="1454" t="e">
        <f t="shared" si="6"/>
        <v>#VALUE!</v>
      </c>
      <c r="ES655" s="1454"/>
      <c r="ET655" s="1454"/>
      <c r="EU655" s="1454"/>
      <c r="EV655" s="1454"/>
      <c r="EW655" s="1454" t="e">
        <f t="shared" si="7"/>
        <v>#VALUE!</v>
      </c>
      <c r="EX655" s="1454"/>
      <c r="EY655" s="1454"/>
      <c r="EZ655" s="1454"/>
      <c r="FA655" s="1454"/>
    </row>
    <row r="656" spans="1:157" ht="12.95" customHeight="1">
      <c r="A656" s="22"/>
      <c r="B656" t="s">
        <v>18</v>
      </c>
      <c r="H656" s="1359" t="s">
        <v>2734</v>
      </c>
      <c r="I656" s="1360"/>
      <c r="J656" s="1360"/>
      <c r="K656" s="1360"/>
      <c r="L656" s="1360"/>
      <c r="M656" s="1360"/>
      <c r="N656" s="1360"/>
      <c r="O656" s="1360"/>
      <c r="P656" s="1360"/>
      <c r="Q656" s="1360"/>
      <c r="R656" s="1360"/>
      <c r="T656" s="22"/>
      <c r="U656" t="s">
        <v>18</v>
      </c>
      <c r="AA656" s="1360"/>
      <c r="AB656" s="1360"/>
      <c r="AC656" s="1360"/>
      <c r="AD656" s="1360"/>
      <c r="AE656" s="1360"/>
      <c r="AF656" s="1360"/>
      <c r="AG656" s="1360"/>
      <c r="AH656" s="1360"/>
      <c r="AI656" s="1360"/>
      <c r="AJ656" s="1360"/>
      <c r="AK656" s="1360"/>
      <c r="AZ656" s="34"/>
      <c r="BA656" s="34"/>
      <c r="BB656" s="34"/>
      <c r="BC656" s="34"/>
      <c r="BD656" s="34"/>
      <c r="BE656" s="34"/>
      <c r="BF656" s="34"/>
      <c r="BG656" s="34"/>
      <c r="BH656" s="34"/>
      <c r="BI656" s="34"/>
      <c r="BJ656" s="34"/>
      <c r="BK656" s="34"/>
      <c r="BL656" s="34"/>
      <c r="BM656" s="34"/>
      <c r="DX656" s="1454" t="e">
        <f t="shared" si="2"/>
        <v>#VALUE!</v>
      </c>
      <c r="DY656" s="1454"/>
      <c r="DZ656" s="1454"/>
      <c r="EA656" s="1454"/>
      <c r="EB656" s="1454"/>
      <c r="EC656" s="1454" t="e">
        <f t="shared" si="3"/>
        <v>#VALUE!</v>
      </c>
      <c r="ED656" s="1454"/>
      <c r="EE656" s="1454"/>
      <c r="EF656" s="1454"/>
      <c r="EG656" s="1454"/>
      <c r="EH656" s="1454" t="e">
        <f t="shared" si="4"/>
        <v>#VALUE!</v>
      </c>
      <c r="EI656" s="1454"/>
      <c r="EJ656" s="1454"/>
      <c r="EK656" s="1454"/>
      <c r="EL656" s="1454"/>
      <c r="EM656" s="1454" t="e">
        <f t="shared" si="5"/>
        <v>#VALUE!</v>
      </c>
      <c r="EN656" s="1454"/>
      <c r="EO656" s="1454"/>
      <c r="EP656" s="1454"/>
      <c r="EQ656" s="1454"/>
      <c r="ER656" s="1454" t="e">
        <f t="shared" si="6"/>
        <v>#VALUE!</v>
      </c>
      <c r="ES656" s="1454"/>
      <c r="ET656" s="1454"/>
      <c r="EU656" s="1454"/>
      <c r="EV656" s="1454"/>
      <c r="EW656" s="1454" t="e">
        <f t="shared" si="7"/>
        <v>#VALUE!</v>
      </c>
      <c r="EX656" s="1454"/>
      <c r="EY656" s="1454"/>
      <c r="EZ656" s="1454"/>
      <c r="FA656" s="1454"/>
    </row>
    <row r="657" spans="1:157" ht="12.95" customHeight="1">
      <c r="A657" s="22"/>
      <c r="B657" t="s">
        <v>20</v>
      </c>
      <c r="N657" s="1332" t="s">
        <v>545</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54" t="e">
        <f t="shared" si="2"/>
        <v>#VALUE!</v>
      </c>
      <c r="DY657" s="1454"/>
      <c r="DZ657" s="1454"/>
      <c r="EA657" s="1454"/>
      <c r="EB657" s="1454"/>
      <c r="EC657" s="1454" t="e">
        <f t="shared" si="3"/>
        <v>#VALUE!</v>
      </c>
      <c r="ED657" s="1454"/>
      <c r="EE657" s="1454"/>
      <c r="EF657" s="1454"/>
      <c r="EG657" s="1454"/>
      <c r="EH657" s="1454" t="e">
        <f t="shared" si="4"/>
        <v>#VALUE!</v>
      </c>
      <c r="EI657" s="1454"/>
      <c r="EJ657" s="1454"/>
      <c r="EK657" s="1454"/>
      <c r="EL657" s="1454"/>
      <c r="EM657" s="1454" t="e">
        <f t="shared" si="5"/>
        <v>#VALUE!</v>
      </c>
      <c r="EN657" s="1454"/>
      <c r="EO657" s="1454"/>
      <c r="EP657" s="1454"/>
      <c r="EQ657" s="1454"/>
      <c r="ER657" s="1454" t="e">
        <f t="shared" si="6"/>
        <v>#VALUE!</v>
      </c>
      <c r="ES657" s="1454"/>
      <c r="ET657" s="1454"/>
      <c r="EU657" s="1454"/>
      <c r="EV657" s="1454"/>
      <c r="EW657" s="1454" t="e">
        <f t="shared" si="7"/>
        <v>#VALUE!</v>
      </c>
      <c r="EX657" s="1454"/>
      <c r="EY657" s="1454"/>
      <c r="EZ657" s="1454"/>
      <c r="FA657" s="1454"/>
    </row>
    <row r="658" spans="1:157" ht="12.95" customHeight="1">
      <c r="A658" s="22"/>
      <c r="T658" s="22"/>
      <c r="AZ658" s="34"/>
      <c r="BA658" s="34"/>
      <c r="BB658" s="34"/>
      <c r="BC658" s="34"/>
      <c r="BD658" s="34"/>
      <c r="BE658" s="34"/>
      <c r="BF658" s="34"/>
      <c r="BG658" s="34"/>
      <c r="BH658" s="34"/>
      <c r="BI658" s="34"/>
      <c r="BJ658" s="34"/>
      <c r="BK658" s="34"/>
      <c r="BL658" s="34"/>
      <c r="BM658" s="34"/>
      <c r="DX658" s="1454" t="e">
        <f t="shared" si="2"/>
        <v>#VALUE!</v>
      </c>
      <c r="DY658" s="1454"/>
      <c r="DZ658" s="1454"/>
      <c r="EA658" s="1454"/>
      <c r="EB658" s="1454"/>
      <c r="EC658" s="1454" t="e">
        <f t="shared" si="3"/>
        <v>#VALUE!</v>
      </c>
      <c r="ED658" s="1454"/>
      <c r="EE658" s="1454"/>
      <c r="EF658" s="1454"/>
      <c r="EG658" s="1454"/>
      <c r="EH658" s="1454" t="e">
        <f t="shared" si="4"/>
        <v>#VALUE!</v>
      </c>
      <c r="EI658" s="1454"/>
      <c r="EJ658" s="1454"/>
      <c r="EK658" s="1454"/>
      <c r="EL658" s="1454"/>
      <c r="EM658" s="1454" t="e">
        <f t="shared" si="5"/>
        <v>#VALUE!</v>
      </c>
      <c r="EN658" s="1454"/>
      <c r="EO658" s="1454"/>
      <c r="EP658" s="1454"/>
      <c r="EQ658" s="1454"/>
      <c r="ER658" s="1454" t="e">
        <f t="shared" si="6"/>
        <v>#VALUE!</v>
      </c>
      <c r="ES658" s="1454"/>
      <c r="ET658" s="1454"/>
      <c r="EU658" s="1454"/>
      <c r="EV658" s="1454"/>
      <c r="EW658" s="1454" t="e">
        <f t="shared" si="7"/>
        <v>#VALUE!</v>
      </c>
      <c r="EX658" s="1454"/>
      <c r="EY658" s="1454"/>
      <c r="EZ658" s="1454"/>
      <c r="FA658" s="1454"/>
    </row>
    <row r="659" spans="1:157" ht="12.95" customHeight="1">
      <c r="A659" s="55" t="s">
        <v>763</v>
      </c>
      <c r="B659" t="s">
        <v>463</v>
      </c>
      <c r="G659" s="1400">
        <f>C631</f>
        <v>0</v>
      </c>
      <c r="H659" s="1400"/>
      <c r="I659" s="1400"/>
      <c r="J659" s="1400"/>
      <c r="K659" s="1400"/>
      <c r="L659" s="1400"/>
      <c r="M659" s="1400"/>
      <c r="N659" s="1400"/>
      <c r="O659" s="1400"/>
      <c r="P659" s="1400"/>
      <c r="Q659" s="1400"/>
      <c r="R659" s="1400"/>
      <c r="T659" s="55" t="s">
        <v>584</v>
      </c>
      <c r="U659" t="s">
        <v>463</v>
      </c>
      <c r="Z659" s="1400">
        <f>C632</f>
        <v>0</v>
      </c>
      <c r="AA659" s="1400"/>
      <c r="AB659" s="1400"/>
      <c r="AC659" s="1400"/>
      <c r="AD659" s="1400"/>
      <c r="AE659" s="1400"/>
      <c r="AF659" s="1400"/>
      <c r="AG659" s="1400"/>
      <c r="AH659" s="1400"/>
      <c r="AI659" s="1400"/>
      <c r="AJ659" s="1400"/>
      <c r="AK659" s="1400"/>
      <c r="AZ659" s="34"/>
      <c r="BA659" s="34"/>
      <c r="BB659" s="34"/>
      <c r="BC659" s="34"/>
      <c r="BD659" s="34"/>
      <c r="BE659" s="34"/>
      <c r="BF659" s="34"/>
      <c r="BG659" s="34"/>
      <c r="BH659" s="34"/>
      <c r="BI659" s="34"/>
      <c r="BJ659" s="34"/>
      <c r="BK659" s="34"/>
      <c r="BL659" s="34"/>
      <c r="BM659" s="34"/>
      <c r="DX659" s="1454" t="e">
        <f t="shared" si="2"/>
        <v>#VALUE!</v>
      </c>
      <c r="DY659" s="1454"/>
      <c r="DZ659" s="1454"/>
      <c r="EA659" s="1454"/>
      <c r="EB659" s="1454"/>
      <c r="EC659" s="1454" t="e">
        <f t="shared" si="3"/>
        <v>#VALUE!</v>
      </c>
      <c r="ED659" s="1454"/>
      <c r="EE659" s="1454"/>
      <c r="EF659" s="1454"/>
      <c r="EG659" s="1454"/>
      <c r="EH659" s="1454" t="e">
        <f t="shared" si="4"/>
        <v>#VALUE!</v>
      </c>
      <c r="EI659" s="1454"/>
      <c r="EJ659" s="1454"/>
      <c r="EK659" s="1454"/>
      <c r="EL659" s="1454"/>
      <c r="EM659" s="1454" t="e">
        <f t="shared" si="5"/>
        <v>#VALUE!</v>
      </c>
      <c r="EN659" s="1454"/>
      <c r="EO659" s="1454"/>
      <c r="EP659" s="1454"/>
      <c r="EQ659" s="1454"/>
      <c r="ER659" s="1454" t="e">
        <f t="shared" si="6"/>
        <v>#VALUE!</v>
      </c>
      <c r="ES659" s="1454"/>
      <c r="ET659" s="1454"/>
      <c r="EU659" s="1454"/>
      <c r="EV659" s="1454"/>
      <c r="EW659" s="1454" t="e">
        <f t="shared" si="7"/>
        <v>#VALUE!</v>
      </c>
      <c r="EX659" s="1454"/>
      <c r="EY659" s="1454"/>
      <c r="EZ659" s="1454"/>
      <c r="FA659" s="1454"/>
    </row>
    <row r="660" spans="1:157" ht="12.95" customHeight="1">
      <c r="A660" s="22"/>
      <c r="B660" t="s">
        <v>85</v>
      </c>
      <c r="G660" s="1360"/>
      <c r="H660" s="1360"/>
      <c r="I660" s="1360"/>
      <c r="J660" s="1360"/>
      <c r="K660" s="1360"/>
      <c r="L660" s="1360"/>
      <c r="M660" s="1360"/>
      <c r="N660" s="1360"/>
      <c r="O660" s="1360"/>
      <c r="P660" s="1360"/>
      <c r="Q660" s="1360"/>
      <c r="R660" s="1360"/>
      <c r="T660" s="22"/>
      <c r="U660" t="s">
        <v>85</v>
      </c>
      <c r="Z660" s="1360"/>
      <c r="AA660" s="1360"/>
      <c r="AB660" s="1360"/>
      <c r="AC660" s="1360"/>
      <c r="AD660" s="1360"/>
      <c r="AE660" s="1360"/>
      <c r="AF660" s="1360"/>
      <c r="AG660" s="1360"/>
      <c r="AH660" s="1360"/>
      <c r="AI660" s="1360"/>
      <c r="AJ660" s="1360"/>
      <c r="AK660" s="1360"/>
      <c r="AZ660" s="34"/>
      <c r="BA660" s="34"/>
      <c r="BB660" s="34"/>
      <c r="BC660" s="34"/>
      <c r="BD660" s="34"/>
      <c r="BE660" s="34"/>
      <c r="BF660" s="34"/>
      <c r="BG660" s="34"/>
      <c r="BH660" s="34"/>
      <c r="BI660" s="34"/>
      <c r="BJ660" s="34"/>
      <c r="BK660" s="34"/>
      <c r="BL660" s="34"/>
      <c r="BM660" s="34"/>
      <c r="DX660" s="1454" t="e">
        <f t="shared" si="2"/>
        <v>#VALUE!</v>
      </c>
      <c r="DY660" s="1454"/>
      <c r="DZ660" s="1454"/>
      <c r="EA660" s="1454"/>
      <c r="EB660" s="1454"/>
      <c r="EC660" s="1454" t="e">
        <f t="shared" si="3"/>
        <v>#VALUE!</v>
      </c>
      <c r="ED660" s="1454"/>
      <c r="EE660" s="1454"/>
      <c r="EF660" s="1454"/>
      <c r="EG660" s="1454"/>
      <c r="EH660" s="1454" t="e">
        <f t="shared" si="4"/>
        <v>#VALUE!</v>
      </c>
      <c r="EI660" s="1454"/>
      <c r="EJ660" s="1454"/>
      <c r="EK660" s="1454"/>
      <c r="EL660" s="1454"/>
      <c r="EM660" s="1454" t="e">
        <f t="shared" si="5"/>
        <v>#VALUE!</v>
      </c>
      <c r="EN660" s="1454"/>
      <c r="EO660" s="1454"/>
      <c r="EP660" s="1454"/>
      <c r="EQ660" s="1454"/>
      <c r="ER660" s="1454" t="e">
        <f t="shared" si="6"/>
        <v>#VALUE!</v>
      </c>
      <c r="ES660" s="1454"/>
      <c r="ET660" s="1454"/>
      <c r="EU660" s="1454"/>
      <c r="EV660" s="1454"/>
      <c r="EW660" s="1454" t="e">
        <f t="shared" si="7"/>
        <v>#VALUE!</v>
      </c>
      <c r="EX660" s="1454"/>
      <c r="EY660" s="1454"/>
      <c r="EZ660" s="1454"/>
      <c r="FA660" s="1454"/>
    </row>
    <row r="661" spans="1:157" ht="12.95" customHeight="1">
      <c r="A661" s="22"/>
      <c r="B661" t="s">
        <v>580</v>
      </c>
      <c r="G661" s="1360"/>
      <c r="H661" s="1360"/>
      <c r="I661" s="1360"/>
      <c r="J661" s="1360"/>
      <c r="K661" s="1360"/>
      <c r="L661" s="1360"/>
      <c r="M661" s="1360"/>
      <c r="N661" s="1360"/>
      <c r="O661" s="1360"/>
      <c r="P661" s="1360"/>
      <c r="Q661" s="1360"/>
      <c r="R661" s="1360"/>
      <c r="T661" s="22"/>
      <c r="U661" t="s">
        <v>580</v>
      </c>
      <c r="Z661" s="1467"/>
      <c r="AA661" s="1467"/>
      <c r="AB661" s="1467"/>
      <c r="AC661" s="1467"/>
      <c r="AD661" s="1467"/>
      <c r="AE661" s="1467"/>
      <c r="AF661" s="1467"/>
      <c r="AG661" s="1467"/>
      <c r="AH661" s="1467"/>
      <c r="AI661" s="1467"/>
      <c r="AJ661" s="1467"/>
      <c r="AK661" s="1467"/>
      <c r="AZ661" s="34"/>
      <c r="BA661" s="34"/>
      <c r="BB661" s="34"/>
      <c r="BC661" s="34"/>
      <c r="BD661" s="34"/>
      <c r="BE661" s="34"/>
      <c r="BF661" s="34"/>
      <c r="BG661" s="34"/>
      <c r="BH661" s="34"/>
      <c r="BI661" s="34"/>
      <c r="BJ661" s="34"/>
      <c r="BK661" s="34"/>
      <c r="BL661" s="34"/>
      <c r="BM661" s="34"/>
      <c r="DX661" s="1454" t="e">
        <f t="shared" si="2"/>
        <v>#VALUE!</v>
      </c>
      <c r="DY661" s="1454"/>
      <c r="DZ661" s="1454"/>
      <c r="EA661" s="1454"/>
      <c r="EB661" s="1454"/>
      <c r="EC661" s="1454" t="e">
        <f t="shared" si="3"/>
        <v>#VALUE!</v>
      </c>
      <c r="ED661" s="1454"/>
      <c r="EE661" s="1454"/>
      <c r="EF661" s="1454"/>
      <c r="EG661" s="1454"/>
      <c r="EH661" s="1454" t="e">
        <f t="shared" si="4"/>
        <v>#VALUE!</v>
      </c>
      <c r="EI661" s="1454"/>
      <c r="EJ661" s="1454"/>
      <c r="EK661" s="1454"/>
      <c r="EL661" s="1454"/>
      <c r="EM661" s="1454" t="e">
        <f t="shared" si="5"/>
        <v>#VALUE!</v>
      </c>
      <c r="EN661" s="1454"/>
      <c r="EO661" s="1454"/>
      <c r="EP661" s="1454"/>
      <c r="EQ661" s="1454"/>
      <c r="ER661" s="1454" t="e">
        <f t="shared" si="6"/>
        <v>#VALUE!</v>
      </c>
      <c r="ES661" s="1454"/>
      <c r="ET661" s="1454"/>
      <c r="EU661" s="1454"/>
      <c r="EV661" s="1454"/>
      <c r="EW661" s="1454" t="e">
        <f t="shared" si="7"/>
        <v>#VALUE!</v>
      </c>
      <c r="EX661" s="1454"/>
      <c r="EY661" s="1454"/>
      <c r="EZ661" s="1454"/>
      <c r="FA661" s="1454"/>
    </row>
    <row r="662" spans="1:157" ht="12.95" customHeight="1">
      <c r="A662" s="22"/>
      <c r="B662" t="s">
        <v>17</v>
      </c>
      <c r="G662" s="1360"/>
      <c r="H662" s="1360"/>
      <c r="I662" s="1360"/>
      <c r="J662" s="1360"/>
      <c r="K662" s="1360"/>
      <c r="L662" s="1360"/>
      <c r="M662" s="1360"/>
      <c r="N662" s="1360"/>
      <c r="O662" s="1360"/>
      <c r="P662" s="1360"/>
      <c r="Q662" s="1360"/>
      <c r="R662" s="1360"/>
      <c r="T662" s="22"/>
      <c r="U662" t="s">
        <v>17</v>
      </c>
      <c r="Z662" s="1467"/>
      <c r="AA662" s="1467"/>
      <c r="AB662" s="1467"/>
      <c r="AC662" s="1467"/>
      <c r="AD662" s="1467"/>
      <c r="AE662" s="1467"/>
      <c r="AF662" s="1467"/>
      <c r="AG662" s="1467"/>
      <c r="AH662" s="1467"/>
      <c r="AI662" s="1467"/>
      <c r="AJ662" s="1467"/>
      <c r="AK662" s="146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4" t="e">
        <f t="shared" si="2"/>
        <v>#VALUE!</v>
      </c>
      <c r="DY662" s="1454"/>
      <c r="DZ662" s="1454"/>
      <c r="EA662" s="1454"/>
      <c r="EB662" s="1454"/>
      <c r="EC662" s="1454" t="e">
        <f t="shared" si="3"/>
        <v>#VALUE!</v>
      </c>
      <c r="ED662" s="1454"/>
      <c r="EE662" s="1454"/>
      <c r="EF662" s="1454"/>
      <c r="EG662" s="1454"/>
      <c r="EH662" s="1454" t="e">
        <f t="shared" si="4"/>
        <v>#VALUE!</v>
      </c>
      <c r="EI662" s="1454"/>
      <c r="EJ662" s="1454"/>
      <c r="EK662" s="1454"/>
      <c r="EL662" s="1454"/>
      <c r="EM662" s="1454" t="e">
        <f t="shared" si="5"/>
        <v>#VALUE!</v>
      </c>
      <c r="EN662" s="1454"/>
      <c r="EO662" s="1454"/>
      <c r="EP662" s="1454"/>
      <c r="EQ662" s="1454"/>
      <c r="ER662" s="1454" t="e">
        <f t="shared" si="6"/>
        <v>#VALUE!</v>
      </c>
      <c r="ES662" s="1454"/>
      <c r="ET662" s="1454"/>
      <c r="EU662" s="1454"/>
      <c r="EV662" s="1454"/>
      <c r="EW662" s="1454" t="e">
        <f t="shared" si="7"/>
        <v>#VALUE!</v>
      </c>
      <c r="EX662" s="1454"/>
      <c r="EY662" s="1454"/>
      <c r="EZ662" s="1454"/>
      <c r="FA662" s="1454"/>
    </row>
    <row r="663" spans="1:157" ht="12.95" customHeight="1">
      <c r="A663" s="22"/>
      <c r="B663" t="s">
        <v>315</v>
      </c>
      <c r="G663" s="1358"/>
      <c r="H663" s="1358"/>
      <c r="I663" s="1358"/>
      <c r="J663" s="1358"/>
      <c r="K663" s="1358"/>
      <c r="L663" s="1358"/>
      <c r="O663" s="33" t="s">
        <v>205</v>
      </c>
      <c r="P663" s="1434"/>
      <c r="Q663" s="1434"/>
      <c r="R663" s="1434"/>
      <c r="T663" s="22"/>
      <c r="U663" t="s">
        <v>315</v>
      </c>
      <c r="Z663" s="1358"/>
      <c r="AA663" s="1358"/>
      <c r="AB663" s="1358"/>
      <c r="AC663" s="1358"/>
      <c r="AD663" s="1358"/>
      <c r="AE663" s="1358"/>
      <c r="AH663" s="33" t="s">
        <v>205</v>
      </c>
      <c r="AI663" s="1434"/>
      <c r="AJ663" s="1434"/>
      <c r="AK663" s="143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4" t="e">
        <f t="shared" si="2"/>
        <v>#VALUE!</v>
      </c>
      <c r="DY663" s="1454"/>
      <c r="DZ663" s="1454"/>
      <c r="EA663" s="1454"/>
      <c r="EB663" s="1454"/>
      <c r="EC663" s="1454" t="e">
        <f t="shared" si="3"/>
        <v>#VALUE!</v>
      </c>
      <c r="ED663" s="1454"/>
      <c r="EE663" s="1454"/>
      <c r="EF663" s="1454"/>
      <c r="EG663" s="1454"/>
      <c r="EH663" s="1454" t="e">
        <f t="shared" si="4"/>
        <v>#VALUE!</v>
      </c>
      <c r="EI663" s="1454"/>
      <c r="EJ663" s="1454"/>
      <c r="EK663" s="1454"/>
      <c r="EL663" s="1454"/>
      <c r="EM663" s="1454" t="e">
        <f t="shared" si="5"/>
        <v>#VALUE!</v>
      </c>
      <c r="EN663" s="1454"/>
      <c r="EO663" s="1454"/>
      <c r="EP663" s="1454"/>
      <c r="EQ663" s="1454"/>
      <c r="ER663" s="1454" t="e">
        <f t="shared" si="6"/>
        <v>#VALUE!</v>
      </c>
      <c r="ES663" s="1454"/>
      <c r="ET663" s="1454"/>
      <c r="EU663" s="1454"/>
      <c r="EV663" s="1454"/>
      <c r="EW663" s="1454" t="e">
        <f t="shared" si="7"/>
        <v>#VALUE!</v>
      </c>
      <c r="EX663" s="1454"/>
      <c r="EY663" s="1454"/>
      <c r="EZ663" s="1454"/>
      <c r="FA663" s="1454"/>
    </row>
    <row r="664" spans="1:157" ht="12.95" customHeight="1">
      <c r="A664" s="22"/>
      <c r="B664" t="s">
        <v>18</v>
      </c>
      <c r="H664" s="1360"/>
      <c r="I664" s="1360"/>
      <c r="J664" s="1360"/>
      <c r="K664" s="1360"/>
      <c r="L664" s="1360"/>
      <c r="M664" s="1360"/>
      <c r="N664" s="1360"/>
      <c r="O664" s="1360"/>
      <c r="P664" s="1360"/>
      <c r="Q664" s="1360"/>
      <c r="R664" s="1360"/>
      <c r="T664" s="22"/>
      <c r="U664" t="s">
        <v>18</v>
      </c>
      <c r="AA664" s="1360"/>
      <c r="AB664" s="1360"/>
      <c r="AC664" s="1360"/>
      <c r="AD664" s="1360"/>
      <c r="AE664" s="1360"/>
      <c r="AF664" s="1360"/>
      <c r="AG664" s="1360"/>
      <c r="AH664" s="1360"/>
      <c r="AI664" s="1360"/>
      <c r="AJ664" s="1360"/>
      <c r="AK664" s="13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4" t="e">
        <f t="shared" si="2"/>
        <v>#VALUE!</v>
      </c>
      <c r="DY664" s="1454"/>
      <c r="DZ664" s="1454"/>
      <c r="EA664" s="1454"/>
      <c r="EB664" s="1454"/>
      <c r="EC664" s="1454" t="e">
        <f t="shared" si="3"/>
        <v>#VALUE!</v>
      </c>
      <c r="ED664" s="1454"/>
      <c r="EE664" s="1454"/>
      <c r="EF664" s="1454"/>
      <c r="EG664" s="1454"/>
      <c r="EH664" s="1454" t="e">
        <f t="shared" si="4"/>
        <v>#VALUE!</v>
      </c>
      <c r="EI664" s="1454"/>
      <c r="EJ664" s="1454"/>
      <c r="EK664" s="1454"/>
      <c r="EL664" s="1454"/>
      <c r="EM664" s="1454" t="e">
        <f t="shared" si="5"/>
        <v>#VALUE!</v>
      </c>
      <c r="EN664" s="1454"/>
      <c r="EO664" s="1454"/>
      <c r="EP664" s="1454"/>
      <c r="EQ664" s="1454"/>
      <c r="ER664" s="1454" t="e">
        <f t="shared" si="6"/>
        <v>#VALUE!</v>
      </c>
      <c r="ES664" s="1454"/>
      <c r="ET664" s="1454"/>
      <c r="EU664" s="1454"/>
      <c r="EV664" s="1454"/>
      <c r="EW664" s="1454" t="e">
        <f t="shared" si="7"/>
        <v>#VALUE!</v>
      </c>
      <c r="EX664" s="1454"/>
      <c r="EY664" s="1454"/>
      <c r="EZ664" s="1454"/>
      <c r="FA664" s="1454"/>
    </row>
    <row r="665" spans="1:157" ht="12.95"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4" t="e">
        <f t="shared" si="2"/>
        <v>#VALUE!</v>
      </c>
      <c r="DY665" s="1454"/>
      <c r="DZ665" s="1454"/>
      <c r="EA665" s="1454"/>
      <c r="EB665" s="1454"/>
      <c r="EC665" s="1454" t="e">
        <f t="shared" si="3"/>
        <v>#VALUE!</v>
      </c>
      <c r="ED665" s="1454"/>
      <c r="EE665" s="1454"/>
      <c r="EF665" s="1454"/>
      <c r="EG665" s="1454"/>
      <c r="EH665" s="1454" t="e">
        <f t="shared" si="4"/>
        <v>#VALUE!</v>
      </c>
      <c r="EI665" s="1454"/>
      <c r="EJ665" s="1454"/>
      <c r="EK665" s="1454"/>
      <c r="EL665" s="1454"/>
      <c r="EM665" s="1454" t="e">
        <f t="shared" si="5"/>
        <v>#VALUE!</v>
      </c>
      <c r="EN665" s="1454"/>
      <c r="EO665" s="1454"/>
      <c r="EP665" s="1454"/>
      <c r="EQ665" s="1454"/>
      <c r="ER665" s="1454" t="e">
        <f t="shared" si="6"/>
        <v>#VALUE!</v>
      </c>
      <c r="ES665" s="1454"/>
      <c r="ET665" s="1454"/>
      <c r="EU665" s="1454"/>
      <c r="EV665" s="1454"/>
      <c r="EW665" s="1454" t="e">
        <f t="shared" si="7"/>
        <v>#VALUE!</v>
      </c>
      <c r="EX665" s="1454"/>
      <c r="EY665" s="1454"/>
      <c r="EZ665" s="1454"/>
      <c r="FA665" s="145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4" t="e">
        <f t="shared" si="2"/>
        <v>#VALUE!</v>
      </c>
      <c r="DY666" s="1454"/>
      <c r="DZ666" s="1454"/>
      <c r="EA666" s="1454"/>
      <c r="EB666" s="1454"/>
      <c r="EC666" s="1454" t="e">
        <f t="shared" si="3"/>
        <v>#VALUE!</v>
      </c>
      <c r="ED666" s="1454"/>
      <c r="EE666" s="1454"/>
      <c r="EF666" s="1454"/>
      <c r="EG666" s="1454"/>
      <c r="EH666" s="1454" t="e">
        <f t="shared" si="4"/>
        <v>#VALUE!</v>
      </c>
      <c r="EI666" s="1454"/>
      <c r="EJ666" s="1454"/>
      <c r="EK666" s="1454"/>
      <c r="EL666" s="1454"/>
      <c r="EM666" s="1454" t="e">
        <f t="shared" si="5"/>
        <v>#VALUE!</v>
      </c>
      <c r="EN666" s="1454"/>
      <c r="EO666" s="1454"/>
      <c r="EP666" s="1454"/>
      <c r="EQ666" s="1454"/>
      <c r="ER666" s="1454" t="e">
        <f t="shared" si="6"/>
        <v>#VALUE!</v>
      </c>
      <c r="ES666" s="1454"/>
      <c r="ET666" s="1454"/>
      <c r="EU666" s="1454"/>
      <c r="EV666" s="1454"/>
      <c r="EW666" s="1454" t="e">
        <f t="shared" si="7"/>
        <v>#VALUE!</v>
      </c>
      <c r="EX666" s="1454"/>
      <c r="EY666" s="1454"/>
      <c r="EZ666" s="1454"/>
      <c r="FA666" s="1454"/>
    </row>
    <row r="667" spans="1:157" ht="12.95" customHeight="1">
      <c r="A667" s="55" t="s">
        <v>455</v>
      </c>
      <c r="B667" t="s">
        <v>463</v>
      </c>
      <c r="G667" s="1400">
        <f>C633</f>
        <v>0</v>
      </c>
      <c r="H667" s="1400"/>
      <c r="I667" s="1400"/>
      <c r="J667" s="1400"/>
      <c r="K667" s="1400"/>
      <c r="L667" s="1400"/>
      <c r="M667" s="1400"/>
      <c r="N667" s="1400"/>
      <c r="O667" s="1400"/>
      <c r="P667" s="1400"/>
      <c r="Q667" s="1400"/>
      <c r="R667" s="1400"/>
      <c r="T667" s="55" t="s">
        <v>456</v>
      </c>
      <c r="U667" t="s">
        <v>463</v>
      </c>
      <c r="Z667" s="1400">
        <f>C634</f>
        <v>0</v>
      </c>
      <c r="AA667" s="1400"/>
      <c r="AB667" s="1400"/>
      <c r="AC667" s="1400"/>
      <c r="AD667" s="1400"/>
      <c r="AE667" s="1400"/>
      <c r="AF667" s="1400"/>
      <c r="AG667" s="1400"/>
      <c r="AH667" s="1400"/>
      <c r="AI667" s="1400"/>
      <c r="AJ667" s="1400"/>
      <c r="AK667" s="140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4" t="e">
        <f t="shared" si="2"/>
        <v>#VALUE!</v>
      </c>
      <c r="DY667" s="1454"/>
      <c r="DZ667" s="1454"/>
      <c r="EA667" s="1454"/>
      <c r="EB667" s="1454"/>
      <c r="EC667" s="1454" t="e">
        <f t="shared" si="3"/>
        <v>#VALUE!</v>
      </c>
      <c r="ED667" s="1454"/>
      <c r="EE667" s="1454"/>
      <c r="EF667" s="1454"/>
      <c r="EG667" s="1454"/>
      <c r="EH667" s="1454" t="e">
        <f t="shared" si="4"/>
        <v>#VALUE!</v>
      </c>
      <c r="EI667" s="1454"/>
      <c r="EJ667" s="1454"/>
      <c r="EK667" s="1454"/>
      <c r="EL667" s="1454"/>
      <c r="EM667" s="1454" t="e">
        <f t="shared" si="5"/>
        <v>#VALUE!</v>
      </c>
      <c r="EN667" s="1454"/>
      <c r="EO667" s="1454"/>
      <c r="EP667" s="1454"/>
      <c r="EQ667" s="1454"/>
      <c r="ER667" s="1454" t="e">
        <f t="shared" si="6"/>
        <v>#VALUE!</v>
      </c>
      <c r="ES667" s="1454"/>
      <c r="ET667" s="1454"/>
      <c r="EU667" s="1454"/>
      <c r="EV667" s="1454"/>
      <c r="EW667" s="1454" t="e">
        <f t="shared" si="7"/>
        <v>#VALUE!</v>
      </c>
      <c r="EX667" s="1454"/>
      <c r="EY667" s="1454"/>
      <c r="EZ667" s="1454"/>
      <c r="FA667" s="1454"/>
    </row>
    <row r="668" spans="1:157" ht="12.95" customHeight="1">
      <c r="A668" s="22"/>
      <c r="B668" t="s">
        <v>85</v>
      </c>
      <c r="G668" s="1360"/>
      <c r="H668" s="1360"/>
      <c r="I668" s="1360"/>
      <c r="J668" s="1360"/>
      <c r="K668" s="1360"/>
      <c r="L668" s="1360"/>
      <c r="M668" s="1360"/>
      <c r="N668" s="1360"/>
      <c r="O668" s="1360"/>
      <c r="P668" s="1360"/>
      <c r="Q668" s="1360"/>
      <c r="R668" s="1360"/>
      <c r="T668" s="22"/>
      <c r="U668" t="s">
        <v>85</v>
      </c>
      <c r="Z668" s="1360"/>
      <c r="AA668" s="1360"/>
      <c r="AB668" s="1360"/>
      <c r="AC668" s="1360"/>
      <c r="AD668" s="1360"/>
      <c r="AE668" s="1360"/>
      <c r="AF668" s="1360"/>
      <c r="AG668" s="1360"/>
      <c r="AH668" s="1360"/>
      <c r="AI668" s="1360"/>
      <c r="AJ668" s="1360"/>
      <c r="AK668" s="136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4" t="e">
        <f t="shared" si="2"/>
        <v>#VALUE!</v>
      </c>
      <c r="DY668" s="1454"/>
      <c r="DZ668" s="1454"/>
      <c r="EA668" s="1454"/>
      <c r="EB668" s="1454"/>
      <c r="EC668" s="1454" t="e">
        <f t="shared" si="3"/>
        <v>#VALUE!</v>
      </c>
      <c r="ED668" s="1454"/>
      <c r="EE668" s="1454"/>
      <c r="EF668" s="1454"/>
      <c r="EG668" s="1454"/>
      <c r="EH668" s="1454" t="e">
        <f t="shared" si="4"/>
        <v>#VALUE!</v>
      </c>
      <c r="EI668" s="1454"/>
      <c r="EJ668" s="1454"/>
      <c r="EK668" s="1454"/>
      <c r="EL668" s="1454"/>
      <c r="EM668" s="1454" t="e">
        <f t="shared" si="5"/>
        <v>#VALUE!</v>
      </c>
      <c r="EN668" s="1454"/>
      <c r="EO668" s="1454"/>
      <c r="EP668" s="1454"/>
      <c r="EQ668" s="1454"/>
      <c r="ER668" s="1454" t="e">
        <f t="shared" si="6"/>
        <v>#VALUE!</v>
      </c>
      <c r="ES668" s="1454"/>
      <c r="ET668" s="1454"/>
      <c r="EU668" s="1454"/>
      <c r="EV668" s="1454"/>
      <c r="EW668" s="1454" t="e">
        <f t="shared" si="7"/>
        <v>#VALUE!</v>
      </c>
      <c r="EX668" s="1454"/>
      <c r="EY668" s="1454"/>
      <c r="EZ668" s="1454"/>
      <c r="FA668" s="1454"/>
    </row>
    <row r="669" spans="1:157" ht="12.95" customHeight="1">
      <c r="A669" s="22"/>
      <c r="B669" t="s">
        <v>580</v>
      </c>
      <c r="G669" s="1360"/>
      <c r="H669" s="1360"/>
      <c r="I669" s="1360"/>
      <c r="J669" s="1360"/>
      <c r="K669" s="1360"/>
      <c r="L669" s="1360"/>
      <c r="M669" s="1360"/>
      <c r="N669" s="1360"/>
      <c r="O669" s="1360"/>
      <c r="P669" s="1360"/>
      <c r="Q669" s="1360"/>
      <c r="R669" s="1360"/>
      <c r="T669" s="22"/>
      <c r="U669" t="s">
        <v>580</v>
      </c>
      <c r="Z669" s="1467"/>
      <c r="AA669" s="1467"/>
      <c r="AB669" s="1467"/>
      <c r="AC669" s="1467"/>
      <c r="AD669" s="1467"/>
      <c r="AE669" s="1467"/>
      <c r="AF669" s="1467"/>
      <c r="AG669" s="1467"/>
      <c r="AH669" s="1467"/>
      <c r="AI669" s="1467"/>
      <c r="AJ669" s="1467"/>
      <c r="AK669" s="146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4" t="e">
        <f t="shared" si="2"/>
        <v>#VALUE!</v>
      </c>
      <c r="DY669" s="1454"/>
      <c r="DZ669" s="1454"/>
      <c r="EA669" s="1454"/>
      <c r="EB669" s="1454"/>
      <c r="EC669" s="1454" t="e">
        <f t="shared" si="3"/>
        <v>#VALUE!</v>
      </c>
      <c r="ED669" s="1454"/>
      <c r="EE669" s="1454"/>
      <c r="EF669" s="1454"/>
      <c r="EG669" s="1454"/>
      <c r="EH669" s="1454" t="e">
        <f t="shared" si="4"/>
        <v>#VALUE!</v>
      </c>
      <c r="EI669" s="1454"/>
      <c r="EJ669" s="1454"/>
      <c r="EK669" s="1454"/>
      <c r="EL669" s="1454"/>
      <c r="EM669" s="1454" t="e">
        <f t="shared" si="5"/>
        <v>#VALUE!</v>
      </c>
      <c r="EN669" s="1454"/>
      <c r="EO669" s="1454"/>
      <c r="EP669" s="1454"/>
      <c r="EQ669" s="1454"/>
      <c r="ER669" s="1454" t="e">
        <f t="shared" si="6"/>
        <v>#VALUE!</v>
      </c>
      <c r="ES669" s="1454"/>
      <c r="ET669" s="1454"/>
      <c r="EU669" s="1454"/>
      <c r="EV669" s="1454"/>
      <c r="EW669" s="1454" t="e">
        <f t="shared" si="7"/>
        <v>#VALUE!</v>
      </c>
      <c r="EX669" s="1454"/>
      <c r="EY669" s="1454"/>
      <c r="EZ669" s="1454"/>
      <c r="FA669" s="1454"/>
    </row>
    <row r="670" spans="1:157" ht="12.95" customHeight="1">
      <c r="A670" s="22"/>
      <c r="B670" t="s">
        <v>17</v>
      </c>
      <c r="G670" s="1360"/>
      <c r="H670" s="1360"/>
      <c r="I670" s="1360"/>
      <c r="J670" s="1360"/>
      <c r="K670" s="1360"/>
      <c r="L670" s="1360"/>
      <c r="M670" s="1360"/>
      <c r="N670" s="1360"/>
      <c r="O670" s="1360"/>
      <c r="P670" s="1360"/>
      <c r="Q670" s="1360"/>
      <c r="R670" s="1360"/>
      <c r="T670" s="22"/>
      <c r="U670" t="s">
        <v>17</v>
      </c>
      <c r="Z670" s="1467"/>
      <c r="AA670" s="1467"/>
      <c r="AB670" s="1467"/>
      <c r="AC670" s="1467"/>
      <c r="AD670" s="1467"/>
      <c r="AE670" s="1467"/>
      <c r="AF670" s="1467"/>
      <c r="AG670" s="1467"/>
      <c r="AH670" s="1467"/>
      <c r="AI670" s="1467"/>
      <c r="AJ670" s="1467"/>
      <c r="AK670" s="146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4">
        <f>SUMIF(DX635:EB669,"&gt;0")</f>
        <v>0</v>
      </c>
      <c r="DY670" s="1454"/>
      <c r="DZ670" s="1454"/>
      <c r="EA670" s="1454"/>
      <c r="EB670" s="1454"/>
      <c r="EC670" s="1454">
        <f>SUMIF(EC635:EG669,"&gt;0")</f>
        <v>1224.741935483871</v>
      </c>
      <c r="ED670" s="1454"/>
      <c r="EE670" s="1454"/>
      <c r="EF670" s="1454"/>
      <c r="EG670" s="1454"/>
      <c r="EH670" s="1454">
        <f>SUMIF(EH635:EL669,"&gt;0")</f>
        <v>2013.7125000000001</v>
      </c>
      <c r="EI670" s="1454"/>
      <c r="EJ670" s="1454"/>
      <c r="EK670" s="1454"/>
      <c r="EL670" s="1454"/>
      <c r="EM670" s="1454">
        <f>SUMIF(EM635:EQ669,"&gt;0")</f>
        <v>2708</v>
      </c>
      <c r="EN670" s="1454"/>
      <c r="EO670" s="1454"/>
      <c r="EP670" s="1454"/>
      <c r="EQ670" s="1454"/>
      <c r="ER670" s="1454">
        <f>SUMIF(ER635:EV669,"&gt;0")</f>
        <v>0</v>
      </c>
      <c r="ES670" s="1454"/>
      <c r="ET670" s="1454"/>
      <c r="EU670" s="1454"/>
      <c r="EV670" s="1454"/>
      <c r="EW670" s="1454">
        <f>SUMIF(EW635:FA669,"&gt;0")</f>
        <v>0</v>
      </c>
      <c r="EX670" s="1454"/>
      <c r="EY670" s="1454"/>
      <c r="EZ670" s="1454"/>
      <c r="FA670" s="1454"/>
    </row>
    <row r="671" spans="1:157" ht="12.95" customHeight="1">
      <c r="A671" s="22"/>
      <c r="B671" t="s">
        <v>315</v>
      </c>
      <c r="G671" s="1358"/>
      <c r="H671" s="1358"/>
      <c r="I671" s="1358"/>
      <c r="J671" s="1358"/>
      <c r="K671" s="1358"/>
      <c r="L671" s="1358"/>
      <c r="O671" s="33" t="s">
        <v>205</v>
      </c>
      <c r="P671" s="1434"/>
      <c r="Q671" s="1434"/>
      <c r="R671" s="1434"/>
      <c r="T671" s="22"/>
      <c r="U671" t="s">
        <v>315</v>
      </c>
      <c r="Z671" s="1358"/>
      <c r="AA671" s="1358"/>
      <c r="AB671" s="1358"/>
      <c r="AC671" s="1358"/>
      <c r="AD671" s="1358"/>
      <c r="AE671" s="1358"/>
      <c r="AH671" s="33" t="s">
        <v>205</v>
      </c>
      <c r="AI671" s="1434"/>
      <c r="AJ671" s="1434"/>
      <c r="AK671" s="143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60"/>
      <c r="I672" s="1360"/>
      <c r="J672" s="1360"/>
      <c r="K672" s="1360"/>
      <c r="L672" s="1360"/>
      <c r="M672" s="1360"/>
      <c r="N672" s="1360"/>
      <c r="O672" s="1360"/>
      <c r="P672" s="1360"/>
      <c r="Q672" s="1360"/>
      <c r="R672" s="1360"/>
      <c r="T672" s="22"/>
      <c r="U672" t="s">
        <v>18</v>
      </c>
      <c r="AA672" s="1360"/>
      <c r="AB672" s="1360"/>
      <c r="AC672" s="1360"/>
      <c r="AD672" s="1360"/>
      <c r="AE672" s="1360"/>
      <c r="AF672" s="1360"/>
      <c r="AG672" s="1360"/>
      <c r="AH672" s="1360"/>
      <c r="AI672" s="1360"/>
      <c r="AJ672" s="1360"/>
      <c r="AK672" s="136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400">
        <f>C635</f>
        <v>0</v>
      </c>
      <c r="H675" s="1400"/>
      <c r="I675" s="1400"/>
      <c r="J675" s="1400"/>
      <c r="K675" s="1400"/>
      <c r="L675" s="1400"/>
      <c r="M675" s="1400"/>
      <c r="N675" s="1400"/>
      <c r="O675" s="1400"/>
      <c r="P675" s="1400"/>
      <c r="Q675" s="1400"/>
      <c r="R675" s="1400"/>
      <c r="T675" s="55" t="s">
        <v>646</v>
      </c>
      <c r="U675" t="s">
        <v>463</v>
      </c>
      <c r="Z675" s="1400">
        <f>C636</f>
        <v>0</v>
      </c>
      <c r="AA675" s="1400"/>
      <c r="AB675" s="1400"/>
      <c r="AC675" s="1400"/>
      <c r="AD675" s="1400"/>
      <c r="AE675" s="1400"/>
      <c r="AF675" s="1400"/>
      <c r="AG675" s="1400"/>
      <c r="AH675" s="1400"/>
      <c r="AI675" s="1400"/>
      <c r="AJ675" s="1400"/>
      <c r="AK675" s="1400"/>
      <c r="AZ675" s="3"/>
    </row>
    <row r="676" spans="1:52" ht="12.95" customHeight="1">
      <c r="A676" s="22"/>
      <c r="B676" t="s">
        <v>85</v>
      </c>
      <c r="G676" s="1360"/>
      <c r="H676" s="1360"/>
      <c r="I676" s="1360"/>
      <c r="J676" s="1360"/>
      <c r="K676" s="1360"/>
      <c r="L676" s="1360"/>
      <c r="M676" s="1360"/>
      <c r="N676" s="1360"/>
      <c r="O676" s="1360"/>
      <c r="P676" s="1360"/>
      <c r="Q676" s="1360"/>
      <c r="R676" s="1360"/>
      <c r="T676" s="22"/>
      <c r="U676" t="s">
        <v>85</v>
      </c>
      <c r="Z676" s="1360"/>
      <c r="AA676" s="1360"/>
      <c r="AB676" s="1360"/>
      <c r="AC676" s="1360"/>
      <c r="AD676" s="1360"/>
      <c r="AE676" s="1360"/>
      <c r="AF676" s="1360"/>
      <c r="AG676" s="1360"/>
      <c r="AH676" s="1360"/>
      <c r="AI676" s="1360"/>
      <c r="AJ676" s="1360"/>
      <c r="AK676" s="1360"/>
      <c r="AZ676" s="3"/>
    </row>
    <row r="677" spans="1:52" ht="12.95" customHeight="1">
      <c r="A677" s="22"/>
      <c r="B677" t="s">
        <v>580</v>
      </c>
      <c r="G677" s="1360"/>
      <c r="H677" s="1360"/>
      <c r="I677" s="1360"/>
      <c r="J677" s="1360"/>
      <c r="K677" s="1360"/>
      <c r="L677" s="1360"/>
      <c r="M677" s="1360"/>
      <c r="N677" s="1360"/>
      <c r="O677" s="1360"/>
      <c r="P677" s="1360"/>
      <c r="Q677" s="1360"/>
      <c r="R677" s="1360"/>
      <c r="T677" s="22"/>
      <c r="U677" t="s">
        <v>580</v>
      </c>
      <c r="Z677" s="1467"/>
      <c r="AA677" s="1467"/>
      <c r="AB677" s="1467"/>
      <c r="AC677" s="1467"/>
      <c r="AD677" s="1467"/>
      <c r="AE677" s="1467"/>
      <c r="AF677" s="1467"/>
      <c r="AG677" s="1467"/>
      <c r="AH677" s="1467"/>
      <c r="AI677" s="1467"/>
      <c r="AJ677" s="1467"/>
      <c r="AK677" s="1467"/>
      <c r="AZ677" s="3"/>
    </row>
    <row r="678" spans="1:52" ht="12.95" customHeight="1">
      <c r="A678" s="22"/>
      <c r="B678" t="s">
        <v>17</v>
      </c>
      <c r="G678" s="1360"/>
      <c r="H678" s="1360"/>
      <c r="I678" s="1360"/>
      <c r="J678" s="1360"/>
      <c r="K678" s="1360"/>
      <c r="L678" s="1360"/>
      <c r="M678" s="1360"/>
      <c r="N678" s="1360"/>
      <c r="O678" s="1360"/>
      <c r="P678" s="1360"/>
      <c r="Q678" s="1360"/>
      <c r="R678" s="1360"/>
      <c r="T678" s="22"/>
      <c r="U678" t="s">
        <v>17</v>
      </c>
      <c r="Z678" s="1467"/>
      <c r="AA678" s="1467"/>
      <c r="AB678" s="1467"/>
      <c r="AC678" s="1467"/>
      <c r="AD678" s="1467"/>
      <c r="AE678" s="1467"/>
      <c r="AF678" s="1467"/>
      <c r="AG678" s="1467"/>
      <c r="AH678" s="1467"/>
      <c r="AI678" s="1467"/>
      <c r="AJ678" s="1467"/>
      <c r="AK678" s="1467"/>
      <c r="AZ678" s="3"/>
    </row>
    <row r="679" spans="1:52" ht="12.95" customHeight="1">
      <c r="A679" s="22"/>
      <c r="B679" t="s">
        <v>315</v>
      </c>
      <c r="G679" s="1358"/>
      <c r="H679" s="1358"/>
      <c r="I679" s="1358"/>
      <c r="J679" s="1358"/>
      <c r="K679" s="1358"/>
      <c r="L679" s="1358"/>
      <c r="O679" s="33" t="s">
        <v>205</v>
      </c>
      <c r="P679" s="1434"/>
      <c r="Q679" s="1434"/>
      <c r="R679" s="1434"/>
      <c r="T679" s="22"/>
      <c r="U679" t="s">
        <v>315</v>
      </c>
      <c r="Z679" s="1358"/>
      <c r="AA679" s="1358"/>
      <c r="AB679" s="1358"/>
      <c r="AC679" s="1358"/>
      <c r="AD679" s="1358"/>
      <c r="AE679" s="1358"/>
      <c r="AH679" s="33" t="s">
        <v>205</v>
      </c>
      <c r="AI679" s="1434"/>
      <c r="AJ679" s="1434"/>
      <c r="AK679" s="1434"/>
      <c r="AZ679" s="3"/>
    </row>
    <row r="680" spans="1:52" ht="12.95" customHeight="1">
      <c r="A680" s="22"/>
      <c r="B680" t="s">
        <v>18</v>
      </c>
      <c r="H680" s="1360"/>
      <c r="I680" s="1360"/>
      <c r="J680" s="1360"/>
      <c r="K680" s="1360"/>
      <c r="L680" s="1360"/>
      <c r="M680" s="1360"/>
      <c r="N680" s="1360"/>
      <c r="O680" s="1360"/>
      <c r="P680" s="1360"/>
      <c r="Q680" s="1360"/>
      <c r="R680" s="1360"/>
      <c r="T680" s="22"/>
      <c r="U680" t="s">
        <v>18</v>
      </c>
      <c r="AA680" s="1360"/>
      <c r="AB680" s="1360"/>
      <c r="AC680" s="1360"/>
      <c r="AD680" s="1360"/>
      <c r="AE680" s="1360"/>
      <c r="AF680" s="1360"/>
      <c r="AG680" s="1360"/>
      <c r="AH680" s="1360"/>
      <c r="AI680" s="1360"/>
      <c r="AJ680" s="1360"/>
      <c r="AK680" s="1360"/>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400">
        <f>C637</f>
        <v>0</v>
      </c>
      <c r="H683" s="1400"/>
      <c r="I683" s="1400"/>
      <c r="J683" s="1400"/>
      <c r="K683" s="1400"/>
      <c r="L683" s="1400"/>
      <c r="M683" s="1400"/>
      <c r="N683" s="1400"/>
      <c r="O683" s="1400"/>
      <c r="P683" s="1400"/>
      <c r="Q683" s="1400"/>
      <c r="R683" s="1400"/>
      <c r="T683" s="55" t="s">
        <v>362</v>
      </c>
      <c r="U683" t="s">
        <v>463</v>
      </c>
      <c r="Z683" s="1400">
        <f>C638</f>
        <v>0</v>
      </c>
      <c r="AA683" s="1400"/>
      <c r="AB683" s="1400"/>
      <c r="AC683" s="1400"/>
      <c r="AD683" s="1400"/>
      <c r="AE683" s="1400"/>
      <c r="AF683" s="1400"/>
      <c r="AG683" s="1400"/>
      <c r="AH683" s="1400"/>
      <c r="AI683" s="1400"/>
      <c r="AJ683" s="1400"/>
      <c r="AK683" s="1400"/>
      <c r="AZ683" s="3"/>
    </row>
    <row r="684" spans="1:52" ht="12.95" customHeight="1">
      <c r="B684" t="s">
        <v>85</v>
      </c>
      <c r="G684" s="1360"/>
      <c r="H684" s="1360"/>
      <c r="I684" s="1360"/>
      <c r="J684" s="1360"/>
      <c r="K684" s="1360"/>
      <c r="L684" s="1360"/>
      <c r="M684" s="1360"/>
      <c r="N684" s="1360"/>
      <c r="O684" s="1360"/>
      <c r="P684" s="1360"/>
      <c r="Q684" s="1360"/>
      <c r="R684" s="1360"/>
      <c r="T684" s="22"/>
      <c r="U684" t="s">
        <v>85</v>
      </c>
      <c r="Z684" s="1360"/>
      <c r="AA684" s="1360"/>
      <c r="AB684" s="1360"/>
      <c r="AC684" s="1360"/>
      <c r="AD684" s="1360"/>
      <c r="AE684" s="1360"/>
      <c r="AF684" s="1360"/>
      <c r="AG684" s="1360"/>
      <c r="AH684" s="1360"/>
      <c r="AI684" s="1360"/>
      <c r="AJ684" s="1360"/>
      <c r="AK684" s="1360"/>
      <c r="AZ684" s="3"/>
    </row>
    <row r="685" spans="1:52" ht="12.95" customHeight="1">
      <c r="B685" t="s">
        <v>580</v>
      </c>
      <c r="G685" s="1360"/>
      <c r="H685" s="1360"/>
      <c r="I685" s="1360"/>
      <c r="J685" s="1360"/>
      <c r="K685" s="1360"/>
      <c r="L685" s="1360"/>
      <c r="M685" s="1360"/>
      <c r="N685" s="1360"/>
      <c r="O685" s="1360"/>
      <c r="P685" s="1360"/>
      <c r="Q685" s="1360"/>
      <c r="R685" s="1360"/>
      <c r="U685" t="s">
        <v>580</v>
      </c>
      <c r="Z685" s="1467"/>
      <c r="AA685" s="1467"/>
      <c r="AB685" s="1467"/>
      <c r="AC685" s="1467"/>
      <c r="AD685" s="1467"/>
      <c r="AE685" s="1467"/>
      <c r="AF685" s="1467"/>
      <c r="AG685" s="1467"/>
      <c r="AH685" s="1467"/>
      <c r="AI685" s="1467"/>
      <c r="AJ685" s="1467"/>
      <c r="AK685" s="1467"/>
      <c r="AZ685" s="3"/>
    </row>
    <row r="686" spans="1:52" ht="12.95" customHeight="1">
      <c r="B686" t="s">
        <v>17</v>
      </c>
      <c r="G686" s="1360"/>
      <c r="H686" s="1360"/>
      <c r="I686" s="1360"/>
      <c r="J686" s="1360"/>
      <c r="K686" s="1360"/>
      <c r="L686" s="1360"/>
      <c r="M686" s="1360"/>
      <c r="N686" s="1360"/>
      <c r="O686" s="1360"/>
      <c r="P686" s="1360"/>
      <c r="Q686" s="1360"/>
      <c r="R686" s="1360"/>
      <c r="U686" t="s">
        <v>17</v>
      </c>
      <c r="Z686" s="1467"/>
      <c r="AA686" s="1467"/>
      <c r="AB686" s="1467"/>
      <c r="AC686" s="1467"/>
      <c r="AD686" s="1467"/>
      <c r="AE686" s="1467"/>
      <c r="AF686" s="1467"/>
      <c r="AG686" s="1467"/>
      <c r="AH686" s="1467"/>
      <c r="AI686" s="1467"/>
      <c r="AJ686" s="1467"/>
      <c r="AK686" s="1467"/>
      <c r="AZ686" s="3"/>
    </row>
    <row r="687" spans="1:52" ht="12.95" customHeight="1">
      <c r="B687" t="s">
        <v>315</v>
      </c>
      <c r="G687" s="1358"/>
      <c r="H687" s="1358"/>
      <c r="I687" s="1358"/>
      <c r="J687" s="1358"/>
      <c r="K687" s="1358"/>
      <c r="L687" s="1358"/>
      <c r="O687" s="33" t="s">
        <v>205</v>
      </c>
      <c r="P687" s="1434"/>
      <c r="Q687" s="1434"/>
      <c r="R687" s="1434"/>
      <c r="U687" t="s">
        <v>315</v>
      </c>
      <c r="Z687" s="1358"/>
      <c r="AA687" s="1358"/>
      <c r="AB687" s="1358"/>
      <c r="AC687" s="1358"/>
      <c r="AD687" s="1358"/>
      <c r="AE687" s="1358"/>
      <c r="AH687" s="33" t="s">
        <v>205</v>
      </c>
      <c r="AI687" s="1434"/>
      <c r="AJ687" s="1434"/>
      <c r="AK687" s="1434"/>
      <c r="AZ687" s="3"/>
    </row>
    <row r="688" spans="1:52" ht="12.95" customHeight="1">
      <c r="B688" t="s">
        <v>18</v>
      </c>
      <c r="H688" s="1360"/>
      <c r="I688" s="1360"/>
      <c r="J688" s="1360"/>
      <c r="K688" s="1360"/>
      <c r="L688" s="1360"/>
      <c r="M688" s="1360"/>
      <c r="N688" s="1360"/>
      <c r="O688" s="1360"/>
      <c r="P688" s="1360"/>
      <c r="Q688" s="1360"/>
      <c r="R688" s="1360"/>
      <c r="U688" t="s">
        <v>18</v>
      </c>
      <c r="AA688" s="1360"/>
      <c r="AB688" s="1360"/>
      <c r="AC688" s="1360"/>
      <c r="AD688" s="1360"/>
      <c r="AE688" s="1360"/>
      <c r="AF688" s="1360"/>
      <c r="AG688" s="1360"/>
      <c r="AH688" s="1360"/>
      <c r="AI688" s="1360"/>
      <c r="AJ688" s="1360"/>
      <c r="AK688" s="1360"/>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669</v>
      </c>
      <c r="AF694" s="1332"/>
      <c r="AZ694" s="3"/>
    </row>
    <row r="695" spans="1:67" ht="12.95" customHeight="1">
      <c r="B695" s="135"/>
      <c r="C695" s="135"/>
      <c r="D695" s="136" t="s">
        <v>920</v>
      </c>
      <c r="E695" s="135"/>
      <c r="F695" s="135"/>
      <c r="G695" s="135"/>
      <c r="H695" s="135"/>
      <c r="AE695" s="1675">
        <v>45909</v>
      </c>
      <c r="AF695" s="1675"/>
      <c r="AG695" s="1675"/>
      <c r="AH695" s="1675"/>
      <c r="AI695" s="1675"/>
    </row>
    <row r="696" spans="1:67" ht="12.95" customHeight="1">
      <c r="B696" s="135"/>
      <c r="C696" s="135"/>
      <c r="D696" s="317" t="s">
        <v>983</v>
      </c>
      <c r="E696" s="135"/>
      <c r="F696" s="135"/>
      <c r="G696" s="135"/>
      <c r="H696" s="135"/>
      <c r="AE696" s="1637">
        <v>45980</v>
      </c>
      <c r="AF696" s="1637"/>
      <c r="AG696" s="1637"/>
      <c r="AH696" s="1637"/>
      <c r="AI696" s="1637"/>
    </row>
    <row r="697" spans="1:67" ht="12.95" customHeight="1">
      <c r="B697" s="135"/>
      <c r="C697" s="135"/>
    </row>
    <row r="698" spans="1:67" ht="12.95" customHeight="1">
      <c r="B698" s="135"/>
      <c r="C698" s="135"/>
      <c r="D698" s="136" t="s">
        <v>816</v>
      </c>
      <c r="E698" s="135"/>
      <c r="F698" s="135"/>
      <c r="G698" s="135"/>
      <c r="H698" s="135"/>
      <c r="AE698" s="1675">
        <v>46174</v>
      </c>
      <c r="AF698" s="1675"/>
      <c r="AG698" s="1675"/>
      <c r="AH698" s="1675"/>
      <c r="AI698" s="1675"/>
    </row>
    <row r="699" spans="1:67" ht="12.95" customHeight="1">
      <c r="B699" s="135"/>
      <c r="C699" s="135"/>
      <c r="D699" s="136" t="s">
        <v>435</v>
      </c>
      <c r="E699" s="135"/>
      <c r="F699" s="135"/>
      <c r="G699" s="135"/>
      <c r="H699" s="135"/>
      <c r="AE699" s="1676">
        <v>0.25069999999999998</v>
      </c>
      <c r="AF699" s="1676"/>
      <c r="AG699" s="1676"/>
      <c r="AH699" s="1676"/>
      <c r="AI699" s="1676"/>
    </row>
    <row r="700" spans="1:67" ht="12.95" customHeight="1">
      <c r="B700" s="135"/>
      <c r="C700" s="135"/>
      <c r="D700" s="136" t="s">
        <v>436</v>
      </c>
      <c r="E700" s="135"/>
      <c r="F700" s="135"/>
      <c r="G700" s="135"/>
      <c r="H700" s="135"/>
      <c r="W700" s="1400" t="str">
        <f>H335</f>
        <v xml:space="preserve">California Municipal Finance Authority </v>
      </c>
      <c r="X700" s="1400"/>
      <c r="Y700" s="1400"/>
      <c r="Z700" s="1400"/>
      <c r="AA700" s="1400"/>
      <c r="AB700" s="1400"/>
      <c r="AC700" s="1400"/>
      <c r="AD700" s="1400"/>
      <c r="AE700" s="1400"/>
      <c r="AF700" s="1400"/>
      <c r="AG700" s="1400"/>
      <c r="AH700" s="1400"/>
      <c r="AI700" s="1400"/>
      <c r="AJ700" s="1400"/>
      <c r="AK700" s="1400"/>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60"/>
      <c r="X703" s="1360"/>
      <c r="Y703" s="1360"/>
      <c r="Z703" s="1360"/>
      <c r="AA703" s="1360"/>
      <c r="AB703" s="1360"/>
      <c r="AC703" s="1360"/>
      <c r="AD703" s="1360"/>
      <c r="AE703" s="1360"/>
      <c r="AF703" s="1360"/>
      <c r="AG703" s="1360"/>
      <c r="AH703" s="1360"/>
      <c r="AI703" s="1360"/>
      <c r="AJ703" s="1360"/>
      <c r="AK703" s="1360"/>
      <c r="AZ703" s="4" t="s">
        <v>324</v>
      </c>
    </row>
    <row r="704" spans="1:67" ht="12.95" customHeight="1">
      <c r="B704" s="135"/>
      <c r="C704" s="135"/>
      <c r="D704" s="136" t="s">
        <v>87</v>
      </c>
      <c r="E704" s="135"/>
      <c r="F704" s="135"/>
      <c r="G704" s="135"/>
      <c r="H704" s="135"/>
      <c r="J704" s="1360"/>
      <c r="K704" s="1360"/>
      <c r="L704" s="1360"/>
      <c r="M704" s="1360"/>
      <c r="N704" s="1360"/>
      <c r="O704" s="1360"/>
      <c r="P704" s="1360"/>
      <c r="Q704" s="1360"/>
      <c r="R704" s="1360"/>
      <c r="S704" s="1360"/>
      <c r="T704" s="1360"/>
      <c r="U704" s="1360"/>
      <c r="V704" s="1360"/>
      <c r="W704" s="1360"/>
      <c r="X704" s="1360"/>
      <c r="AZ704" s="4" t="s">
        <v>163</v>
      </c>
      <c r="BB704" s="34"/>
      <c r="BC704" s="34"/>
      <c r="BD704" s="34"/>
      <c r="BE704" s="3"/>
      <c r="BF704" s="3"/>
      <c r="BJ704" s="3"/>
      <c r="BK704" s="3"/>
      <c r="BL704" s="3"/>
      <c r="BM704" s="3"/>
      <c r="BN704" s="34"/>
      <c r="BO704" s="34"/>
    </row>
    <row r="705" spans="1:185" ht="12.95" customHeight="1">
      <c r="B705" s="135"/>
      <c r="C705" s="135"/>
      <c r="D705" s="136" t="s">
        <v>88</v>
      </c>
      <c r="J705" s="1358"/>
      <c r="K705" s="1358"/>
      <c r="L705" s="1358"/>
      <c r="M705" s="1358"/>
      <c r="N705" s="1358"/>
      <c r="O705" s="1358"/>
      <c r="P705" s="4" t="s">
        <v>205</v>
      </c>
      <c r="Q705" s="4"/>
      <c r="R705" s="1434"/>
      <c r="S705" s="1434"/>
      <c r="T705" s="143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60" t="s">
        <v>306</v>
      </c>
      <c r="X706" s="1360"/>
      <c r="Y706" s="1360"/>
      <c r="Z706" s="1360"/>
      <c r="AA706" s="1360"/>
      <c r="AB706" s="1360"/>
      <c r="AC706" s="1360"/>
      <c r="AD706" s="1360"/>
      <c r="AE706" s="1360"/>
      <c r="AF706" s="1360"/>
      <c r="AG706" s="1360"/>
      <c r="AH706" s="1360"/>
      <c r="AI706" s="1360"/>
      <c r="AJ706" s="1360"/>
      <c r="AK706" s="136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60" t="s">
        <v>333</v>
      </c>
      <c r="F707" s="1360"/>
      <c r="G707" s="1360"/>
      <c r="H707" s="1360"/>
      <c r="I707" s="1360"/>
      <c r="J707" s="1360"/>
      <c r="K707" s="1360"/>
      <c r="L707" s="1360"/>
      <c r="M707" s="1360"/>
      <c r="N707" s="1360"/>
      <c r="O707" s="1360"/>
      <c r="P707" s="1360"/>
      <c r="Q707" s="1360"/>
      <c r="R707" s="1360"/>
      <c r="S707" s="1360"/>
      <c r="T707" s="1360"/>
      <c r="U707" s="1360"/>
      <c r="V707" s="1360"/>
      <c r="W707" s="1360"/>
      <c r="X707" s="1360"/>
      <c r="Y707" s="1360"/>
      <c r="Z707" s="1360"/>
      <c r="AA707" s="1360"/>
      <c r="AB707" s="1360"/>
      <c r="AC707" s="1360"/>
      <c r="AD707" s="1360"/>
      <c r="AE707" s="1360"/>
      <c r="AF707" s="1360"/>
      <c r="AG707" s="1360"/>
      <c r="AH707" s="1360"/>
      <c r="AI707" s="1360"/>
      <c r="AJ707" s="1360"/>
      <c r="AK707" s="136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42" t="s">
        <v>388</v>
      </c>
      <c r="C714" s="1343"/>
      <c r="D714" s="1343"/>
      <c r="E714" s="1343"/>
      <c r="F714" s="1344"/>
      <c r="G714" s="1342" t="s">
        <v>284</v>
      </c>
      <c r="H714" s="1343"/>
      <c r="I714" s="1343"/>
      <c r="J714" s="1344"/>
      <c r="K714" s="1716" t="s">
        <v>1679</v>
      </c>
      <c r="L714" s="1717"/>
      <c r="M714" s="1717"/>
      <c r="N714" s="1718"/>
      <c r="O714" s="1342" t="s">
        <v>447</v>
      </c>
      <c r="P714" s="1343"/>
      <c r="Q714" s="1343"/>
      <c r="R714" s="1343"/>
      <c r="S714" s="1344"/>
      <c r="T714" s="1636" t="s">
        <v>1949</v>
      </c>
      <c r="U714" s="1343"/>
      <c r="V714" s="1343"/>
      <c r="W714" s="1344"/>
      <c r="X714" s="1636" t="s">
        <v>1951</v>
      </c>
      <c r="Y714" s="1343"/>
      <c r="Z714" s="1343"/>
      <c r="AA714" s="1343"/>
      <c r="AB714" s="1344"/>
      <c r="AC714" s="1636" t="s">
        <v>1950</v>
      </c>
      <c r="AD714" s="1343"/>
      <c r="AE714" s="1343"/>
      <c r="AF714" s="1343"/>
      <c r="AG714" s="1344"/>
      <c r="AH714" s="1636" t="s">
        <v>1952</v>
      </c>
      <c r="AI714" s="1343"/>
      <c r="AJ714" s="1344"/>
      <c r="AK714" s="1636" t="s">
        <v>1979</v>
      </c>
      <c r="AL714" s="1343"/>
      <c r="AM714" s="1343"/>
      <c r="AN714" s="1343"/>
      <c r="AO714" s="134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45"/>
      <c r="C715" s="1346"/>
      <c r="D715" s="1346"/>
      <c r="E715" s="1346"/>
      <c r="F715" s="1347"/>
      <c r="G715" s="1345"/>
      <c r="H715" s="1346"/>
      <c r="I715" s="1346"/>
      <c r="J715" s="1347"/>
      <c r="K715" s="1719"/>
      <c r="L715" s="1720"/>
      <c r="M715" s="1720"/>
      <c r="N715" s="1721"/>
      <c r="O715" s="1345"/>
      <c r="P715" s="1346"/>
      <c r="Q715" s="1346"/>
      <c r="R715" s="1346"/>
      <c r="S715" s="1347"/>
      <c r="T715" s="1345"/>
      <c r="U715" s="1346"/>
      <c r="V715" s="1346"/>
      <c r="W715" s="1347"/>
      <c r="X715" s="1345"/>
      <c r="Y715" s="1346"/>
      <c r="Z715" s="1346"/>
      <c r="AA715" s="1346"/>
      <c r="AB715" s="1347"/>
      <c r="AC715" s="1345"/>
      <c r="AD715" s="1346"/>
      <c r="AE715" s="1346"/>
      <c r="AF715" s="1346"/>
      <c r="AG715" s="1347"/>
      <c r="AH715" s="1345"/>
      <c r="AI715" s="1346"/>
      <c r="AJ715" s="1347"/>
      <c r="AK715" s="1345"/>
      <c r="AL715" s="1346"/>
      <c r="AM715" s="1346"/>
      <c r="AN715" s="1346"/>
      <c r="AO715" s="134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45"/>
      <c r="C716" s="1346"/>
      <c r="D716" s="1346"/>
      <c r="E716" s="1346"/>
      <c r="F716" s="1347"/>
      <c r="G716" s="1345"/>
      <c r="H716" s="1346"/>
      <c r="I716" s="1346"/>
      <c r="J716" s="1347"/>
      <c r="K716" s="1719"/>
      <c r="L716" s="1720"/>
      <c r="M716" s="1720"/>
      <c r="N716" s="1721"/>
      <c r="O716" s="1345"/>
      <c r="P716" s="1346"/>
      <c r="Q716" s="1346"/>
      <c r="R716" s="1346"/>
      <c r="S716" s="1347"/>
      <c r="T716" s="1345"/>
      <c r="U716" s="1346"/>
      <c r="V716" s="1346"/>
      <c r="W716" s="1347"/>
      <c r="X716" s="1345"/>
      <c r="Y716" s="1346"/>
      <c r="Z716" s="1346"/>
      <c r="AA716" s="1346"/>
      <c r="AB716" s="1347"/>
      <c r="AC716" s="1345"/>
      <c r="AD716" s="1346"/>
      <c r="AE716" s="1346"/>
      <c r="AF716" s="1346"/>
      <c r="AG716" s="1347"/>
      <c r="AH716" s="1345"/>
      <c r="AI716" s="1346"/>
      <c r="AJ716" s="1347"/>
      <c r="AK716" s="1345"/>
      <c r="AL716" s="1346"/>
      <c r="AM716" s="1346"/>
      <c r="AN716" s="1346"/>
      <c r="AO716" s="134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48"/>
      <c r="C717" s="1349"/>
      <c r="D717" s="1349"/>
      <c r="E717" s="1349"/>
      <c r="F717" s="1350"/>
      <c r="G717" s="1348"/>
      <c r="H717" s="1349"/>
      <c r="I717" s="1349"/>
      <c r="J717" s="1350"/>
      <c r="K717" s="1719"/>
      <c r="L717" s="1720"/>
      <c r="M717" s="1720"/>
      <c r="N717" s="1721"/>
      <c r="O717" s="1348"/>
      <c r="P717" s="1349"/>
      <c r="Q717" s="1349"/>
      <c r="R717" s="1349"/>
      <c r="S717" s="1350"/>
      <c r="T717" s="1348"/>
      <c r="U717" s="1349"/>
      <c r="V717" s="1349"/>
      <c r="W717" s="1350"/>
      <c r="X717" s="1348"/>
      <c r="Y717" s="1349"/>
      <c r="Z717" s="1349"/>
      <c r="AA717" s="1349"/>
      <c r="AB717" s="1350"/>
      <c r="AC717" s="1348"/>
      <c r="AD717" s="1349"/>
      <c r="AE717" s="1349"/>
      <c r="AF717" s="1349"/>
      <c r="AG717" s="1350"/>
      <c r="AH717" s="1348"/>
      <c r="AI717" s="1349"/>
      <c r="AJ717" s="1350"/>
      <c r="AK717" s="1348"/>
      <c r="AL717" s="1349"/>
      <c r="AM717" s="1349"/>
      <c r="AN717" s="1349"/>
      <c r="AO717" s="135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6"/>
      <c r="CJ717" s="1477"/>
      <c r="CK717" s="121" t="s">
        <v>475</v>
      </c>
      <c r="CL717" s="122"/>
      <c r="CM717" s="1476"/>
      <c r="CN717" s="1477"/>
      <c r="CO717" s="3"/>
      <c r="CP717" s="1382" t="s">
        <v>633</v>
      </c>
      <c r="CQ717" s="1383"/>
      <c r="CR717" s="1383"/>
      <c r="CS717" s="1383"/>
      <c r="CT717" s="1384"/>
      <c r="CU717" s="1478" t="s">
        <v>324</v>
      </c>
      <c r="CV717" s="1478"/>
      <c r="CW717" s="1478"/>
      <c r="CX717" s="1478"/>
      <c r="CY717" s="1478"/>
      <c r="CZ717" s="1478" t="s">
        <v>163</v>
      </c>
      <c r="DA717" s="1478"/>
      <c r="DB717" s="1478"/>
      <c r="DC717" s="1478"/>
      <c r="DD717" s="1478"/>
      <c r="DE717" s="1478" t="s">
        <v>164</v>
      </c>
      <c r="DF717" s="1478"/>
      <c r="DG717" s="1478"/>
      <c r="DH717" s="1478"/>
      <c r="DI717" s="1478"/>
      <c r="DJ717" s="1478" t="s">
        <v>460</v>
      </c>
      <c r="DK717" s="1478"/>
      <c r="DL717" s="1478"/>
      <c r="DM717" s="1478"/>
      <c r="DN717" s="1478"/>
      <c r="DO717" s="1478" t="s">
        <v>30</v>
      </c>
      <c r="DP717" s="1478"/>
      <c r="DQ717" s="1478"/>
      <c r="DR717" s="1478"/>
      <c r="DS717" s="1478"/>
      <c r="DT717" s="89"/>
      <c r="DU717" s="1478" t="s">
        <v>633</v>
      </c>
      <c r="DV717" s="1478"/>
      <c r="DW717" s="1478"/>
      <c r="DX717" s="1478"/>
      <c r="DY717" s="1478"/>
      <c r="DZ717" s="1478" t="s">
        <v>324</v>
      </c>
      <c r="EA717" s="1478"/>
      <c r="EB717" s="1478"/>
      <c r="EC717" s="1478"/>
      <c r="ED717" s="1478"/>
      <c r="EE717" s="1478" t="s">
        <v>163</v>
      </c>
      <c r="EF717" s="1478"/>
      <c r="EG717" s="1478"/>
      <c r="EH717" s="1478"/>
      <c r="EI717" s="1478"/>
      <c r="EJ717" s="1478" t="s">
        <v>164</v>
      </c>
      <c r="EK717" s="1478"/>
      <c r="EL717" s="1478"/>
      <c r="EM717" s="1478"/>
      <c r="EN717" s="1478"/>
      <c r="EO717" s="1478" t="s">
        <v>460</v>
      </c>
      <c r="EP717" s="1478"/>
      <c r="EQ717" s="1478"/>
      <c r="ER717" s="1478"/>
      <c r="ES717" s="1478"/>
      <c r="ET717" s="1478" t="s">
        <v>30</v>
      </c>
      <c r="EU717" s="1478"/>
      <c r="EV717" s="1478"/>
      <c r="EW717" s="1478"/>
      <c r="EX717" s="1478"/>
      <c r="EY717" s="4"/>
      <c r="EZ717" s="1478" t="s">
        <v>633</v>
      </c>
      <c r="FA717" s="1478"/>
      <c r="FB717" s="1478"/>
      <c r="FC717" s="1478"/>
      <c r="FD717" s="1478"/>
      <c r="FE717" s="1478" t="s">
        <v>324</v>
      </c>
      <c r="FF717" s="1478"/>
      <c r="FG717" s="1478"/>
      <c r="FH717" s="1478"/>
      <c r="FI717" s="1478"/>
      <c r="FJ717" s="1478" t="s">
        <v>163</v>
      </c>
      <c r="FK717" s="1478"/>
      <c r="FL717" s="1478"/>
      <c r="FM717" s="1478"/>
      <c r="FN717" s="1478"/>
      <c r="FO717" s="1478" t="s">
        <v>164</v>
      </c>
      <c r="FP717" s="1478"/>
      <c r="FQ717" s="1478"/>
      <c r="FR717" s="1478"/>
      <c r="FS717" s="1478"/>
      <c r="FT717" s="1478" t="s">
        <v>460</v>
      </c>
      <c r="FU717" s="1478"/>
      <c r="FV717" s="1478"/>
      <c r="FW717" s="1478"/>
      <c r="FX717" s="1478"/>
      <c r="FY717" s="1478" t="s">
        <v>30</v>
      </c>
      <c r="FZ717" s="1478"/>
      <c r="GA717" s="1478"/>
      <c r="GB717" s="1478"/>
      <c r="GC717" s="1478"/>
    </row>
    <row r="718" spans="1:185" ht="12.95" customHeight="1">
      <c r="A718" s="4"/>
      <c r="B718" s="1354" t="s">
        <v>324</v>
      </c>
      <c r="C718" s="1355"/>
      <c r="D718" s="1355"/>
      <c r="E718" s="1355"/>
      <c r="F718" s="1356"/>
      <c r="G718" s="1351">
        <v>20</v>
      </c>
      <c r="H718" s="1352"/>
      <c r="I718" s="1352"/>
      <c r="J718" s="1353"/>
      <c r="K718" s="1336">
        <v>510</v>
      </c>
      <c r="L718" s="1337"/>
      <c r="M718" s="1337"/>
      <c r="N718" s="1338"/>
      <c r="O718" s="1379">
        <v>822</v>
      </c>
      <c r="P718" s="1380"/>
      <c r="Q718" s="1380"/>
      <c r="R718" s="1380"/>
      <c r="S718" s="1381"/>
      <c r="T718" s="1379">
        <v>30</v>
      </c>
      <c r="U718" s="1380"/>
      <c r="V718" s="1380"/>
      <c r="W718" s="1381"/>
      <c r="X718" s="1361">
        <f t="shared" ref="X718:X741" si="8">O718+T718</f>
        <v>852</v>
      </c>
      <c r="Y718" s="1362"/>
      <c r="Z718" s="1362"/>
      <c r="AA718" s="1362"/>
      <c r="AB718" s="1363"/>
      <c r="AC718" s="1339">
        <v>0.3</v>
      </c>
      <c r="AD718" s="1340"/>
      <c r="AE718" s="1340"/>
      <c r="AF718" s="1340"/>
      <c r="AG718" s="1341"/>
      <c r="AH718" s="1448">
        <f>IF($AC718&gt;0,($X718/$AZ718), "")</f>
        <v>0.3</v>
      </c>
      <c r="AI718" s="1449"/>
      <c r="AJ718" s="1450"/>
      <c r="AK718" s="1354" t="s">
        <v>591</v>
      </c>
      <c r="AL718" s="1355"/>
      <c r="AM718" s="1355"/>
      <c r="AN718" s="1355"/>
      <c r="AO718" s="1356"/>
      <c r="AP718" s="3"/>
      <c r="AQ718" s="3"/>
      <c r="AR718" s="3"/>
      <c r="AS718" s="3"/>
      <c r="AZ718" s="118">
        <f t="shared" ref="AZ718:AZ752" si="9">IF($G718=0,"N/A",VLOOKUP($T$189,TC_Rent,(MATCH($B718,bedrooms,FALSE)),FALSE))</f>
        <v>2840</v>
      </c>
      <c r="BA718" s="3"/>
      <c r="BB718" s="3"/>
      <c r="BC718" s="3"/>
      <c r="BD718" s="3"/>
      <c r="BE718" s="204"/>
      <c r="BF718" s="293">
        <f t="shared" ref="BF718:BF752" si="10">G718</f>
        <v>20</v>
      </c>
      <c r="BG718" s="297">
        <f t="shared" ref="BG718:BG752" si="11">IF($BF$753=0,0,BF718/$BF$753)</f>
        <v>0.12658227848101267</v>
      </c>
      <c r="BH718" s="298">
        <f t="shared" ref="BH718:BH752" si="12">IF(BG718=0,"",BG718*AC718)</f>
        <v>3.7974683544303799E-2</v>
      </c>
      <c r="BI718" s="3"/>
      <c r="BJ718" s="3"/>
      <c r="BK718" s="3"/>
      <c r="BL718" s="3"/>
      <c r="BM718" s="3"/>
      <c r="BN718" s="3"/>
      <c r="BS718" s="293">
        <f t="shared" ref="BS718:BS752" si="13">G718</f>
        <v>20</v>
      </c>
      <c r="BT718" s="297">
        <f t="shared" ref="BT718:BT752" si="14">IF($BS$753=0,0,BS718/$BS$753)</f>
        <v>0.12658227848101267</v>
      </c>
      <c r="BU718" s="298">
        <f t="shared" ref="BU718:BU752" si="15">IF(BT718=0,"",BT718*AH718)</f>
        <v>3.7974683544303799E-2</v>
      </c>
      <c r="CC718" s="3"/>
      <c r="CD718" s="3"/>
      <c r="CE718" s="3"/>
      <c r="CF718" s="3"/>
      <c r="CG718" s="1452">
        <f>IF(AND(AC718&lt;=0.5,AC718&gt;=0.36),1,0)</f>
        <v>0</v>
      </c>
      <c r="CH718" s="1453"/>
      <c r="CI718" s="1476">
        <f>IF(CG718=1,G718,0)</f>
        <v>0</v>
      </c>
      <c r="CJ718" s="1477"/>
      <c r="CK718" s="1452">
        <f t="shared" ref="CK718:CK752" si="16">IF(AND(AC718&lt;=0.35,AC718&gt;0),1,0)</f>
        <v>1</v>
      </c>
      <c r="CL718" s="1453"/>
      <c r="CM718" s="1476">
        <f t="shared" ref="CM718:CM752" si="17">IF(CK718=1,G718,0)</f>
        <v>20</v>
      </c>
      <c r="CN718" s="1477"/>
      <c r="CO718" s="3"/>
      <c r="CP718" s="1416">
        <f t="shared" ref="CP718:CP752" si="18">IF(B718="SRO/Studio",G718,0)</f>
        <v>0</v>
      </c>
      <c r="CQ718" s="1417"/>
      <c r="CR718" s="1417"/>
      <c r="CS718" s="1417"/>
      <c r="CT718" s="1418"/>
      <c r="CU718" s="1451">
        <f t="shared" ref="CU718:CU752" si="19">IF(B718="1 Bedroom",G718,0)</f>
        <v>20</v>
      </c>
      <c r="CV718" s="1451"/>
      <c r="CW718" s="1451"/>
      <c r="CX718" s="1451"/>
      <c r="CY718" s="1451"/>
      <c r="CZ718" s="1451">
        <f t="shared" ref="CZ718:CZ752" si="20">IF(B718="2 Bedrooms",G718,0)</f>
        <v>0</v>
      </c>
      <c r="DA718" s="1451"/>
      <c r="DB718" s="1451"/>
      <c r="DC718" s="1451"/>
      <c r="DD718" s="1451"/>
      <c r="DE718" s="1451">
        <f t="shared" ref="DE718:DE752" si="21">IF(B718="3 Bedrooms",G718,0)</f>
        <v>0</v>
      </c>
      <c r="DF718" s="1451"/>
      <c r="DG718" s="1451"/>
      <c r="DH718" s="1451"/>
      <c r="DI718" s="1451"/>
      <c r="DJ718" s="1451">
        <f t="shared" ref="DJ718:DJ752" si="22">IF(B718="4 Bedrooms",G718,0)</f>
        <v>0</v>
      </c>
      <c r="DK718" s="1451"/>
      <c r="DL718" s="1451"/>
      <c r="DM718" s="1451"/>
      <c r="DN718" s="1451"/>
      <c r="DO718" s="1451">
        <f t="shared" ref="DO718:DO752" si="23">IF(B718="5 Bedrooms",G718,0)</f>
        <v>0</v>
      </c>
      <c r="DP718" s="1451"/>
      <c r="DQ718" s="1451"/>
      <c r="DR718" s="1451"/>
      <c r="DS718" s="1451"/>
      <c r="DT718" s="6"/>
      <c r="DU718" s="1415">
        <f t="shared" ref="DU718:DU752" si="24">IF(AND(B718="SRO/Studio",AC718&lt;=0.3),G718,0)</f>
        <v>0</v>
      </c>
      <c r="DV718" s="1415"/>
      <c r="DW718" s="1415"/>
      <c r="DX718" s="1415"/>
      <c r="DY718" s="1415"/>
      <c r="DZ718" s="1415">
        <f t="shared" ref="DZ718:DZ752" si="25">IF(AND(B718="1 Bedroom",AC718&lt;=0.3),G718,0)</f>
        <v>20</v>
      </c>
      <c r="EA718" s="1415"/>
      <c r="EB718" s="1415"/>
      <c r="EC718" s="1415"/>
      <c r="ED718" s="1415"/>
      <c r="EE718" s="1415">
        <f t="shared" ref="EE718:EE752" si="26">IF(AND(B718="2 Bedrooms",AC718&lt;=0.3),G718,0)</f>
        <v>0</v>
      </c>
      <c r="EF718" s="1415"/>
      <c r="EG718" s="1415"/>
      <c r="EH718" s="1415"/>
      <c r="EI718" s="1415"/>
      <c r="EJ718" s="1415">
        <f t="shared" ref="EJ718:EJ752" si="27">IF(AND(B718="3 Bedrooms",AC718&lt;=0.3),G718,0)</f>
        <v>0</v>
      </c>
      <c r="EK718" s="1415"/>
      <c r="EL718" s="1415"/>
      <c r="EM718" s="1415"/>
      <c r="EN718" s="1415"/>
      <c r="EO718" s="1415">
        <f t="shared" ref="EO718:EO752" si="28">IF(AND(B718="4 Bedrooms",AC718&lt;=0.3),G718,0)</f>
        <v>0</v>
      </c>
      <c r="EP718" s="1415"/>
      <c r="EQ718" s="1415"/>
      <c r="ER718" s="1415"/>
      <c r="ES718" s="1415"/>
      <c r="ET718" s="1415">
        <f t="shared" ref="ET718:ET752" si="29">IF(AND(B718="5 Bedrooms",AC718&lt;=0.3),G718,0)</f>
        <v>0</v>
      </c>
      <c r="EU718" s="1415"/>
      <c r="EV718" s="1415"/>
      <c r="EW718" s="1415"/>
      <c r="EX718" s="1415"/>
      <c r="EY718" s="4"/>
      <c r="EZ718" s="1452" t="str">
        <f t="shared" ref="EZ718:EZ752" si="30">IF(CP718&gt;0,O718,"")</f>
        <v/>
      </c>
      <c r="FA718" s="1486"/>
      <c r="FB718" s="1486"/>
      <c r="FC718" s="1486"/>
      <c r="FD718" s="1453"/>
      <c r="FE718" s="1452">
        <f t="shared" ref="FE718:FE752" si="31">IF(CU718&gt;0,O718,"")</f>
        <v>822</v>
      </c>
      <c r="FF718" s="1486"/>
      <c r="FG718" s="1486"/>
      <c r="FH718" s="1486"/>
      <c r="FI718" s="1453"/>
      <c r="FJ718" s="1452" t="str">
        <f t="shared" ref="FJ718:FJ752" si="32">IF(CZ718&gt;0,O718,"")</f>
        <v/>
      </c>
      <c r="FK718" s="1486"/>
      <c r="FL718" s="1486"/>
      <c r="FM718" s="1486"/>
      <c r="FN718" s="1453"/>
      <c r="FO718" s="1452" t="str">
        <f t="shared" ref="FO718:FO752" si="33">IF(DE718&gt;0,O718,"")</f>
        <v/>
      </c>
      <c r="FP718" s="1486"/>
      <c r="FQ718" s="1486"/>
      <c r="FR718" s="1486"/>
      <c r="FS718" s="1453"/>
      <c r="FT718" s="1452" t="str">
        <f t="shared" ref="FT718:FT752" si="34">IF(DJ718&gt;0,O718,"")</f>
        <v/>
      </c>
      <c r="FU718" s="1486"/>
      <c r="FV718" s="1486"/>
      <c r="FW718" s="1486"/>
      <c r="FX718" s="1453"/>
      <c r="FY718" s="1452" t="str">
        <f t="shared" ref="FY718:FY752" si="35">IF(DO718&gt;0,O718,"")</f>
        <v/>
      </c>
      <c r="FZ718" s="1486"/>
      <c r="GA718" s="1486"/>
      <c r="GB718" s="1486"/>
      <c r="GC718" s="1453"/>
    </row>
    <row r="719" spans="1:185" ht="12.95" customHeight="1">
      <c r="A719" s="4"/>
      <c r="B719" s="1354" t="s">
        <v>324</v>
      </c>
      <c r="C719" s="1355"/>
      <c r="D719" s="1355"/>
      <c r="E719" s="1355"/>
      <c r="F719" s="1356"/>
      <c r="G719" s="1351">
        <v>11</v>
      </c>
      <c r="H719" s="1352"/>
      <c r="I719" s="1352"/>
      <c r="J719" s="1353"/>
      <c r="K719" s="1336">
        <v>510</v>
      </c>
      <c r="L719" s="1337"/>
      <c r="M719" s="1337"/>
      <c r="N719" s="1338"/>
      <c r="O719" s="1379">
        <v>1957</v>
      </c>
      <c r="P719" s="1380"/>
      <c r="Q719" s="1380"/>
      <c r="R719" s="1380"/>
      <c r="S719" s="1381"/>
      <c r="T719" s="1379">
        <v>30</v>
      </c>
      <c r="U719" s="1380"/>
      <c r="V719" s="1380"/>
      <c r="W719" s="1381"/>
      <c r="X719" s="1361">
        <f t="shared" si="8"/>
        <v>1987</v>
      </c>
      <c r="Y719" s="1362"/>
      <c r="Z719" s="1362"/>
      <c r="AA719" s="1362"/>
      <c r="AB719" s="1363"/>
      <c r="AC719" s="1339">
        <v>0.7</v>
      </c>
      <c r="AD719" s="1340"/>
      <c r="AE719" s="1340"/>
      <c r="AF719" s="1340"/>
      <c r="AG719" s="1341"/>
      <c r="AH719" s="1448">
        <f t="shared" ref="AH719:AH752" si="36">IF($AC719&gt;0,($X719/$AZ719), "")</f>
        <v>0.69964788732394367</v>
      </c>
      <c r="AI719" s="1449"/>
      <c r="AJ719" s="1450"/>
      <c r="AK719" s="1354" t="s">
        <v>591</v>
      </c>
      <c r="AL719" s="1355"/>
      <c r="AM719" s="1355"/>
      <c r="AN719" s="1355"/>
      <c r="AO719" s="1356"/>
      <c r="AP719" s="3"/>
      <c r="AQ719" s="3"/>
      <c r="AR719" s="3"/>
      <c r="AS719" s="3"/>
      <c r="AZ719" s="118">
        <f t="shared" si="9"/>
        <v>2840</v>
      </c>
      <c r="BA719" s="3"/>
      <c r="BB719" s="3"/>
      <c r="BC719" s="3"/>
      <c r="BD719" s="3"/>
      <c r="BE719" s="204"/>
      <c r="BF719" s="294">
        <f t="shared" si="10"/>
        <v>11</v>
      </c>
      <c r="BG719" s="297">
        <f t="shared" si="11"/>
        <v>6.9620253164556958E-2</v>
      </c>
      <c r="BH719" s="298">
        <f t="shared" si="12"/>
        <v>4.8734177215189869E-2</v>
      </c>
      <c r="BI719" s="3"/>
      <c r="BJ719" s="3"/>
      <c r="BK719" s="3"/>
      <c r="BL719" s="3"/>
      <c r="BM719" s="3"/>
      <c r="BN719" s="3"/>
      <c r="BS719" s="294">
        <f t="shared" si="13"/>
        <v>11</v>
      </c>
      <c r="BT719" s="297">
        <f t="shared" si="14"/>
        <v>6.9620253164556958E-2</v>
      </c>
      <c r="BU719" s="298">
        <f t="shared" si="15"/>
        <v>4.8709663041540383E-2</v>
      </c>
      <c r="CC719" s="3"/>
      <c r="CD719" s="3"/>
      <c r="CE719" s="3"/>
      <c r="CF719" s="3"/>
      <c r="CG719" s="1452">
        <f t="shared" ref="CG719:CG752" si="37">IF(AND(AC719&lt;=0.5,AC719&gt;=0.36),1,0)</f>
        <v>0</v>
      </c>
      <c r="CH719" s="1453"/>
      <c r="CI719" s="1476">
        <f t="shared" ref="CI719:CI752" si="38">IF(CG719=1,G719,0)</f>
        <v>0</v>
      </c>
      <c r="CJ719" s="1477"/>
      <c r="CK719" s="1452">
        <f t="shared" si="16"/>
        <v>0</v>
      </c>
      <c r="CL719" s="1453"/>
      <c r="CM719" s="1476">
        <f t="shared" si="17"/>
        <v>0</v>
      </c>
      <c r="CN719" s="1477"/>
      <c r="CO719" s="3"/>
      <c r="CP719" s="1416">
        <f t="shared" si="18"/>
        <v>0</v>
      </c>
      <c r="CQ719" s="1417"/>
      <c r="CR719" s="1417"/>
      <c r="CS719" s="1417"/>
      <c r="CT719" s="1418"/>
      <c r="CU719" s="1451">
        <f t="shared" si="19"/>
        <v>11</v>
      </c>
      <c r="CV719" s="1451"/>
      <c r="CW719" s="1451"/>
      <c r="CX719" s="1451"/>
      <c r="CY719" s="1451"/>
      <c r="CZ719" s="1451">
        <f t="shared" si="20"/>
        <v>0</v>
      </c>
      <c r="DA719" s="1451"/>
      <c r="DB719" s="1451"/>
      <c r="DC719" s="1451"/>
      <c r="DD719" s="1451"/>
      <c r="DE719" s="1451">
        <f t="shared" si="21"/>
        <v>0</v>
      </c>
      <c r="DF719" s="1451"/>
      <c r="DG719" s="1451"/>
      <c r="DH719" s="1451"/>
      <c r="DI719" s="1451"/>
      <c r="DJ719" s="1451">
        <f t="shared" si="22"/>
        <v>0</v>
      </c>
      <c r="DK719" s="1451"/>
      <c r="DL719" s="1451"/>
      <c r="DM719" s="1451"/>
      <c r="DN719" s="1451"/>
      <c r="DO719" s="1451">
        <f t="shared" si="23"/>
        <v>0</v>
      </c>
      <c r="DP719" s="1451"/>
      <c r="DQ719" s="1451"/>
      <c r="DR719" s="1451"/>
      <c r="DS719" s="1451"/>
      <c r="DT719" s="6"/>
      <c r="DU719" s="1415">
        <f t="shared" si="24"/>
        <v>0</v>
      </c>
      <c r="DV719" s="1415"/>
      <c r="DW719" s="1415"/>
      <c r="DX719" s="1415"/>
      <c r="DY719" s="1415"/>
      <c r="DZ719" s="1415">
        <f t="shared" si="25"/>
        <v>0</v>
      </c>
      <c r="EA719" s="1415"/>
      <c r="EB719" s="1415"/>
      <c r="EC719" s="1415"/>
      <c r="ED719" s="1415"/>
      <c r="EE719" s="1415">
        <f t="shared" si="26"/>
        <v>0</v>
      </c>
      <c r="EF719" s="1415"/>
      <c r="EG719" s="1415"/>
      <c r="EH719" s="1415"/>
      <c r="EI719" s="1415"/>
      <c r="EJ719" s="1415">
        <f t="shared" si="27"/>
        <v>0</v>
      </c>
      <c r="EK719" s="1415"/>
      <c r="EL719" s="1415"/>
      <c r="EM719" s="1415"/>
      <c r="EN719" s="1415"/>
      <c r="EO719" s="1415">
        <f t="shared" si="28"/>
        <v>0</v>
      </c>
      <c r="EP719" s="1415"/>
      <c r="EQ719" s="1415"/>
      <c r="ER719" s="1415"/>
      <c r="ES719" s="1415"/>
      <c r="ET719" s="1415">
        <f t="shared" si="29"/>
        <v>0</v>
      </c>
      <c r="EU719" s="1415"/>
      <c r="EV719" s="1415"/>
      <c r="EW719" s="1415"/>
      <c r="EX719" s="1415"/>
      <c r="EY719" s="4"/>
      <c r="EZ719" s="1452" t="str">
        <f t="shared" si="30"/>
        <v/>
      </c>
      <c r="FA719" s="1486"/>
      <c r="FB719" s="1486"/>
      <c r="FC719" s="1486"/>
      <c r="FD719" s="1453"/>
      <c r="FE719" s="1452">
        <f t="shared" si="31"/>
        <v>1957</v>
      </c>
      <c r="FF719" s="1486"/>
      <c r="FG719" s="1486"/>
      <c r="FH719" s="1486"/>
      <c r="FI719" s="1453"/>
      <c r="FJ719" s="1452" t="str">
        <f t="shared" si="32"/>
        <v/>
      </c>
      <c r="FK719" s="1486"/>
      <c r="FL719" s="1486"/>
      <c r="FM719" s="1486"/>
      <c r="FN719" s="1453"/>
      <c r="FO719" s="1452" t="str">
        <f t="shared" si="33"/>
        <v/>
      </c>
      <c r="FP719" s="1486"/>
      <c r="FQ719" s="1486"/>
      <c r="FR719" s="1486"/>
      <c r="FS719" s="1453"/>
      <c r="FT719" s="1452" t="str">
        <f t="shared" si="34"/>
        <v/>
      </c>
      <c r="FU719" s="1486"/>
      <c r="FV719" s="1486"/>
      <c r="FW719" s="1486"/>
      <c r="FX719" s="1453"/>
      <c r="FY719" s="1452" t="str">
        <f t="shared" si="35"/>
        <v/>
      </c>
      <c r="FZ719" s="1486"/>
      <c r="GA719" s="1486"/>
      <c r="GB719" s="1486"/>
      <c r="GC719" s="1453"/>
    </row>
    <row r="720" spans="1:185" ht="12.95" customHeight="1">
      <c r="A720" s="4"/>
      <c r="B720" s="1354" t="s">
        <v>163</v>
      </c>
      <c r="C720" s="1355"/>
      <c r="D720" s="1355"/>
      <c r="E720" s="1355"/>
      <c r="F720" s="1356"/>
      <c r="G720" s="1351">
        <v>15</v>
      </c>
      <c r="H720" s="1352"/>
      <c r="I720" s="1352"/>
      <c r="J720" s="1353"/>
      <c r="K720" s="1336">
        <v>772</v>
      </c>
      <c r="L720" s="1337"/>
      <c r="M720" s="1337"/>
      <c r="N720" s="1338"/>
      <c r="O720" s="1379">
        <v>983</v>
      </c>
      <c r="P720" s="1380"/>
      <c r="Q720" s="1380"/>
      <c r="R720" s="1380"/>
      <c r="S720" s="1381"/>
      <c r="T720" s="1379">
        <v>39</v>
      </c>
      <c r="U720" s="1380"/>
      <c r="V720" s="1380"/>
      <c r="W720" s="1381"/>
      <c r="X720" s="1361">
        <f t="shared" si="8"/>
        <v>1022</v>
      </c>
      <c r="Y720" s="1362"/>
      <c r="Z720" s="1362"/>
      <c r="AA720" s="1362"/>
      <c r="AB720" s="1363"/>
      <c r="AC720" s="1339">
        <v>0.3</v>
      </c>
      <c r="AD720" s="1340"/>
      <c r="AE720" s="1340"/>
      <c r="AF720" s="1340"/>
      <c r="AG720" s="1341"/>
      <c r="AH720" s="1448">
        <f t="shared" si="36"/>
        <v>0.30005871990604815</v>
      </c>
      <c r="AI720" s="1449"/>
      <c r="AJ720" s="1450"/>
      <c r="AK720" s="1354" t="s">
        <v>591</v>
      </c>
      <c r="AL720" s="1355"/>
      <c r="AM720" s="1355"/>
      <c r="AN720" s="1355"/>
      <c r="AO720" s="1356"/>
      <c r="AP720" s="3"/>
      <c r="AQ720" s="3"/>
      <c r="AR720" s="3"/>
      <c r="AS720" s="3"/>
      <c r="AZ720" s="118">
        <f t="shared" si="9"/>
        <v>3406</v>
      </c>
      <c r="BA720" s="3"/>
      <c r="BB720" s="3"/>
      <c r="BC720" s="3"/>
      <c r="BD720" s="3"/>
      <c r="BE720" s="204"/>
      <c r="BF720" s="294">
        <f t="shared" si="10"/>
        <v>15</v>
      </c>
      <c r="BG720" s="297">
        <f t="shared" si="11"/>
        <v>9.49367088607595E-2</v>
      </c>
      <c r="BH720" s="298">
        <f t="shared" si="12"/>
        <v>2.8481012658227847E-2</v>
      </c>
      <c r="BI720" s="3"/>
      <c r="BJ720" s="3"/>
      <c r="BK720" s="3"/>
      <c r="BL720" s="3"/>
      <c r="BM720" s="3"/>
      <c r="BN720" s="3"/>
      <c r="BS720" s="294">
        <f t="shared" si="13"/>
        <v>15</v>
      </c>
      <c r="BT720" s="297">
        <f t="shared" si="14"/>
        <v>9.49367088607595E-2</v>
      </c>
      <c r="BU720" s="298">
        <f t="shared" si="15"/>
        <v>2.8486587332852673E-2</v>
      </c>
      <c r="CC720" s="3"/>
      <c r="CD720" s="3"/>
      <c r="CE720" s="3"/>
      <c r="CF720" s="3"/>
      <c r="CG720" s="1452">
        <f t="shared" si="37"/>
        <v>0</v>
      </c>
      <c r="CH720" s="1453"/>
      <c r="CI720" s="1476">
        <f t="shared" si="38"/>
        <v>0</v>
      </c>
      <c r="CJ720" s="1477"/>
      <c r="CK720" s="1452">
        <f t="shared" si="16"/>
        <v>1</v>
      </c>
      <c r="CL720" s="1453"/>
      <c r="CM720" s="1476">
        <f t="shared" si="17"/>
        <v>15</v>
      </c>
      <c r="CN720" s="1477"/>
      <c r="CO720" s="3"/>
      <c r="CP720" s="1416">
        <f t="shared" si="18"/>
        <v>0</v>
      </c>
      <c r="CQ720" s="1417"/>
      <c r="CR720" s="1417"/>
      <c r="CS720" s="1417"/>
      <c r="CT720" s="1418"/>
      <c r="CU720" s="1451">
        <f t="shared" si="19"/>
        <v>0</v>
      </c>
      <c r="CV720" s="1451"/>
      <c r="CW720" s="1451"/>
      <c r="CX720" s="1451"/>
      <c r="CY720" s="1451"/>
      <c r="CZ720" s="1451">
        <f t="shared" si="20"/>
        <v>15</v>
      </c>
      <c r="DA720" s="1451"/>
      <c r="DB720" s="1451"/>
      <c r="DC720" s="1451"/>
      <c r="DD720" s="1451"/>
      <c r="DE720" s="1451">
        <f t="shared" si="21"/>
        <v>0</v>
      </c>
      <c r="DF720" s="1451"/>
      <c r="DG720" s="1451"/>
      <c r="DH720" s="1451"/>
      <c r="DI720" s="1451"/>
      <c r="DJ720" s="1451">
        <f t="shared" si="22"/>
        <v>0</v>
      </c>
      <c r="DK720" s="1451"/>
      <c r="DL720" s="1451"/>
      <c r="DM720" s="1451"/>
      <c r="DN720" s="1451"/>
      <c r="DO720" s="1451">
        <f t="shared" si="23"/>
        <v>0</v>
      </c>
      <c r="DP720" s="1451"/>
      <c r="DQ720" s="1451"/>
      <c r="DR720" s="1451"/>
      <c r="DS720" s="1451"/>
      <c r="DT720" s="6"/>
      <c r="DU720" s="1415">
        <f t="shared" si="24"/>
        <v>0</v>
      </c>
      <c r="DV720" s="1415"/>
      <c r="DW720" s="1415"/>
      <c r="DX720" s="1415"/>
      <c r="DY720" s="1415"/>
      <c r="DZ720" s="1415">
        <f t="shared" si="25"/>
        <v>0</v>
      </c>
      <c r="EA720" s="1415"/>
      <c r="EB720" s="1415"/>
      <c r="EC720" s="1415"/>
      <c r="ED720" s="1415"/>
      <c r="EE720" s="1415">
        <f t="shared" si="26"/>
        <v>15</v>
      </c>
      <c r="EF720" s="1415"/>
      <c r="EG720" s="1415"/>
      <c r="EH720" s="1415"/>
      <c r="EI720" s="1415"/>
      <c r="EJ720" s="1415">
        <f t="shared" si="27"/>
        <v>0</v>
      </c>
      <c r="EK720" s="1415"/>
      <c r="EL720" s="1415"/>
      <c r="EM720" s="1415"/>
      <c r="EN720" s="1415"/>
      <c r="EO720" s="1415">
        <f t="shared" si="28"/>
        <v>0</v>
      </c>
      <c r="EP720" s="1415"/>
      <c r="EQ720" s="1415"/>
      <c r="ER720" s="1415"/>
      <c r="ES720" s="1415"/>
      <c r="ET720" s="1415">
        <f t="shared" si="29"/>
        <v>0</v>
      </c>
      <c r="EU720" s="1415"/>
      <c r="EV720" s="1415"/>
      <c r="EW720" s="1415"/>
      <c r="EX720" s="1415"/>
      <c r="EZ720" s="1452" t="str">
        <f t="shared" si="30"/>
        <v/>
      </c>
      <c r="FA720" s="1486"/>
      <c r="FB720" s="1486"/>
      <c r="FC720" s="1486"/>
      <c r="FD720" s="1453"/>
      <c r="FE720" s="1452" t="str">
        <f t="shared" si="31"/>
        <v/>
      </c>
      <c r="FF720" s="1486"/>
      <c r="FG720" s="1486"/>
      <c r="FH720" s="1486"/>
      <c r="FI720" s="1453"/>
      <c r="FJ720" s="1452">
        <f t="shared" si="32"/>
        <v>983</v>
      </c>
      <c r="FK720" s="1486"/>
      <c r="FL720" s="1486"/>
      <c r="FM720" s="1486"/>
      <c r="FN720" s="1453"/>
      <c r="FO720" s="1452" t="str">
        <f t="shared" si="33"/>
        <v/>
      </c>
      <c r="FP720" s="1486"/>
      <c r="FQ720" s="1486"/>
      <c r="FR720" s="1486"/>
      <c r="FS720" s="1453"/>
      <c r="FT720" s="1452" t="str">
        <f t="shared" si="34"/>
        <v/>
      </c>
      <c r="FU720" s="1486"/>
      <c r="FV720" s="1486"/>
      <c r="FW720" s="1486"/>
      <c r="FX720" s="1453"/>
      <c r="FY720" s="1452" t="str">
        <f t="shared" si="35"/>
        <v/>
      </c>
      <c r="FZ720" s="1486"/>
      <c r="GA720" s="1486"/>
      <c r="GB720" s="1486"/>
      <c r="GC720" s="1453"/>
    </row>
    <row r="721" spans="1:185" ht="12.95" customHeight="1">
      <c r="B721" s="1354" t="s">
        <v>163</v>
      </c>
      <c r="C721" s="1355"/>
      <c r="D721" s="1355"/>
      <c r="E721" s="1355"/>
      <c r="F721" s="1356"/>
      <c r="G721" s="1351">
        <v>18</v>
      </c>
      <c r="H721" s="1352"/>
      <c r="I721" s="1352"/>
      <c r="J721" s="1353"/>
      <c r="K721" s="1336">
        <v>772</v>
      </c>
      <c r="L721" s="1337"/>
      <c r="M721" s="1337"/>
      <c r="N721" s="1338"/>
      <c r="O721" s="1379">
        <v>2005</v>
      </c>
      <c r="P721" s="1380"/>
      <c r="Q721" s="1380"/>
      <c r="R721" s="1380"/>
      <c r="S721" s="1381"/>
      <c r="T721" s="1379">
        <v>39</v>
      </c>
      <c r="U721" s="1380"/>
      <c r="V721" s="1380"/>
      <c r="W721" s="1381"/>
      <c r="X721" s="1361">
        <f t="shared" si="8"/>
        <v>2044</v>
      </c>
      <c r="Y721" s="1362"/>
      <c r="Z721" s="1362"/>
      <c r="AA721" s="1362"/>
      <c r="AB721" s="1363"/>
      <c r="AC721" s="1339">
        <v>0.6</v>
      </c>
      <c r="AD721" s="1340"/>
      <c r="AE721" s="1340"/>
      <c r="AF721" s="1340"/>
      <c r="AG721" s="1341"/>
      <c r="AH721" s="1448">
        <f t="shared" si="36"/>
        <v>0.60011743981209631</v>
      </c>
      <c r="AI721" s="1449"/>
      <c r="AJ721" s="1450"/>
      <c r="AK721" s="1354" t="s">
        <v>591</v>
      </c>
      <c r="AL721" s="1355"/>
      <c r="AM721" s="1355"/>
      <c r="AN721" s="1355"/>
      <c r="AO721" s="1356"/>
      <c r="AP721" s="3"/>
      <c r="AQ721" s="3"/>
      <c r="AR721" s="3"/>
      <c r="AS721" s="3"/>
      <c r="AY721" s="116"/>
      <c r="AZ721" s="118">
        <f t="shared" si="9"/>
        <v>3406</v>
      </c>
      <c r="BA721" s="3"/>
      <c r="BB721" s="3"/>
      <c r="BC721" s="3"/>
      <c r="BD721" s="3"/>
      <c r="BE721" s="204"/>
      <c r="BF721" s="294">
        <f t="shared" si="10"/>
        <v>18</v>
      </c>
      <c r="BG721" s="297">
        <f t="shared" si="11"/>
        <v>0.11392405063291139</v>
      </c>
      <c r="BH721" s="298">
        <f t="shared" si="12"/>
        <v>6.8354430379746825E-2</v>
      </c>
      <c r="BI721" s="3"/>
      <c r="BJ721" s="3"/>
      <c r="BK721" s="3"/>
      <c r="BL721" s="3"/>
      <c r="BM721" s="3"/>
      <c r="BN721" s="3"/>
      <c r="BS721" s="294">
        <f t="shared" si="13"/>
        <v>18</v>
      </c>
      <c r="BT721" s="297">
        <f t="shared" si="14"/>
        <v>0.11392405063291139</v>
      </c>
      <c r="BU721" s="298">
        <f t="shared" si="15"/>
        <v>6.8367809598846419E-2</v>
      </c>
      <c r="CC721" s="3"/>
      <c r="CD721" s="3"/>
      <c r="CE721" s="3"/>
      <c r="CF721" s="3"/>
      <c r="CG721" s="1452">
        <f t="shared" si="37"/>
        <v>0</v>
      </c>
      <c r="CH721" s="1453"/>
      <c r="CI721" s="1476">
        <f t="shared" si="38"/>
        <v>0</v>
      </c>
      <c r="CJ721" s="1477"/>
      <c r="CK721" s="1452">
        <f t="shared" si="16"/>
        <v>0</v>
      </c>
      <c r="CL721" s="1453"/>
      <c r="CM721" s="1476">
        <f t="shared" si="17"/>
        <v>0</v>
      </c>
      <c r="CN721" s="1477"/>
      <c r="CO721" s="3"/>
      <c r="CP721" s="1416">
        <f t="shared" si="18"/>
        <v>0</v>
      </c>
      <c r="CQ721" s="1417"/>
      <c r="CR721" s="1417"/>
      <c r="CS721" s="1417"/>
      <c r="CT721" s="1418"/>
      <c r="CU721" s="1451">
        <f t="shared" si="19"/>
        <v>0</v>
      </c>
      <c r="CV721" s="1451"/>
      <c r="CW721" s="1451"/>
      <c r="CX721" s="1451"/>
      <c r="CY721" s="1451"/>
      <c r="CZ721" s="1451">
        <f t="shared" si="20"/>
        <v>18</v>
      </c>
      <c r="DA721" s="1451"/>
      <c r="DB721" s="1451"/>
      <c r="DC721" s="1451"/>
      <c r="DD721" s="1451"/>
      <c r="DE721" s="1451">
        <f t="shared" si="21"/>
        <v>0</v>
      </c>
      <c r="DF721" s="1451"/>
      <c r="DG721" s="1451"/>
      <c r="DH721" s="1451"/>
      <c r="DI721" s="1451"/>
      <c r="DJ721" s="1451">
        <f t="shared" si="22"/>
        <v>0</v>
      </c>
      <c r="DK721" s="1451"/>
      <c r="DL721" s="1451"/>
      <c r="DM721" s="1451"/>
      <c r="DN721" s="1451"/>
      <c r="DO721" s="1451">
        <f t="shared" si="23"/>
        <v>0</v>
      </c>
      <c r="DP721" s="1451"/>
      <c r="DQ721" s="1451"/>
      <c r="DR721" s="1451"/>
      <c r="DS721" s="1451"/>
      <c r="DT721" s="6"/>
      <c r="DU721" s="1415">
        <f t="shared" si="24"/>
        <v>0</v>
      </c>
      <c r="DV721" s="1415"/>
      <c r="DW721" s="1415"/>
      <c r="DX721" s="1415"/>
      <c r="DY721" s="1415"/>
      <c r="DZ721" s="1415">
        <f t="shared" si="25"/>
        <v>0</v>
      </c>
      <c r="EA721" s="1415"/>
      <c r="EB721" s="1415"/>
      <c r="EC721" s="1415"/>
      <c r="ED721" s="1415"/>
      <c r="EE721" s="1415">
        <f t="shared" si="26"/>
        <v>0</v>
      </c>
      <c r="EF721" s="1415"/>
      <c r="EG721" s="1415"/>
      <c r="EH721" s="1415"/>
      <c r="EI721" s="1415"/>
      <c r="EJ721" s="1415">
        <f t="shared" si="27"/>
        <v>0</v>
      </c>
      <c r="EK721" s="1415"/>
      <c r="EL721" s="1415"/>
      <c r="EM721" s="1415"/>
      <c r="EN721" s="1415"/>
      <c r="EO721" s="1415">
        <f t="shared" si="28"/>
        <v>0</v>
      </c>
      <c r="EP721" s="1415"/>
      <c r="EQ721" s="1415"/>
      <c r="ER721" s="1415"/>
      <c r="ES721" s="1415"/>
      <c r="ET721" s="1415">
        <f t="shared" si="29"/>
        <v>0</v>
      </c>
      <c r="EU721" s="1415"/>
      <c r="EV721" s="1415"/>
      <c r="EW721" s="1415"/>
      <c r="EX721" s="1415"/>
      <c r="EZ721" s="1452" t="str">
        <f t="shared" si="30"/>
        <v/>
      </c>
      <c r="FA721" s="1486"/>
      <c r="FB721" s="1486"/>
      <c r="FC721" s="1486"/>
      <c r="FD721" s="1453"/>
      <c r="FE721" s="1452" t="str">
        <f t="shared" si="31"/>
        <v/>
      </c>
      <c r="FF721" s="1486"/>
      <c r="FG721" s="1486"/>
      <c r="FH721" s="1486"/>
      <c r="FI721" s="1453"/>
      <c r="FJ721" s="1452">
        <f t="shared" si="32"/>
        <v>2005</v>
      </c>
      <c r="FK721" s="1486"/>
      <c r="FL721" s="1486"/>
      <c r="FM721" s="1486"/>
      <c r="FN721" s="1453"/>
      <c r="FO721" s="1452" t="str">
        <f t="shared" si="33"/>
        <v/>
      </c>
      <c r="FP721" s="1486"/>
      <c r="FQ721" s="1486"/>
      <c r="FR721" s="1486"/>
      <c r="FS721" s="1453"/>
      <c r="FT721" s="1452" t="str">
        <f t="shared" si="34"/>
        <v/>
      </c>
      <c r="FU721" s="1486"/>
      <c r="FV721" s="1486"/>
      <c r="FW721" s="1486"/>
      <c r="FX721" s="1453"/>
      <c r="FY721" s="1452" t="str">
        <f t="shared" si="35"/>
        <v/>
      </c>
      <c r="FZ721" s="1486"/>
      <c r="GA721" s="1486"/>
      <c r="GB721" s="1486"/>
      <c r="GC721" s="1453"/>
    </row>
    <row r="722" spans="1:185" ht="12.95" customHeight="1">
      <c r="B722" s="1354" t="s">
        <v>163</v>
      </c>
      <c r="C722" s="1355"/>
      <c r="D722" s="1355"/>
      <c r="E722" s="1355"/>
      <c r="F722" s="1356"/>
      <c r="G722" s="1351">
        <v>47</v>
      </c>
      <c r="H722" s="1352"/>
      <c r="I722" s="1352"/>
      <c r="J722" s="1353"/>
      <c r="K722" s="1336">
        <v>772</v>
      </c>
      <c r="L722" s="1337"/>
      <c r="M722" s="1337"/>
      <c r="N722" s="1338"/>
      <c r="O722" s="1379">
        <v>2346</v>
      </c>
      <c r="P722" s="1380"/>
      <c r="Q722" s="1380"/>
      <c r="R722" s="1380"/>
      <c r="S722" s="1381"/>
      <c r="T722" s="1379">
        <v>39</v>
      </c>
      <c r="U722" s="1380"/>
      <c r="V722" s="1380"/>
      <c r="W722" s="1381"/>
      <c r="X722" s="1361">
        <f t="shared" si="8"/>
        <v>2385</v>
      </c>
      <c r="Y722" s="1362"/>
      <c r="Z722" s="1362"/>
      <c r="AA722" s="1362"/>
      <c r="AB722" s="1363"/>
      <c r="AC722" s="1339">
        <v>0.7</v>
      </c>
      <c r="AD722" s="1340"/>
      <c r="AE722" s="1340"/>
      <c r="AF722" s="1340"/>
      <c r="AG722" s="1341"/>
      <c r="AH722" s="1448">
        <f t="shared" si="36"/>
        <v>0.70023487962419262</v>
      </c>
      <c r="AI722" s="1449"/>
      <c r="AJ722" s="1450"/>
      <c r="AK722" s="1354" t="s">
        <v>591</v>
      </c>
      <c r="AL722" s="1355"/>
      <c r="AM722" s="1355"/>
      <c r="AN722" s="1355"/>
      <c r="AO722" s="1356"/>
      <c r="AP722" s="3"/>
      <c r="AQ722" s="3"/>
      <c r="AR722" s="3"/>
      <c r="AS722" s="3"/>
      <c r="AY722" s="116"/>
      <c r="AZ722" s="118">
        <f t="shared" si="9"/>
        <v>3406</v>
      </c>
      <c r="BA722" s="3"/>
      <c r="BB722" s="3"/>
      <c r="BC722" s="3"/>
      <c r="BD722" s="3"/>
      <c r="BE722" s="204"/>
      <c r="BF722" s="294">
        <f t="shared" si="10"/>
        <v>47</v>
      </c>
      <c r="BG722" s="297">
        <f t="shared" si="11"/>
        <v>0.29746835443037972</v>
      </c>
      <c r="BH722" s="298">
        <f t="shared" si="12"/>
        <v>0.20822784810126579</v>
      </c>
      <c r="BI722" s="3"/>
      <c r="BJ722" s="3"/>
      <c r="BK722" s="3"/>
      <c r="BL722" s="3"/>
      <c r="BM722" s="3"/>
      <c r="BN722" s="3"/>
      <c r="BS722" s="294">
        <f t="shared" si="13"/>
        <v>47</v>
      </c>
      <c r="BT722" s="297">
        <f t="shared" si="14"/>
        <v>0.29746835443037972</v>
      </c>
      <c r="BU722" s="298">
        <f t="shared" si="15"/>
        <v>0.20829771735656361</v>
      </c>
      <c r="CC722" s="3"/>
      <c r="CD722" s="3"/>
      <c r="CE722" s="3"/>
      <c r="CF722" s="3"/>
      <c r="CG722" s="1452">
        <f t="shared" si="37"/>
        <v>0</v>
      </c>
      <c r="CH722" s="1453"/>
      <c r="CI722" s="1476">
        <f t="shared" si="38"/>
        <v>0</v>
      </c>
      <c r="CJ722" s="1477"/>
      <c r="CK722" s="1452">
        <f t="shared" si="16"/>
        <v>0</v>
      </c>
      <c r="CL722" s="1453"/>
      <c r="CM722" s="1476">
        <f t="shared" si="17"/>
        <v>0</v>
      </c>
      <c r="CN722" s="1477"/>
      <c r="CO722" s="3"/>
      <c r="CP722" s="1416">
        <f t="shared" si="18"/>
        <v>0</v>
      </c>
      <c r="CQ722" s="1417"/>
      <c r="CR722" s="1417"/>
      <c r="CS722" s="1417"/>
      <c r="CT722" s="1418"/>
      <c r="CU722" s="1451">
        <f t="shared" si="19"/>
        <v>0</v>
      </c>
      <c r="CV722" s="1451"/>
      <c r="CW722" s="1451"/>
      <c r="CX722" s="1451"/>
      <c r="CY722" s="1451"/>
      <c r="CZ722" s="1451">
        <f t="shared" si="20"/>
        <v>47</v>
      </c>
      <c r="DA722" s="1451"/>
      <c r="DB722" s="1451"/>
      <c r="DC722" s="1451"/>
      <c r="DD722" s="1451"/>
      <c r="DE722" s="1451">
        <f t="shared" si="21"/>
        <v>0</v>
      </c>
      <c r="DF722" s="1451"/>
      <c r="DG722" s="1451"/>
      <c r="DH722" s="1451"/>
      <c r="DI722" s="1451"/>
      <c r="DJ722" s="1451">
        <f t="shared" si="22"/>
        <v>0</v>
      </c>
      <c r="DK722" s="1451"/>
      <c r="DL722" s="1451"/>
      <c r="DM722" s="1451"/>
      <c r="DN722" s="1451"/>
      <c r="DO722" s="1451">
        <f t="shared" si="23"/>
        <v>0</v>
      </c>
      <c r="DP722" s="1451"/>
      <c r="DQ722" s="1451"/>
      <c r="DR722" s="1451"/>
      <c r="DS722" s="1451"/>
      <c r="DT722" s="6"/>
      <c r="DU722" s="1415">
        <f t="shared" si="24"/>
        <v>0</v>
      </c>
      <c r="DV722" s="1415"/>
      <c r="DW722" s="1415"/>
      <c r="DX722" s="1415"/>
      <c r="DY722" s="1415"/>
      <c r="DZ722" s="1415">
        <f t="shared" si="25"/>
        <v>0</v>
      </c>
      <c r="EA722" s="1415"/>
      <c r="EB722" s="1415"/>
      <c r="EC722" s="1415"/>
      <c r="ED722" s="1415"/>
      <c r="EE722" s="1415">
        <f t="shared" si="26"/>
        <v>0</v>
      </c>
      <c r="EF722" s="1415"/>
      <c r="EG722" s="1415"/>
      <c r="EH722" s="1415"/>
      <c r="EI722" s="1415"/>
      <c r="EJ722" s="1415">
        <f t="shared" si="27"/>
        <v>0</v>
      </c>
      <c r="EK722" s="1415"/>
      <c r="EL722" s="1415"/>
      <c r="EM722" s="1415"/>
      <c r="EN722" s="1415"/>
      <c r="EO722" s="1415">
        <f t="shared" si="28"/>
        <v>0</v>
      </c>
      <c r="EP722" s="1415"/>
      <c r="EQ722" s="1415"/>
      <c r="ER722" s="1415"/>
      <c r="ES722" s="1415"/>
      <c r="ET722" s="1415">
        <f t="shared" si="29"/>
        <v>0</v>
      </c>
      <c r="EU722" s="1415"/>
      <c r="EV722" s="1415"/>
      <c r="EW722" s="1415"/>
      <c r="EX722" s="1415"/>
      <c r="EZ722" s="1452" t="str">
        <f t="shared" si="30"/>
        <v/>
      </c>
      <c r="FA722" s="1486"/>
      <c r="FB722" s="1486"/>
      <c r="FC722" s="1486"/>
      <c r="FD722" s="1453"/>
      <c r="FE722" s="1452" t="str">
        <f t="shared" si="31"/>
        <v/>
      </c>
      <c r="FF722" s="1486"/>
      <c r="FG722" s="1486"/>
      <c r="FH722" s="1486"/>
      <c r="FI722" s="1453"/>
      <c r="FJ722" s="1452">
        <f t="shared" si="32"/>
        <v>2346</v>
      </c>
      <c r="FK722" s="1486"/>
      <c r="FL722" s="1486"/>
      <c r="FM722" s="1486"/>
      <c r="FN722" s="1453"/>
      <c r="FO722" s="1452" t="str">
        <f t="shared" si="33"/>
        <v/>
      </c>
      <c r="FP722" s="1486"/>
      <c r="FQ722" s="1486"/>
      <c r="FR722" s="1486"/>
      <c r="FS722" s="1453"/>
      <c r="FT722" s="1452" t="str">
        <f t="shared" si="34"/>
        <v/>
      </c>
      <c r="FU722" s="1486"/>
      <c r="FV722" s="1486"/>
      <c r="FW722" s="1486"/>
      <c r="FX722" s="1453"/>
      <c r="FY722" s="1452" t="str">
        <f t="shared" si="35"/>
        <v/>
      </c>
      <c r="FZ722" s="1486"/>
      <c r="GA722" s="1486"/>
      <c r="GB722" s="1486"/>
      <c r="GC722" s="1453"/>
    </row>
    <row r="723" spans="1:185" ht="12.95" customHeight="1">
      <c r="B723" s="1354" t="s">
        <v>164</v>
      </c>
      <c r="C723" s="1355"/>
      <c r="D723" s="1355"/>
      <c r="E723" s="1355"/>
      <c r="F723" s="1356"/>
      <c r="G723" s="1351">
        <v>47</v>
      </c>
      <c r="H723" s="1352"/>
      <c r="I723" s="1352"/>
      <c r="J723" s="1353"/>
      <c r="K723" s="1336">
        <v>1024</v>
      </c>
      <c r="L723" s="1337"/>
      <c r="M723" s="1337"/>
      <c r="N723" s="1338"/>
      <c r="O723" s="1379">
        <v>2708</v>
      </c>
      <c r="P723" s="1380"/>
      <c r="Q723" s="1380"/>
      <c r="R723" s="1380"/>
      <c r="S723" s="1381"/>
      <c r="T723" s="1379">
        <v>48</v>
      </c>
      <c r="U723" s="1380"/>
      <c r="V723" s="1380"/>
      <c r="W723" s="1381"/>
      <c r="X723" s="1361">
        <f t="shared" si="8"/>
        <v>2756</v>
      </c>
      <c r="Y723" s="1362"/>
      <c r="Z723" s="1362"/>
      <c r="AA723" s="1362"/>
      <c r="AB723" s="1363"/>
      <c r="AC723" s="1339">
        <v>0.7</v>
      </c>
      <c r="AD723" s="1340"/>
      <c r="AE723" s="1340"/>
      <c r="AF723" s="1340"/>
      <c r="AG723" s="1341"/>
      <c r="AH723" s="1448">
        <f t="shared" si="36"/>
        <v>0.69984763839512443</v>
      </c>
      <c r="AI723" s="1449"/>
      <c r="AJ723" s="1450"/>
      <c r="AK723" s="1354" t="s">
        <v>591</v>
      </c>
      <c r="AL723" s="1355"/>
      <c r="AM723" s="1355"/>
      <c r="AN723" s="1355"/>
      <c r="AO723" s="1356"/>
      <c r="AP723" s="3"/>
      <c r="AQ723" s="3"/>
      <c r="AR723" s="3"/>
      <c r="AS723" s="3"/>
      <c r="AY723" s="116"/>
      <c r="AZ723" s="118">
        <f t="shared" si="9"/>
        <v>3938</v>
      </c>
      <c r="BA723" s="3"/>
      <c r="BB723" s="3"/>
      <c r="BC723" s="3"/>
      <c r="BD723" s="3"/>
      <c r="BE723" s="204"/>
      <c r="BF723" s="294">
        <f t="shared" si="10"/>
        <v>47</v>
      </c>
      <c r="BG723" s="297">
        <f t="shared" si="11"/>
        <v>0.29746835443037972</v>
      </c>
      <c r="BH723" s="298">
        <f t="shared" si="12"/>
        <v>0.20822784810126579</v>
      </c>
      <c r="BI723" s="3"/>
      <c r="BJ723" s="3"/>
      <c r="BK723" s="3"/>
      <c r="BL723" s="3"/>
      <c r="BM723" s="3"/>
      <c r="BN723" s="3"/>
      <c r="BS723" s="294">
        <f t="shared" si="13"/>
        <v>47</v>
      </c>
      <c r="BT723" s="297">
        <f t="shared" si="14"/>
        <v>0.29746835443037972</v>
      </c>
      <c r="BU723" s="298">
        <f t="shared" si="15"/>
        <v>0.20818252534538509</v>
      </c>
      <c r="CC723" s="3"/>
      <c r="CD723" s="3"/>
      <c r="CE723" s="3"/>
      <c r="CF723" s="3"/>
      <c r="CG723" s="1452">
        <f t="shared" si="37"/>
        <v>0</v>
      </c>
      <c r="CH723" s="1453"/>
      <c r="CI723" s="1476">
        <f t="shared" si="38"/>
        <v>0</v>
      </c>
      <c r="CJ723" s="1477"/>
      <c r="CK723" s="1452">
        <f t="shared" si="16"/>
        <v>0</v>
      </c>
      <c r="CL723" s="1453"/>
      <c r="CM723" s="1476">
        <f t="shared" si="17"/>
        <v>0</v>
      </c>
      <c r="CN723" s="1477"/>
      <c r="CO723" s="3"/>
      <c r="CP723" s="1416">
        <f t="shared" si="18"/>
        <v>0</v>
      </c>
      <c r="CQ723" s="1417"/>
      <c r="CR723" s="1417"/>
      <c r="CS723" s="1417"/>
      <c r="CT723" s="1418"/>
      <c r="CU723" s="1451">
        <f t="shared" si="19"/>
        <v>0</v>
      </c>
      <c r="CV723" s="1451"/>
      <c r="CW723" s="1451"/>
      <c r="CX723" s="1451"/>
      <c r="CY723" s="1451"/>
      <c r="CZ723" s="1451">
        <f t="shared" si="20"/>
        <v>0</v>
      </c>
      <c r="DA723" s="1451"/>
      <c r="DB723" s="1451"/>
      <c r="DC723" s="1451"/>
      <c r="DD723" s="1451"/>
      <c r="DE723" s="1451">
        <f t="shared" si="21"/>
        <v>47</v>
      </c>
      <c r="DF723" s="1451"/>
      <c r="DG723" s="1451"/>
      <c r="DH723" s="1451"/>
      <c r="DI723" s="1451"/>
      <c r="DJ723" s="1451">
        <f t="shared" si="22"/>
        <v>0</v>
      </c>
      <c r="DK723" s="1451"/>
      <c r="DL723" s="1451"/>
      <c r="DM723" s="1451"/>
      <c r="DN723" s="1451"/>
      <c r="DO723" s="1451">
        <f t="shared" si="23"/>
        <v>0</v>
      </c>
      <c r="DP723" s="1451"/>
      <c r="DQ723" s="1451"/>
      <c r="DR723" s="1451"/>
      <c r="DS723" s="1451"/>
      <c r="DT723" s="6"/>
      <c r="DU723" s="1415">
        <f t="shared" si="24"/>
        <v>0</v>
      </c>
      <c r="DV723" s="1415"/>
      <c r="DW723" s="1415"/>
      <c r="DX723" s="1415"/>
      <c r="DY723" s="1415"/>
      <c r="DZ723" s="1415">
        <f t="shared" si="25"/>
        <v>0</v>
      </c>
      <c r="EA723" s="1415"/>
      <c r="EB723" s="1415"/>
      <c r="EC723" s="1415"/>
      <c r="ED723" s="1415"/>
      <c r="EE723" s="1415">
        <f t="shared" si="26"/>
        <v>0</v>
      </c>
      <c r="EF723" s="1415"/>
      <c r="EG723" s="1415"/>
      <c r="EH723" s="1415"/>
      <c r="EI723" s="1415"/>
      <c r="EJ723" s="1415">
        <f t="shared" si="27"/>
        <v>0</v>
      </c>
      <c r="EK723" s="1415"/>
      <c r="EL723" s="1415"/>
      <c r="EM723" s="1415"/>
      <c r="EN723" s="1415"/>
      <c r="EO723" s="1415">
        <f t="shared" si="28"/>
        <v>0</v>
      </c>
      <c r="EP723" s="1415"/>
      <c r="EQ723" s="1415"/>
      <c r="ER723" s="1415"/>
      <c r="ES723" s="1415"/>
      <c r="ET723" s="1415">
        <f t="shared" si="29"/>
        <v>0</v>
      </c>
      <c r="EU723" s="1415"/>
      <c r="EV723" s="1415"/>
      <c r="EW723" s="1415"/>
      <c r="EX723" s="1415"/>
      <c r="EZ723" s="1452" t="str">
        <f t="shared" si="30"/>
        <v/>
      </c>
      <c r="FA723" s="1486"/>
      <c r="FB723" s="1486"/>
      <c r="FC723" s="1486"/>
      <c r="FD723" s="1453"/>
      <c r="FE723" s="1452" t="str">
        <f t="shared" si="31"/>
        <v/>
      </c>
      <c r="FF723" s="1486"/>
      <c r="FG723" s="1486"/>
      <c r="FH723" s="1486"/>
      <c r="FI723" s="1453"/>
      <c r="FJ723" s="1452" t="str">
        <f t="shared" si="32"/>
        <v/>
      </c>
      <c r="FK723" s="1486"/>
      <c r="FL723" s="1486"/>
      <c r="FM723" s="1486"/>
      <c r="FN723" s="1453"/>
      <c r="FO723" s="1452">
        <f t="shared" si="33"/>
        <v>2708</v>
      </c>
      <c r="FP723" s="1486"/>
      <c r="FQ723" s="1486"/>
      <c r="FR723" s="1486"/>
      <c r="FS723" s="1453"/>
      <c r="FT723" s="1452" t="str">
        <f t="shared" si="34"/>
        <v/>
      </c>
      <c r="FU723" s="1486"/>
      <c r="FV723" s="1486"/>
      <c r="FW723" s="1486"/>
      <c r="FX723" s="1453"/>
      <c r="FY723" s="1452" t="str">
        <f t="shared" si="35"/>
        <v/>
      </c>
      <c r="FZ723" s="1486"/>
      <c r="GA723" s="1486"/>
      <c r="GB723" s="1486"/>
      <c r="GC723" s="1453"/>
    </row>
    <row r="724" spans="1:185" ht="12.95" customHeight="1">
      <c r="B724" s="1354"/>
      <c r="C724" s="1355"/>
      <c r="D724" s="1355"/>
      <c r="E724" s="1355"/>
      <c r="F724" s="1356"/>
      <c r="G724" s="1351"/>
      <c r="H724" s="1352"/>
      <c r="I724" s="1352"/>
      <c r="J724" s="1353"/>
      <c r="K724" s="1336"/>
      <c r="L724" s="1337"/>
      <c r="M724" s="1337"/>
      <c r="N724" s="1338"/>
      <c r="O724" s="1379"/>
      <c r="P724" s="1380"/>
      <c r="Q724" s="1380"/>
      <c r="R724" s="1380"/>
      <c r="S724" s="1381"/>
      <c r="T724" s="1379"/>
      <c r="U724" s="1380"/>
      <c r="V724" s="1380"/>
      <c r="W724" s="1381"/>
      <c r="X724" s="1361">
        <f t="shared" si="8"/>
        <v>0</v>
      </c>
      <c r="Y724" s="1362"/>
      <c r="Z724" s="1362"/>
      <c r="AA724" s="1362"/>
      <c r="AB724" s="1363"/>
      <c r="AC724" s="1339"/>
      <c r="AD724" s="1340"/>
      <c r="AE724" s="1340"/>
      <c r="AF724" s="1340"/>
      <c r="AG724" s="1341"/>
      <c r="AH724" s="1448" t="str">
        <f t="shared" si="36"/>
        <v/>
      </c>
      <c r="AI724" s="1449"/>
      <c r="AJ724" s="1450"/>
      <c r="AK724" s="1354" t="s">
        <v>591</v>
      </c>
      <c r="AL724" s="1355"/>
      <c r="AM724" s="1355"/>
      <c r="AN724" s="1355"/>
      <c r="AO724" s="1356"/>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52">
        <f t="shared" si="37"/>
        <v>0</v>
      </c>
      <c r="CH724" s="1453"/>
      <c r="CI724" s="1476">
        <f t="shared" si="38"/>
        <v>0</v>
      </c>
      <c r="CJ724" s="1477"/>
      <c r="CK724" s="1452">
        <f t="shared" si="16"/>
        <v>0</v>
      </c>
      <c r="CL724" s="1453"/>
      <c r="CM724" s="1476">
        <f t="shared" si="17"/>
        <v>0</v>
      </c>
      <c r="CN724" s="1477"/>
      <c r="CO724" s="3"/>
      <c r="CP724" s="1416">
        <f t="shared" si="18"/>
        <v>0</v>
      </c>
      <c r="CQ724" s="1417"/>
      <c r="CR724" s="1417"/>
      <c r="CS724" s="1417"/>
      <c r="CT724" s="1418"/>
      <c r="CU724" s="1451">
        <f t="shared" si="19"/>
        <v>0</v>
      </c>
      <c r="CV724" s="1451"/>
      <c r="CW724" s="1451"/>
      <c r="CX724" s="1451"/>
      <c r="CY724" s="1451"/>
      <c r="CZ724" s="1451">
        <f t="shared" si="20"/>
        <v>0</v>
      </c>
      <c r="DA724" s="1451"/>
      <c r="DB724" s="1451"/>
      <c r="DC724" s="1451"/>
      <c r="DD724" s="1451"/>
      <c r="DE724" s="1451">
        <f t="shared" si="21"/>
        <v>0</v>
      </c>
      <c r="DF724" s="1451"/>
      <c r="DG724" s="1451"/>
      <c r="DH724" s="1451"/>
      <c r="DI724" s="1451"/>
      <c r="DJ724" s="1451">
        <f t="shared" si="22"/>
        <v>0</v>
      </c>
      <c r="DK724" s="1451"/>
      <c r="DL724" s="1451"/>
      <c r="DM724" s="1451"/>
      <c r="DN724" s="1451"/>
      <c r="DO724" s="1451">
        <f t="shared" si="23"/>
        <v>0</v>
      </c>
      <c r="DP724" s="1451"/>
      <c r="DQ724" s="1451"/>
      <c r="DR724" s="1451"/>
      <c r="DS724" s="1451"/>
      <c r="DT724" s="6"/>
      <c r="DU724" s="1415">
        <f t="shared" si="24"/>
        <v>0</v>
      </c>
      <c r="DV724" s="1415"/>
      <c r="DW724" s="1415"/>
      <c r="DX724" s="1415"/>
      <c r="DY724" s="1415"/>
      <c r="DZ724" s="1415">
        <f t="shared" si="25"/>
        <v>0</v>
      </c>
      <c r="EA724" s="1415"/>
      <c r="EB724" s="1415"/>
      <c r="EC724" s="1415"/>
      <c r="ED724" s="1415"/>
      <c r="EE724" s="1415">
        <f t="shared" si="26"/>
        <v>0</v>
      </c>
      <c r="EF724" s="1415"/>
      <c r="EG724" s="1415"/>
      <c r="EH724" s="1415"/>
      <c r="EI724" s="1415"/>
      <c r="EJ724" s="1415">
        <f t="shared" si="27"/>
        <v>0</v>
      </c>
      <c r="EK724" s="1415"/>
      <c r="EL724" s="1415"/>
      <c r="EM724" s="1415"/>
      <c r="EN724" s="1415"/>
      <c r="EO724" s="1415">
        <f t="shared" si="28"/>
        <v>0</v>
      </c>
      <c r="EP724" s="1415"/>
      <c r="EQ724" s="1415"/>
      <c r="ER724" s="1415"/>
      <c r="ES724" s="1415"/>
      <c r="ET724" s="1415">
        <f t="shared" si="29"/>
        <v>0</v>
      </c>
      <c r="EU724" s="1415"/>
      <c r="EV724" s="1415"/>
      <c r="EW724" s="1415"/>
      <c r="EX724" s="1415"/>
      <c r="EZ724" s="1452" t="str">
        <f t="shared" si="30"/>
        <v/>
      </c>
      <c r="FA724" s="1486"/>
      <c r="FB724" s="1486"/>
      <c r="FC724" s="1486"/>
      <c r="FD724" s="1453"/>
      <c r="FE724" s="1452" t="str">
        <f t="shared" si="31"/>
        <v/>
      </c>
      <c r="FF724" s="1486"/>
      <c r="FG724" s="1486"/>
      <c r="FH724" s="1486"/>
      <c r="FI724" s="1453"/>
      <c r="FJ724" s="1452" t="str">
        <f t="shared" si="32"/>
        <v/>
      </c>
      <c r="FK724" s="1486"/>
      <c r="FL724" s="1486"/>
      <c r="FM724" s="1486"/>
      <c r="FN724" s="1453"/>
      <c r="FO724" s="1452" t="str">
        <f t="shared" si="33"/>
        <v/>
      </c>
      <c r="FP724" s="1486"/>
      <c r="FQ724" s="1486"/>
      <c r="FR724" s="1486"/>
      <c r="FS724" s="1453"/>
      <c r="FT724" s="1452" t="str">
        <f t="shared" si="34"/>
        <v/>
      </c>
      <c r="FU724" s="1486"/>
      <c r="FV724" s="1486"/>
      <c r="FW724" s="1486"/>
      <c r="FX724" s="1453"/>
      <c r="FY724" s="1452" t="str">
        <f t="shared" si="35"/>
        <v/>
      </c>
      <c r="FZ724" s="1486"/>
      <c r="GA724" s="1486"/>
      <c r="GB724" s="1486"/>
      <c r="GC724" s="1453"/>
    </row>
    <row r="725" spans="1:185" ht="12.95" customHeight="1">
      <c r="B725" s="1354"/>
      <c r="C725" s="1355"/>
      <c r="D725" s="1355"/>
      <c r="E725" s="1355"/>
      <c r="F725" s="1356"/>
      <c r="G725" s="1351"/>
      <c r="H725" s="1352"/>
      <c r="I725" s="1352"/>
      <c r="J725" s="1353"/>
      <c r="K725" s="1336"/>
      <c r="L725" s="1337"/>
      <c r="M725" s="1337"/>
      <c r="N725" s="1338"/>
      <c r="O725" s="1379"/>
      <c r="P725" s="1380"/>
      <c r="Q725" s="1380"/>
      <c r="R725" s="1380"/>
      <c r="S725" s="1381"/>
      <c r="T725" s="1379"/>
      <c r="U725" s="1380"/>
      <c r="V725" s="1380"/>
      <c r="W725" s="1381"/>
      <c r="X725" s="1361">
        <f t="shared" si="8"/>
        <v>0</v>
      </c>
      <c r="Y725" s="1362"/>
      <c r="Z725" s="1362"/>
      <c r="AA725" s="1362"/>
      <c r="AB725" s="1363"/>
      <c r="AC725" s="1339"/>
      <c r="AD725" s="1340"/>
      <c r="AE725" s="1340"/>
      <c r="AF725" s="1340"/>
      <c r="AG725" s="1341"/>
      <c r="AH725" s="1448" t="str">
        <f t="shared" si="36"/>
        <v/>
      </c>
      <c r="AI725" s="1449"/>
      <c r="AJ725" s="1450"/>
      <c r="AK725" s="1354" t="s">
        <v>591</v>
      </c>
      <c r="AL725" s="1355"/>
      <c r="AM725" s="1355"/>
      <c r="AN725" s="1355"/>
      <c r="AO725" s="1356"/>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52">
        <f t="shared" si="37"/>
        <v>0</v>
      </c>
      <c r="CH725" s="1453"/>
      <c r="CI725" s="1476">
        <f t="shared" si="38"/>
        <v>0</v>
      </c>
      <c r="CJ725" s="1477"/>
      <c r="CK725" s="1452">
        <f t="shared" si="16"/>
        <v>0</v>
      </c>
      <c r="CL725" s="1453"/>
      <c r="CM725" s="1476">
        <f t="shared" si="17"/>
        <v>0</v>
      </c>
      <c r="CN725" s="1477"/>
      <c r="CO725" s="3"/>
      <c r="CP725" s="1416">
        <f t="shared" si="18"/>
        <v>0</v>
      </c>
      <c r="CQ725" s="1417"/>
      <c r="CR725" s="1417"/>
      <c r="CS725" s="1417"/>
      <c r="CT725" s="1418"/>
      <c r="CU725" s="1451">
        <f t="shared" si="19"/>
        <v>0</v>
      </c>
      <c r="CV725" s="1451"/>
      <c r="CW725" s="1451"/>
      <c r="CX725" s="1451"/>
      <c r="CY725" s="1451"/>
      <c r="CZ725" s="1451">
        <f t="shared" si="20"/>
        <v>0</v>
      </c>
      <c r="DA725" s="1451"/>
      <c r="DB725" s="1451"/>
      <c r="DC725" s="1451"/>
      <c r="DD725" s="1451"/>
      <c r="DE725" s="1451">
        <f t="shared" si="21"/>
        <v>0</v>
      </c>
      <c r="DF725" s="1451"/>
      <c r="DG725" s="1451"/>
      <c r="DH725" s="1451"/>
      <c r="DI725" s="1451"/>
      <c r="DJ725" s="1451">
        <f t="shared" si="22"/>
        <v>0</v>
      </c>
      <c r="DK725" s="1451"/>
      <c r="DL725" s="1451"/>
      <c r="DM725" s="1451"/>
      <c r="DN725" s="1451"/>
      <c r="DO725" s="1451">
        <f t="shared" si="23"/>
        <v>0</v>
      </c>
      <c r="DP725" s="1451"/>
      <c r="DQ725" s="1451"/>
      <c r="DR725" s="1451"/>
      <c r="DS725" s="1451"/>
      <c r="DT725" s="6"/>
      <c r="DU725" s="1415">
        <f t="shared" si="24"/>
        <v>0</v>
      </c>
      <c r="DV725" s="1415"/>
      <c r="DW725" s="1415"/>
      <c r="DX725" s="1415"/>
      <c r="DY725" s="1415"/>
      <c r="DZ725" s="1415">
        <f t="shared" si="25"/>
        <v>0</v>
      </c>
      <c r="EA725" s="1415"/>
      <c r="EB725" s="1415"/>
      <c r="EC725" s="1415"/>
      <c r="ED725" s="1415"/>
      <c r="EE725" s="1415">
        <f t="shared" si="26"/>
        <v>0</v>
      </c>
      <c r="EF725" s="1415"/>
      <c r="EG725" s="1415"/>
      <c r="EH725" s="1415"/>
      <c r="EI725" s="1415"/>
      <c r="EJ725" s="1415">
        <f t="shared" si="27"/>
        <v>0</v>
      </c>
      <c r="EK725" s="1415"/>
      <c r="EL725" s="1415"/>
      <c r="EM725" s="1415"/>
      <c r="EN725" s="1415"/>
      <c r="EO725" s="1415">
        <f t="shared" si="28"/>
        <v>0</v>
      </c>
      <c r="EP725" s="1415"/>
      <c r="EQ725" s="1415"/>
      <c r="ER725" s="1415"/>
      <c r="ES725" s="1415"/>
      <c r="ET725" s="1415">
        <f t="shared" si="29"/>
        <v>0</v>
      </c>
      <c r="EU725" s="1415"/>
      <c r="EV725" s="1415"/>
      <c r="EW725" s="1415"/>
      <c r="EX725" s="1415"/>
      <c r="EZ725" s="1452" t="str">
        <f t="shared" si="30"/>
        <v/>
      </c>
      <c r="FA725" s="1486"/>
      <c r="FB725" s="1486"/>
      <c r="FC725" s="1486"/>
      <c r="FD725" s="1453"/>
      <c r="FE725" s="1452" t="str">
        <f t="shared" si="31"/>
        <v/>
      </c>
      <c r="FF725" s="1486"/>
      <c r="FG725" s="1486"/>
      <c r="FH725" s="1486"/>
      <c r="FI725" s="1453"/>
      <c r="FJ725" s="1452" t="str">
        <f t="shared" si="32"/>
        <v/>
      </c>
      <c r="FK725" s="1486"/>
      <c r="FL725" s="1486"/>
      <c r="FM725" s="1486"/>
      <c r="FN725" s="1453"/>
      <c r="FO725" s="1452" t="str">
        <f t="shared" si="33"/>
        <v/>
      </c>
      <c r="FP725" s="1486"/>
      <c r="FQ725" s="1486"/>
      <c r="FR725" s="1486"/>
      <c r="FS725" s="1453"/>
      <c r="FT725" s="1452" t="str">
        <f t="shared" si="34"/>
        <v/>
      </c>
      <c r="FU725" s="1486"/>
      <c r="FV725" s="1486"/>
      <c r="FW725" s="1486"/>
      <c r="FX725" s="1453"/>
      <c r="FY725" s="1452" t="str">
        <f t="shared" si="35"/>
        <v/>
      </c>
      <c r="FZ725" s="1486"/>
      <c r="GA725" s="1486"/>
      <c r="GB725" s="1486"/>
      <c r="GC725" s="1453"/>
    </row>
    <row r="726" spans="1:185" ht="12.95" customHeight="1">
      <c r="B726" s="1354"/>
      <c r="C726" s="1355"/>
      <c r="D726" s="1355"/>
      <c r="E726" s="1355"/>
      <c r="F726" s="1356"/>
      <c r="G726" s="1351"/>
      <c r="H726" s="1352"/>
      <c r="I726" s="1352"/>
      <c r="J726" s="1353"/>
      <c r="K726" s="1336"/>
      <c r="L726" s="1337"/>
      <c r="M726" s="1337"/>
      <c r="N726" s="1338"/>
      <c r="O726" s="1379"/>
      <c r="P726" s="1380"/>
      <c r="Q726" s="1380"/>
      <c r="R726" s="1380"/>
      <c r="S726" s="1381"/>
      <c r="T726" s="1379"/>
      <c r="U726" s="1380"/>
      <c r="V726" s="1380"/>
      <c r="W726" s="1381"/>
      <c r="X726" s="1361">
        <f t="shared" si="8"/>
        <v>0</v>
      </c>
      <c r="Y726" s="1362"/>
      <c r="Z726" s="1362"/>
      <c r="AA726" s="1362"/>
      <c r="AB726" s="1363"/>
      <c r="AC726" s="1339"/>
      <c r="AD726" s="1340"/>
      <c r="AE726" s="1340"/>
      <c r="AF726" s="1340"/>
      <c r="AG726" s="1341"/>
      <c r="AH726" s="1448" t="str">
        <f t="shared" si="36"/>
        <v/>
      </c>
      <c r="AI726" s="1449"/>
      <c r="AJ726" s="1450"/>
      <c r="AK726" s="1354" t="s">
        <v>591</v>
      </c>
      <c r="AL726" s="1355"/>
      <c r="AM726" s="1355"/>
      <c r="AN726" s="1355"/>
      <c r="AO726" s="1356"/>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52">
        <f t="shared" si="37"/>
        <v>0</v>
      </c>
      <c r="CH726" s="1453"/>
      <c r="CI726" s="1476">
        <f t="shared" si="38"/>
        <v>0</v>
      </c>
      <c r="CJ726" s="1477"/>
      <c r="CK726" s="1452">
        <f t="shared" si="16"/>
        <v>0</v>
      </c>
      <c r="CL726" s="1453"/>
      <c r="CM726" s="1476">
        <f t="shared" si="17"/>
        <v>0</v>
      </c>
      <c r="CN726" s="1477"/>
      <c r="CO726" s="3"/>
      <c r="CP726" s="1416">
        <f t="shared" si="18"/>
        <v>0</v>
      </c>
      <c r="CQ726" s="1417"/>
      <c r="CR726" s="1417"/>
      <c r="CS726" s="1417"/>
      <c r="CT726" s="1418"/>
      <c r="CU726" s="1451">
        <f t="shared" si="19"/>
        <v>0</v>
      </c>
      <c r="CV726" s="1451"/>
      <c r="CW726" s="1451"/>
      <c r="CX726" s="1451"/>
      <c r="CY726" s="1451"/>
      <c r="CZ726" s="1451">
        <f t="shared" si="20"/>
        <v>0</v>
      </c>
      <c r="DA726" s="1451"/>
      <c r="DB726" s="1451"/>
      <c r="DC726" s="1451"/>
      <c r="DD726" s="1451"/>
      <c r="DE726" s="1451">
        <f t="shared" si="21"/>
        <v>0</v>
      </c>
      <c r="DF726" s="1451"/>
      <c r="DG726" s="1451"/>
      <c r="DH726" s="1451"/>
      <c r="DI726" s="1451"/>
      <c r="DJ726" s="1451">
        <f t="shared" si="22"/>
        <v>0</v>
      </c>
      <c r="DK726" s="1451"/>
      <c r="DL726" s="1451"/>
      <c r="DM726" s="1451"/>
      <c r="DN726" s="1451"/>
      <c r="DO726" s="1451">
        <f t="shared" si="23"/>
        <v>0</v>
      </c>
      <c r="DP726" s="1451"/>
      <c r="DQ726" s="1451"/>
      <c r="DR726" s="1451"/>
      <c r="DS726" s="1451"/>
      <c r="DT726" s="6"/>
      <c r="DU726" s="1415">
        <f t="shared" si="24"/>
        <v>0</v>
      </c>
      <c r="DV726" s="1415"/>
      <c r="DW726" s="1415"/>
      <c r="DX726" s="1415"/>
      <c r="DY726" s="1415"/>
      <c r="DZ726" s="1415">
        <f t="shared" si="25"/>
        <v>0</v>
      </c>
      <c r="EA726" s="1415"/>
      <c r="EB726" s="1415"/>
      <c r="EC726" s="1415"/>
      <c r="ED726" s="1415"/>
      <c r="EE726" s="1415">
        <f t="shared" si="26"/>
        <v>0</v>
      </c>
      <c r="EF726" s="1415"/>
      <c r="EG726" s="1415"/>
      <c r="EH726" s="1415"/>
      <c r="EI726" s="1415"/>
      <c r="EJ726" s="1415">
        <f t="shared" si="27"/>
        <v>0</v>
      </c>
      <c r="EK726" s="1415"/>
      <c r="EL726" s="1415"/>
      <c r="EM726" s="1415"/>
      <c r="EN726" s="1415"/>
      <c r="EO726" s="1415">
        <f t="shared" si="28"/>
        <v>0</v>
      </c>
      <c r="EP726" s="1415"/>
      <c r="EQ726" s="1415"/>
      <c r="ER726" s="1415"/>
      <c r="ES726" s="1415"/>
      <c r="ET726" s="1415">
        <f t="shared" si="29"/>
        <v>0</v>
      </c>
      <c r="EU726" s="1415"/>
      <c r="EV726" s="1415"/>
      <c r="EW726" s="1415"/>
      <c r="EX726" s="1415"/>
      <c r="EY726" s="4"/>
      <c r="EZ726" s="1452" t="str">
        <f t="shared" si="30"/>
        <v/>
      </c>
      <c r="FA726" s="1486"/>
      <c r="FB726" s="1486"/>
      <c r="FC726" s="1486"/>
      <c r="FD726" s="1453"/>
      <c r="FE726" s="1452" t="str">
        <f t="shared" si="31"/>
        <v/>
      </c>
      <c r="FF726" s="1486"/>
      <c r="FG726" s="1486"/>
      <c r="FH726" s="1486"/>
      <c r="FI726" s="1453"/>
      <c r="FJ726" s="1452" t="str">
        <f t="shared" si="32"/>
        <v/>
      </c>
      <c r="FK726" s="1486"/>
      <c r="FL726" s="1486"/>
      <c r="FM726" s="1486"/>
      <c r="FN726" s="1453"/>
      <c r="FO726" s="1452" t="str">
        <f t="shared" si="33"/>
        <v/>
      </c>
      <c r="FP726" s="1486"/>
      <c r="FQ726" s="1486"/>
      <c r="FR726" s="1486"/>
      <c r="FS726" s="1453"/>
      <c r="FT726" s="1452" t="str">
        <f t="shared" si="34"/>
        <v/>
      </c>
      <c r="FU726" s="1486"/>
      <c r="FV726" s="1486"/>
      <c r="FW726" s="1486"/>
      <c r="FX726" s="1453"/>
      <c r="FY726" s="1452" t="str">
        <f t="shared" si="35"/>
        <v/>
      </c>
      <c r="FZ726" s="1486"/>
      <c r="GA726" s="1486"/>
      <c r="GB726" s="1486"/>
      <c r="GC726" s="1453"/>
    </row>
    <row r="727" spans="1:185" ht="12.95" customHeight="1">
      <c r="A727" s="4"/>
      <c r="B727" s="1354"/>
      <c r="C727" s="1355"/>
      <c r="D727" s="1355"/>
      <c r="E727" s="1355"/>
      <c r="F727" s="1356"/>
      <c r="G727" s="1351"/>
      <c r="H727" s="1352"/>
      <c r="I727" s="1352"/>
      <c r="J727" s="1353"/>
      <c r="K727" s="1336"/>
      <c r="L727" s="1337"/>
      <c r="M727" s="1337"/>
      <c r="N727" s="1338"/>
      <c r="O727" s="1379"/>
      <c r="P727" s="1380"/>
      <c r="Q727" s="1380"/>
      <c r="R727" s="1380"/>
      <c r="S727" s="1381"/>
      <c r="T727" s="1379"/>
      <c r="U727" s="1380"/>
      <c r="V727" s="1380"/>
      <c r="W727" s="1381"/>
      <c r="X727" s="1361">
        <f t="shared" si="8"/>
        <v>0</v>
      </c>
      <c r="Y727" s="1362"/>
      <c r="Z727" s="1362"/>
      <c r="AA727" s="1362"/>
      <c r="AB727" s="1363"/>
      <c r="AC727" s="1339"/>
      <c r="AD727" s="1340"/>
      <c r="AE727" s="1340"/>
      <c r="AF727" s="1340"/>
      <c r="AG727" s="1341"/>
      <c r="AH727" s="1448" t="str">
        <f t="shared" si="36"/>
        <v/>
      </c>
      <c r="AI727" s="1449"/>
      <c r="AJ727" s="1450"/>
      <c r="AK727" s="1354" t="s">
        <v>591</v>
      </c>
      <c r="AL727" s="1355"/>
      <c r="AM727" s="1355"/>
      <c r="AN727" s="1355"/>
      <c r="AO727" s="1356"/>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52">
        <f t="shared" si="37"/>
        <v>0</v>
      </c>
      <c r="CH727" s="1453"/>
      <c r="CI727" s="1476">
        <f t="shared" si="38"/>
        <v>0</v>
      </c>
      <c r="CJ727" s="1477"/>
      <c r="CK727" s="1452">
        <f t="shared" si="16"/>
        <v>0</v>
      </c>
      <c r="CL727" s="1453"/>
      <c r="CM727" s="1476">
        <f t="shared" si="17"/>
        <v>0</v>
      </c>
      <c r="CN727" s="1477"/>
      <c r="CO727" s="3"/>
      <c r="CP727" s="1416">
        <f t="shared" si="18"/>
        <v>0</v>
      </c>
      <c r="CQ727" s="1417"/>
      <c r="CR727" s="1417"/>
      <c r="CS727" s="1417"/>
      <c r="CT727" s="1418"/>
      <c r="CU727" s="1451">
        <f t="shared" si="19"/>
        <v>0</v>
      </c>
      <c r="CV727" s="1451"/>
      <c r="CW727" s="1451"/>
      <c r="CX727" s="1451"/>
      <c r="CY727" s="1451"/>
      <c r="CZ727" s="1451">
        <f t="shared" si="20"/>
        <v>0</v>
      </c>
      <c r="DA727" s="1451"/>
      <c r="DB727" s="1451"/>
      <c r="DC727" s="1451"/>
      <c r="DD727" s="1451"/>
      <c r="DE727" s="1451">
        <f t="shared" si="21"/>
        <v>0</v>
      </c>
      <c r="DF727" s="1451"/>
      <c r="DG727" s="1451"/>
      <c r="DH727" s="1451"/>
      <c r="DI727" s="1451"/>
      <c r="DJ727" s="1451">
        <f t="shared" si="22"/>
        <v>0</v>
      </c>
      <c r="DK727" s="1451"/>
      <c r="DL727" s="1451"/>
      <c r="DM727" s="1451"/>
      <c r="DN727" s="1451"/>
      <c r="DO727" s="1451">
        <f t="shared" si="23"/>
        <v>0</v>
      </c>
      <c r="DP727" s="1451"/>
      <c r="DQ727" s="1451"/>
      <c r="DR727" s="1451"/>
      <c r="DS727" s="1451"/>
      <c r="DT727" s="6"/>
      <c r="DU727" s="1415">
        <f t="shared" si="24"/>
        <v>0</v>
      </c>
      <c r="DV727" s="1415"/>
      <c r="DW727" s="1415"/>
      <c r="DX727" s="1415"/>
      <c r="DY727" s="1415"/>
      <c r="DZ727" s="1415">
        <f t="shared" si="25"/>
        <v>0</v>
      </c>
      <c r="EA727" s="1415"/>
      <c r="EB727" s="1415"/>
      <c r="EC727" s="1415"/>
      <c r="ED727" s="1415"/>
      <c r="EE727" s="1415">
        <f t="shared" si="26"/>
        <v>0</v>
      </c>
      <c r="EF727" s="1415"/>
      <c r="EG727" s="1415"/>
      <c r="EH727" s="1415"/>
      <c r="EI727" s="1415"/>
      <c r="EJ727" s="1415">
        <f t="shared" si="27"/>
        <v>0</v>
      </c>
      <c r="EK727" s="1415"/>
      <c r="EL727" s="1415"/>
      <c r="EM727" s="1415"/>
      <c r="EN727" s="1415"/>
      <c r="EO727" s="1415">
        <f t="shared" si="28"/>
        <v>0</v>
      </c>
      <c r="EP727" s="1415"/>
      <c r="EQ727" s="1415"/>
      <c r="ER727" s="1415"/>
      <c r="ES727" s="1415"/>
      <c r="ET727" s="1415">
        <f t="shared" si="29"/>
        <v>0</v>
      </c>
      <c r="EU727" s="1415"/>
      <c r="EV727" s="1415"/>
      <c r="EW727" s="1415"/>
      <c r="EX727" s="1415"/>
      <c r="EY727" s="4"/>
      <c r="EZ727" s="1452" t="str">
        <f t="shared" si="30"/>
        <v/>
      </c>
      <c r="FA727" s="1486"/>
      <c r="FB727" s="1486"/>
      <c r="FC727" s="1486"/>
      <c r="FD727" s="1453"/>
      <c r="FE727" s="1452" t="str">
        <f t="shared" si="31"/>
        <v/>
      </c>
      <c r="FF727" s="1486"/>
      <c r="FG727" s="1486"/>
      <c r="FH727" s="1486"/>
      <c r="FI727" s="1453"/>
      <c r="FJ727" s="1452" t="str">
        <f t="shared" si="32"/>
        <v/>
      </c>
      <c r="FK727" s="1486"/>
      <c r="FL727" s="1486"/>
      <c r="FM727" s="1486"/>
      <c r="FN727" s="1453"/>
      <c r="FO727" s="1452" t="str">
        <f t="shared" si="33"/>
        <v/>
      </c>
      <c r="FP727" s="1486"/>
      <c r="FQ727" s="1486"/>
      <c r="FR727" s="1486"/>
      <c r="FS727" s="1453"/>
      <c r="FT727" s="1452" t="str">
        <f t="shared" si="34"/>
        <v/>
      </c>
      <c r="FU727" s="1486"/>
      <c r="FV727" s="1486"/>
      <c r="FW727" s="1486"/>
      <c r="FX727" s="1453"/>
      <c r="FY727" s="1452" t="str">
        <f t="shared" si="35"/>
        <v/>
      </c>
      <c r="FZ727" s="1486"/>
      <c r="GA727" s="1486"/>
      <c r="GB727" s="1486"/>
      <c r="GC727" s="1453"/>
    </row>
    <row r="728" spans="1:185" ht="12.95" customHeight="1">
      <c r="A728" s="4"/>
      <c r="B728" s="1354"/>
      <c r="C728" s="1355"/>
      <c r="D728" s="1355"/>
      <c r="E728" s="1355"/>
      <c r="F728" s="1356"/>
      <c r="G728" s="1351"/>
      <c r="H728" s="1352"/>
      <c r="I728" s="1352"/>
      <c r="J728" s="1353"/>
      <c r="K728" s="1336"/>
      <c r="L728" s="1337"/>
      <c r="M728" s="1337"/>
      <c r="N728" s="1338"/>
      <c r="O728" s="1379"/>
      <c r="P728" s="1380"/>
      <c r="Q728" s="1380"/>
      <c r="R728" s="1380"/>
      <c r="S728" s="1381"/>
      <c r="T728" s="1379"/>
      <c r="U728" s="1380"/>
      <c r="V728" s="1380"/>
      <c r="W728" s="1381"/>
      <c r="X728" s="1361">
        <f t="shared" si="8"/>
        <v>0</v>
      </c>
      <c r="Y728" s="1362"/>
      <c r="Z728" s="1362"/>
      <c r="AA728" s="1362"/>
      <c r="AB728" s="1363"/>
      <c r="AC728" s="1339"/>
      <c r="AD728" s="1340"/>
      <c r="AE728" s="1340"/>
      <c r="AF728" s="1340"/>
      <c r="AG728" s="1341"/>
      <c r="AH728" s="1448" t="str">
        <f t="shared" si="36"/>
        <v/>
      </c>
      <c r="AI728" s="1449"/>
      <c r="AJ728" s="1450"/>
      <c r="AK728" s="1354" t="s">
        <v>591</v>
      </c>
      <c r="AL728" s="1355"/>
      <c r="AM728" s="1355"/>
      <c r="AN728" s="1355"/>
      <c r="AO728" s="1356"/>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52">
        <f t="shared" si="37"/>
        <v>0</v>
      </c>
      <c r="CH728" s="1453"/>
      <c r="CI728" s="1476">
        <f t="shared" si="38"/>
        <v>0</v>
      </c>
      <c r="CJ728" s="1477"/>
      <c r="CK728" s="1452">
        <f t="shared" si="16"/>
        <v>0</v>
      </c>
      <c r="CL728" s="1453"/>
      <c r="CM728" s="1476">
        <f t="shared" si="17"/>
        <v>0</v>
      </c>
      <c r="CN728" s="1477"/>
      <c r="CO728" s="3"/>
      <c r="CP728" s="1416">
        <f t="shared" si="18"/>
        <v>0</v>
      </c>
      <c r="CQ728" s="1417"/>
      <c r="CR728" s="1417"/>
      <c r="CS728" s="1417"/>
      <c r="CT728" s="1418"/>
      <c r="CU728" s="1451">
        <f t="shared" si="19"/>
        <v>0</v>
      </c>
      <c r="CV728" s="1451"/>
      <c r="CW728" s="1451"/>
      <c r="CX728" s="1451"/>
      <c r="CY728" s="1451"/>
      <c r="CZ728" s="1451">
        <f t="shared" si="20"/>
        <v>0</v>
      </c>
      <c r="DA728" s="1451"/>
      <c r="DB728" s="1451"/>
      <c r="DC728" s="1451"/>
      <c r="DD728" s="1451"/>
      <c r="DE728" s="1451">
        <f t="shared" si="21"/>
        <v>0</v>
      </c>
      <c r="DF728" s="1451"/>
      <c r="DG728" s="1451"/>
      <c r="DH728" s="1451"/>
      <c r="DI728" s="1451"/>
      <c r="DJ728" s="1451">
        <f t="shared" si="22"/>
        <v>0</v>
      </c>
      <c r="DK728" s="1451"/>
      <c r="DL728" s="1451"/>
      <c r="DM728" s="1451"/>
      <c r="DN728" s="1451"/>
      <c r="DO728" s="1451">
        <f t="shared" si="23"/>
        <v>0</v>
      </c>
      <c r="DP728" s="1451"/>
      <c r="DQ728" s="1451"/>
      <c r="DR728" s="1451"/>
      <c r="DS728" s="1451"/>
      <c r="DT728" s="6"/>
      <c r="DU728" s="1415">
        <f t="shared" si="24"/>
        <v>0</v>
      </c>
      <c r="DV728" s="1415"/>
      <c r="DW728" s="1415"/>
      <c r="DX728" s="1415"/>
      <c r="DY728" s="1415"/>
      <c r="DZ728" s="1415">
        <f t="shared" si="25"/>
        <v>0</v>
      </c>
      <c r="EA728" s="1415"/>
      <c r="EB728" s="1415"/>
      <c r="EC728" s="1415"/>
      <c r="ED728" s="1415"/>
      <c r="EE728" s="1415">
        <f t="shared" si="26"/>
        <v>0</v>
      </c>
      <c r="EF728" s="1415"/>
      <c r="EG728" s="1415"/>
      <c r="EH728" s="1415"/>
      <c r="EI728" s="1415"/>
      <c r="EJ728" s="1415">
        <f t="shared" si="27"/>
        <v>0</v>
      </c>
      <c r="EK728" s="1415"/>
      <c r="EL728" s="1415"/>
      <c r="EM728" s="1415"/>
      <c r="EN728" s="1415"/>
      <c r="EO728" s="1415">
        <f t="shared" si="28"/>
        <v>0</v>
      </c>
      <c r="EP728" s="1415"/>
      <c r="EQ728" s="1415"/>
      <c r="ER728" s="1415"/>
      <c r="ES728" s="1415"/>
      <c r="ET728" s="1415">
        <f t="shared" si="29"/>
        <v>0</v>
      </c>
      <c r="EU728" s="1415"/>
      <c r="EV728" s="1415"/>
      <c r="EW728" s="1415"/>
      <c r="EX728" s="1415"/>
      <c r="EY728" s="4"/>
      <c r="EZ728" s="1452" t="str">
        <f t="shared" si="30"/>
        <v/>
      </c>
      <c r="FA728" s="1486"/>
      <c r="FB728" s="1486"/>
      <c r="FC728" s="1486"/>
      <c r="FD728" s="1453"/>
      <c r="FE728" s="1452" t="str">
        <f t="shared" si="31"/>
        <v/>
      </c>
      <c r="FF728" s="1486"/>
      <c r="FG728" s="1486"/>
      <c r="FH728" s="1486"/>
      <c r="FI728" s="1453"/>
      <c r="FJ728" s="1452" t="str">
        <f t="shared" si="32"/>
        <v/>
      </c>
      <c r="FK728" s="1486"/>
      <c r="FL728" s="1486"/>
      <c r="FM728" s="1486"/>
      <c r="FN728" s="1453"/>
      <c r="FO728" s="1452" t="str">
        <f t="shared" si="33"/>
        <v/>
      </c>
      <c r="FP728" s="1486"/>
      <c r="FQ728" s="1486"/>
      <c r="FR728" s="1486"/>
      <c r="FS728" s="1453"/>
      <c r="FT728" s="1452" t="str">
        <f t="shared" si="34"/>
        <v/>
      </c>
      <c r="FU728" s="1486"/>
      <c r="FV728" s="1486"/>
      <c r="FW728" s="1486"/>
      <c r="FX728" s="1453"/>
      <c r="FY728" s="1452" t="str">
        <f t="shared" si="35"/>
        <v/>
      </c>
      <c r="FZ728" s="1486"/>
      <c r="GA728" s="1486"/>
      <c r="GB728" s="1486"/>
      <c r="GC728" s="1453"/>
    </row>
    <row r="729" spans="1:185" ht="12.95" customHeight="1">
      <c r="A729" s="4"/>
      <c r="B729" s="1354"/>
      <c r="C729" s="1355"/>
      <c r="D729" s="1355"/>
      <c r="E729" s="1355"/>
      <c r="F729" s="1356"/>
      <c r="G729" s="1351"/>
      <c r="H729" s="1352"/>
      <c r="I729" s="1352"/>
      <c r="J729" s="1353"/>
      <c r="K729" s="1336"/>
      <c r="L729" s="1337"/>
      <c r="M729" s="1337"/>
      <c r="N729" s="1338"/>
      <c r="O729" s="1379"/>
      <c r="P729" s="1380"/>
      <c r="Q729" s="1380"/>
      <c r="R729" s="1380"/>
      <c r="S729" s="1381"/>
      <c r="T729" s="1379"/>
      <c r="U729" s="1380"/>
      <c r="V729" s="1380"/>
      <c r="W729" s="1381"/>
      <c r="X729" s="1361">
        <f t="shared" si="8"/>
        <v>0</v>
      </c>
      <c r="Y729" s="1362"/>
      <c r="Z729" s="1362"/>
      <c r="AA729" s="1362"/>
      <c r="AB729" s="1363"/>
      <c r="AC729" s="1339"/>
      <c r="AD729" s="1340"/>
      <c r="AE729" s="1340"/>
      <c r="AF729" s="1340"/>
      <c r="AG729" s="1341"/>
      <c r="AH729" s="1448" t="str">
        <f t="shared" si="36"/>
        <v/>
      </c>
      <c r="AI729" s="1449"/>
      <c r="AJ729" s="1450"/>
      <c r="AK729" s="1354" t="s">
        <v>591</v>
      </c>
      <c r="AL729" s="1355"/>
      <c r="AM729" s="1355"/>
      <c r="AN729" s="1355"/>
      <c r="AO729" s="1356"/>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52">
        <f t="shared" si="37"/>
        <v>0</v>
      </c>
      <c r="CH729" s="1453"/>
      <c r="CI729" s="1476">
        <f t="shared" si="38"/>
        <v>0</v>
      </c>
      <c r="CJ729" s="1477"/>
      <c r="CK729" s="1452">
        <f t="shared" si="16"/>
        <v>0</v>
      </c>
      <c r="CL729" s="1453"/>
      <c r="CM729" s="1476">
        <f t="shared" si="17"/>
        <v>0</v>
      </c>
      <c r="CN729" s="1477"/>
      <c r="CO729" s="3"/>
      <c r="CP729" s="1416">
        <f t="shared" si="18"/>
        <v>0</v>
      </c>
      <c r="CQ729" s="1417"/>
      <c r="CR729" s="1417"/>
      <c r="CS729" s="1417"/>
      <c r="CT729" s="1418"/>
      <c r="CU729" s="1451">
        <f t="shared" si="19"/>
        <v>0</v>
      </c>
      <c r="CV729" s="1451"/>
      <c r="CW729" s="1451"/>
      <c r="CX729" s="1451"/>
      <c r="CY729" s="1451"/>
      <c r="CZ729" s="1451">
        <f t="shared" si="20"/>
        <v>0</v>
      </c>
      <c r="DA729" s="1451"/>
      <c r="DB729" s="1451"/>
      <c r="DC729" s="1451"/>
      <c r="DD729" s="1451"/>
      <c r="DE729" s="1451">
        <f t="shared" si="21"/>
        <v>0</v>
      </c>
      <c r="DF729" s="1451"/>
      <c r="DG729" s="1451"/>
      <c r="DH729" s="1451"/>
      <c r="DI729" s="1451"/>
      <c r="DJ729" s="1451">
        <f t="shared" si="22"/>
        <v>0</v>
      </c>
      <c r="DK729" s="1451"/>
      <c r="DL729" s="1451"/>
      <c r="DM729" s="1451"/>
      <c r="DN729" s="1451"/>
      <c r="DO729" s="1451">
        <f t="shared" si="23"/>
        <v>0</v>
      </c>
      <c r="DP729" s="1451"/>
      <c r="DQ729" s="1451"/>
      <c r="DR729" s="1451"/>
      <c r="DS729" s="1451"/>
      <c r="DT729" s="6"/>
      <c r="DU729" s="1415">
        <f t="shared" si="24"/>
        <v>0</v>
      </c>
      <c r="DV729" s="1415"/>
      <c r="DW729" s="1415"/>
      <c r="DX729" s="1415"/>
      <c r="DY729" s="1415"/>
      <c r="DZ729" s="1415">
        <f t="shared" si="25"/>
        <v>0</v>
      </c>
      <c r="EA729" s="1415"/>
      <c r="EB729" s="1415"/>
      <c r="EC729" s="1415"/>
      <c r="ED729" s="1415"/>
      <c r="EE729" s="1415">
        <f t="shared" si="26"/>
        <v>0</v>
      </c>
      <c r="EF729" s="1415"/>
      <c r="EG729" s="1415"/>
      <c r="EH729" s="1415"/>
      <c r="EI729" s="1415"/>
      <c r="EJ729" s="1415">
        <f t="shared" si="27"/>
        <v>0</v>
      </c>
      <c r="EK729" s="1415"/>
      <c r="EL729" s="1415"/>
      <c r="EM729" s="1415"/>
      <c r="EN729" s="1415"/>
      <c r="EO729" s="1415">
        <f t="shared" si="28"/>
        <v>0</v>
      </c>
      <c r="EP729" s="1415"/>
      <c r="EQ729" s="1415"/>
      <c r="ER729" s="1415"/>
      <c r="ES729" s="1415"/>
      <c r="ET729" s="1415">
        <f t="shared" si="29"/>
        <v>0</v>
      </c>
      <c r="EU729" s="1415"/>
      <c r="EV729" s="1415"/>
      <c r="EW729" s="1415"/>
      <c r="EX729" s="1415"/>
      <c r="EZ729" s="1452" t="str">
        <f t="shared" si="30"/>
        <v/>
      </c>
      <c r="FA729" s="1486"/>
      <c r="FB729" s="1486"/>
      <c r="FC729" s="1486"/>
      <c r="FD729" s="1453"/>
      <c r="FE729" s="1452" t="str">
        <f t="shared" si="31"/>
        <v/>
      </c>
      <c r="FF729" s="1486"/>
      <c r="FG729" s="1486"/>
      <c r="FH729" s="1486"/>
      <c r="FI729" s="1453"/>
      <c r="FJ729" s="1452" t="str">
        <f t="shared" si="32"/>
        <v/>
      </c>
      <c r="FK729" s="1486"/>
      <c r="FL729" s="1486"/>
      <c r="FM729" s="1486"/>
      <c r="FN729" s="1453"/>
      <c r="FO729" s="1452" t="str">
        <f t="shared" si="33"/>
        <v/>
      </c>
      <c r="FP729" s="1486"/>
      <c r="FQ729" s="1486"/>
      <c r="FR729" s="1486"/>
      <c r="FS729" s="1453"/>
      <c r="FT729" s="1452" t="str">
        <f t="shared" si="34"/>
        <v/>
      </c>
      <c r="FU729" s="1486"/>
      <c r="FV729" s="1486"/>
      <c r="FW729" s="1486"/>
      <c r="FX729" s="1453"/>
      <c r="FY729" s="1452" t="str">
        <f t="shared" si="35"/>
        <v/>
      </c>
      <c r="FZ729" s="1486"/>
      <c r="GA729" s="1486"/>
      <c r="GB729" s="1486"/>
      <c r="GC729" s="1453"/>
    </row>
    <row r="730" spans="1:185" ht="12.95" customHeight="1">
      <c r="B730" s="1354"/>
      <c r="C730" s="1355"/>
      <c r="D730" s="1355"/>
      <c r="E730" s="1355"/>
      <c r="F730" s="1356"/>
      <c r="G730" s="1351"/>
      <c r="H730" s="1352"/>
      <c r="I730" s="1352"/>
      <c r="J730" s="1353"/>
      <c r="K730" s="1336"/>
      <c r="L730" s="1337"/>
      <c r="M730" s="1337"/>
      <c r="N730" s="1338"/>
      <c r="O730" s="1379"/>
      <c r="P730" s="1380"/>
      <c r="Q730" s="1380"/>
      <c r="R730" s="1380"/>
      <c r="S730" s="1381"/>
      <c r="T730" s="1379"/>
      <c r="U730" s="1380"/>
      <c r="V730" s="1380"/>
      <c r="W730" s="1381"/>
      <c r="X730" s="1361">
        <f t="shared" si="8"/>
        <v>0</v>
      </c>
      <c r="Y730" s="1362"/>
      <c r="Z730" s="1362"/>
      <c r="AA730" s="1362"/>
      <c r="AB730" s="1363"/>
      <c r="AC730" s="1339"/>
      <c r="AD730" s="1340"/>
      <c r="AE730" s="1340"/>
      <c r="AF730" s="1340"/>
      <c r="AG730" s="1341"/>
      <c r="AH730" s="1448" t="str">
        <f t="shared" si="36"/>
        <v/>
      </c>
      <c r="AI730" s="1449"/>
      <c r="AJ730" s="1450"/>
      <c r="AK730" s="1354" t="s">
        <v>591</v>
      </c>
      <c r="AL730" s="1355"/>
      <c r="AM730" s="1355"/>
      <c r="AN730" s="1355"/>
      <c r="AO730" s="1356"/>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52">
        <f t="shared" si="37"/>
        <v>0</v>
      </c>
      <c r="CH730" s="1453"/>
      <c r="CI730" s="1476">
        <f t="shared" si="38"/>
        <v>0</v>
      </c>
      <c r="CJ730" s="1477"/>
      <c r="CK730" s="1452">
        <f t="shared" si="16"/>
        <v>0</v>
      </c>
      <c r="CL730" s="1453"/>
      <c r="CM730" s="1476">
        <f t="shared" si="17"/>
        <v>0</v>
      </c>
      <c r="CN730" s="1477"/>
      <c r="CO730" s="3"/>
      <c r="CP730" s="1416">
        <f t="shared" si="18"/>
        <v>0</v>
      </c>
      <c r="CQ730" s="1417"/>
      <c r="CR730" s="1417"/>
      <c r="CS730" s="1417"/>
      <c r="CT730" s="1418"/>
      <c r="CU730" s="1451">
        <f t="shared" si="19"/>
        <v>0</v>
      </c>
      <c r="CV730" s="1451"/>
      <c r="CW730" s="1451"/>
      <c r="CX730" s="1451"/>
      <c r="CY730" s="1451"/>
      <c r="CZ730" s="1451">
        <f t="shared" si="20"/>
        <v>0</v>
      </c>
      <c r="DA730" s="1451"/>
      <c r="DB730" s="1451"/>
      <c r="DC730" s="1451"/>
      <c r="DD730" s="1451"/>
      <c r="DE730" s="1451">
        <f t="shared" si="21"/>
        <v>0</v>
      </c>
      <c r="DF730" s="1451"/>
      <c r="DG730" s="1451"/>
      <c r="DH730" s="1451"/>
      <c r="DI730" s="1451"/>
      <c r="DJ730" s="1451">
        <f t="shared" si="22"/>
        <v>0</v>
      </c>
      <c r="DK730" s="1451"/>
      <c r="DL730" s="1451"/>
      <c r="DM730" s="1451"/>
      <c r="DN730" s="1451"/>
      <c r="DO730" s="1451">
        <f t="shared" si="23"/>
        <v>0</v>
      </c>
      <c r="DP730" s="1451"/>
      <c r="DQ730" s="1451"/>
      <c r="DR730" s="1451"/>
      <c r="DS730" s="1451"/>
      <c r="DT730" s="6"/>
      <c r="DU730" s="1415">
        <f t="shared" si="24"/>
        <v>0</v>
      </c>
      <c r="DV730" s="1415"/>
      <c r="DW730" s="1415"/>
      <c r="DX730" s="1415"/>
      <c r="DY730" s="1415"/>
      <c r="DZ730" s="1415">
        <f t="shared" si="25"/>
        <v>0</v>
      </c>
      <c r="EA730" s="1415"/>
      <c r="EB730" s="1415"/>
      <c r="EC730" s="1415"/>
      <c r="ED730" s="1415"/>
      <c r="EE730" s="1415">
        <f t="shared" si="26"/>
        <v>0</v>
      </c>
      <c r="EF730" s="1415"/>
      <c r="EG730" s="1415"/>
      <c r="EH730" s="1415"/>
      <c r="EI730" s="1415"/>
      <c r="EJ730" s="1415">
        <f t="shared" si="27"/>
        <v>0</v>
      </c>
      <c r="EK730" s="1415"/>
      <c r="EL730" s="1415"/>
      <c r="EM730" s="1415"/>
      <c r="EN730" s="1415"/>
      <c r="EO730" s="1415">
        <f t="shared" si="28"/>
        <v>0</v>
      </c>
      <c r="EP730" s="1415"/>
      <c r="EQ730" s="1415"/>
      <c r="ER730" s="1415"/>
      <c r="ES730" s="1415"/>
      <c r="ET730" s="1415">
        <f t="shared" si="29"/>
        <v>0</v>
      </c>
      <c r="EU730" s="1415"/>
      <c r="EV730" s="1415"/>
      <c r="EW730" s="1415"/>
      <c r="EX730" s="1415"/>
      <c r="EZ730" s="1452" t="str">
        <f t="shared" si="30"/>
        <v/>
      </c>
      <c r="FA730" s="1486"/>
      <c r="FB730" s="1486"/>
      <c r="FC730" s="1486"/>
      <c r="FD730" s="1453"/>
      <c r="FE730" s="1452" t="str">
        <f t="shared" si="31"/>
        <v/>
      </c>
      <c r="FF730" s="1486"/>
      <c r="FG730" s="1486"/>
      <c r="FH730" s="1486"/>
      <c r="FI730" s="1453"/>
      <c r="FJ730" s="1452" t="str">
        <f t="shared" si="32"/>
        <v/>
      </c>
      <c r="FK730" s="1486"/>
      <c r="FL730" s="1486"/>
      <c r="FM730" s="1486"/>
      <c r="FN730" s="1453"/>
      <c r="FO730" s="1452" t="str">
        <f t="shared" si="33"/>
        <v/>
      </c>
      <c r="FP730" s="1486"/>
      <c r="FQ730" s="1486"/>
      <c r="FR730" s="1486"/>
      <c r="FS730" s="1453"/>
      <c r="FT730" s="1452" t="str">
        <f t="shared" si="34"/>
        <v/>
      </c>
      <c r="FU730" s="1486"/>
      <c r="FV730" s="1486"/>
      <c r="FW730" s="1486"/>
      <c r="FX730" s="1453"/>
      <c r="FY730" s="1452" t="str">
        <f t="shared" si="35"/>
        <v/>
      </c>
      <c r="FZ730" s="1486"/>
      <c r="GA730" s="1486"/>
      <c r="GB730" s="1486"/>
      <c r="GC730" s="1453"/>
    </row>
    <row r="731" spans="1:185" ht="12.95" customHeight="1">
      <c r="B731" s="1354"/>
      <c r="C731" s="1355"/>
      <c r="D731" s="1355"/>
      <c r="E731" s="1355"/>
      <c r="F731" s="1356"/>
      <c r="G731" s="1351"/>
      <c r="H731" s="1352"/>
      <c r="I731" s="1352"/>
      <c r="J731" s="1353"/>
      <c r="K731" s="1336"/>
      <c r="L731" s="1337"/>
      <c r="M731" s="1337"/>
      <c r="N731" s="1338"/>
      <c r="O731" s="1379"/>
      <c r="P731" s="1380"/>
      <c r="Q731" s="1380"/>
      <c r="R731" s="1380"/>
      <c r="S731" s="1381"/>
      <c r="T731" s="1379"/>
      <c r="U731" s="1380"/>
      <c r="V731" s="1380"/>
      <c r="W731" s="1381"/>
      <c r="X731" s="1361">
        <f t="shared" si="8"/>
        <v>0</v>
      </c>
      <c r="Y731" s="1362"/>
      <c r="Z731" s="1362"/>
      <c r="AA731" s="1362"/>
      <c r="AB731" s="1363"/>
      <c r="AC731" s="1339"/>
      <c r="AD731" s="1340"/>
      <c r="AE731" s="1340"/>
      <c r="AF731" s="1340"/>
      <c r="AG731" s="1341"/>
      <c r="AH731" s="1448" t="str">
        <f t="shared" si="36"/>
        <v/>
      </c>
      <c r="AI731" s="1449"/>
      <c r="AJ731" s="1450"/>
      <c r="AK731" s="1354" t="s">
        <v>591</v>
      </c>
      <c r="AL731" s="1355"/>
      <c r="AM731" s="1355"/>
      <c r="AN731" s="1355"/>
      <c r="AO731" s="1356"/>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52">
        <f t="shared" si="37"/>
        <v>0</v>
      </c>
      <c r="CH731" s="1453"/>
      <c r="CI731" s="1476">
        <f t="shared" si="38"/>
        <v>0</v>
      </c>
      <c r="CJ731" s="1477"/>
      <c r="CK731" s="1452">
        <f t="shared" si="16"/>
        <v>0</v>
      </c>
      <c r="CL731" s="1453"/>
      <c r="CM731" s="1476">
        <f t="shared" si="17"/>
        <v>0</v>
      </c>
      <c r="CN731" s="1477"/>
      <c r="CO731" s="3"/>
      <c r="CP731" s="1416">
        <f t="shared" si="18"/>
        <v>0</v>
      </c>
      <c r="CQ731" s="1417"/>
      <c r="CR731" s="1417"/>
      <c r="CS731" s="1417"/>
      <c r="CT731" s="1418"/>
      <c r="CU731" s="1451">
        <f t="shared" si="19"/>
        <v>0</v>
      </c>
      <c r="CV731" s="1451"/>
      <c r="CW731" s="1451"/>
      <c r="CX731" s="1451"/>
      <c r="CY731" s="1451"/>
      <c r="CZ731" s="1451">
        <f t="shared" si="20"/>
        <v>0</v>
      </c>
      <c r="DA731" s="1451"/>
      <c r="DB731" s="1451"/>
      <c r="DC731" s="1451"/>
      <c r="DD731" s="1451"/>
      <c r="DE731" s="1451">
        <f t="shared" si="21"/>
        <v>0</v>
      </c>
      <c r="DF731" s="1451"/>
      <c r="DG731" s="1451"/>
      <c r="DH731" s="1451"/>
      <c r="DI731" s="1451"/>
      <c r="DJ731" s="1451">
        <f t="shared" si="22"/>
        <v>0</v>
      </c>
      <c r="DK731" s="1451"/>
      <c r="DL731" s="1451"/>
      <c r="DM731" s="1451"/>
      <c r="DN731" s="1451"/>
      <c r="DO731" s="1451">
        <f t="shared" si="23"/>
        <v>0</v>
      </c>
      <c r="DP731" s="1451"/>
      <c r="DQ731" s="1451"/>
      <c r="DR731" s="1451"/>
      <c r="DS731" s="1451"/>
      <c r="DT731" s="6"/>
      <c r="DU731" s="1415">
        <f t="shared" si="24"/>
        <v>0</v>
      </c>
      <c r="DV731" s="1415"/>
      <c r="DW731" s="1415"/>
      <c r="DX731" s="1415"/>
      <c r="DY731" s="1415"/>
      <c r="DZ731" s="1415">
        <f t="shared" si="25"/>
        <v>0</v>
      </c>
      <c r="EA731" s="1415"/>
      <c r="EB731" s="1415"/>
      <c r="EC731" s="1415"/>
      <c r="ED731" s="1415"/>
      <c r="EE731" s="1415">
        <f t="shared" si="26"/>
        <v>0</v>
      </c>
      <c r="EF731" s="1415"/>
      <c r="EG731" s="1415"/>
      <c r="EH731" s="1415"/>
      <c r="EI731" s="1415"/>
      <c r="EJ731" s="1415">
        <f t="shared" si="27"/>
        <v>0</v>
      </c>
      <c r="EK731" s="1415"/>
      <c r="EL731" s="1415"/>
      <c r="EM731" s="1415"/>
      <c r="EN731" s="1415"/>
      <c r="EO731" s="1415">
        <f t="shared" si="28"/>
        <v>0</v>
      </c>
      <c r="EP731" s="1415"/>
      <c r="EQ731" s="1415"/>
      <c r="ER731" s="1415"/>
      <c r="ES731" s="1415"/>
      <c r="ET731" s="1415">
        <f t="shared" si="29"/>
        <v>0</v>
      </c>
      <c r="EU731" s="1415"/>
      <c r="EV731" s="1415"/>
      <c r="EW731" s="1415"/>
      <c r="EX731" s="1415"/>
      <c r="EZ731" s="1452" t="str">
        <f t="shared" si="30"/>
        <v/>
      </c>
      <c r="FA731" s="1486"/>
      <c r="FB731" s="1486"/>
      <c r="FC731" s="1486"/>
      <c r="FD731" s="1453"/>
      <c r="FE731" s="1452" t="str">
        <f t="shared" si="31"/>
        <v/>
      </c>
      <c r="FF731" s="1486"/>
      <c r="FG731" s="1486"/>
      <c r="FH731" s="1486"/>
      <c r="FI731" s="1453"/>
      <c r="FJ731" s="1452" t="str">
        <f t="shared" si="32"/>
        <v/>
      </c>
      <c r="FK731" s="1486"/>
      <c r="FL731" s="1486"/>
      <c r="FM731" s="1486"/>
      <c r="FN731" s="1453"/>
      <c r="FO731" s="1452" t="str">
        <f t="shared" si="33"/>
        <v/>
      </c>
      <c r="FP731" s="1486"/>
      <c r="FQ731" s="1486"/>
      <c r="FR731" s="1486"/>
      <c r="FS731" s="1453"/>
      <c r="FT731" s="1452" t="str">
        <f t="shared" si="34"/>
        <v/>
      </c>
      <c r="FU731" s="1486"/>
      <c r="FV731" s="1486"/>
      <c r="FW731" s="1486"/>
      <c r="FX731" s="1453"/>
      <c r="FY731" s="1452" t="str">
        <f t="shared" si="35"/>
        <v/>
      </c>
      <c r="FZ731" s="1486"/>
      <c r="GA731" s="1486"/>
      <c r="GB731" s="1486"/>
      <c r="GC731" s="1453"/>
    </row>
    <row r="732" spans="1:185" ht="12.95" customHeight="1">
      <c r="B732" s="1354"/>
      <c r="C732" s="1355"/>
      <c r="D732" s="1355"/>
      <c r="E732" s="1355"/>
      <c r="F732" s="1356"/>
      <c r="G732" s="1351"/>
      <c r="H732" s="1352"/>
      <c r="I732" s="1352"/>
      <c r="J732" s="1353"/>
      <c r="K732" s="1336"/>
      <c r="L732" s="1337"/>
      <c r="M732" s="1337"/>
      <c r="N732" s="1338"/>
      <c r="O732" s="1379"/>
      <c r="P732" s="1380"/>
      <c r="Q732" s="1380"/>
      <c r="R732" s="1380"/>
      <c r="S732" s="1381"/>
      <c r="T732" s="1379"/>
      <c r="U732" s="1380"/>
      <c r="V732" s="1380"/>
      <c r="W732" s="1381"/>
      <c r="X732" s="1361">
        <f t="shared" si="8"/>
        <v>0</v>
      </c>
      <c r="Y732" s="1362"/>
      <c r="Z732" s="1362"/>
      <c r="AA732" s="1362"/>
      <c r="AB732" s="1363"/>
      <c r="AC732" s="1339"/>
      <c r="AD732" s="1340"/>
      <c r="AE732" s="1340"/>
      <c r="AF732" s="1340"/>
      <c r="AG732" s="1341"/>
      <c r="AH732" s="1448" t="str">
        <f t="shared" si="36"/>
        <v/>
      </c>
      <c r="AI732" s="1449"/>
      <c r="AJ732" s="1450"/>
      <c r="AK732" s="1354" t="s">
        <v>591</v>
      </c>
      <c r="AL732" s="1355"/>
      <c r="AM732" s="1355"/>
      <c r="AN732" s="1355"/>
      <c r="AO732" s="1356"/>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52">
        <f t="shared" si="37"/>
        <v>0</v>
      </c>
      <c r="CH732" s="1453"/>
      <c r="CI732" s="1476">
        <f t="shared" si="38"/>
        <v>0</v>
      </c>
      <c r="CJ732" s="1477"/>
      <c r="CK732" s="1452">
        <f t="shared" si="16"/>
        <v>0</v>
      </c>
      <c r="CL732" s="1453"/>
      <c r="CM732" s="1476">
        <f t="shared" si="17"/>
        <v>0</v>
      </c>
      <c r="CN732" s="1477"/>
      <c r="CO732" s="3"/>
      <c r="CP732" s="1416">
        <f t="shared" si="18"/>
        <v>0</v>
      </c>
      <c r="CQ732" s="1417"/>
      <c r="CR732" s="1417"/>
      <c r="CS732" s="1417"/>
      <c r="CT732" s="1418"/>
      <c r="CU732" s="1451">
        <f t="shared" si="19"/>
        <v>0</v>
      </c>
      <c r="CV732" s="1451"/>
      <c r="CW732" s="1451"/>
      <c r="CX732" s="1451"/>
      <c r="CY732" s="1451"/>
      <c r="CZ732" s="1451">
        <f t="shared" si="20"/>
        <v>0</v>
      </c>
      <c r="DA732" s="1451"/>
      <c r="DB732" s="1451"/>
      <c r="DC732" s="1451"/>
      <c r="DD732" s="1451"/>
      <c r="DE732" s="1451">
        <f t="shared" si="21"/>
        <v>0</v>
      </c>
      <c r="DF732" s="1451"/>
      <c r="DG732" s="1451"/>
      <c r="DH732" s="1451"/>
      <c r="DI732" s="1451"/>
      <c r="DJ732" s="1451">
        <f t="shared" si="22"/>
        <v>0</v>
      </c>
      <c r="DK732" s="1451"/>
      <c r="DL732" s="1451"/>
      <c r="DM732" s="1451"/>
      <c r="DN732" s="1451"/>
      <c r="DO732" s="1451">
        <f t="shared" si="23"/>
        <v>0</v>
      </c>
      <c r="DP732" s="1451"/>
      <c r="DQ732" s="1451"/>
      <c r="DR732" s="1451"/>
      <c r="DS732" s="1451"/>
      <c r="DT732" s="6"/>
      <c r="DU732" s="1415">
        <f t="shared" si="24"/>
        <v>0</v>
      </c>
      <c r="DV732" s="1415"/>
      <c r="DW732" s="1415"/>
      <c r="DX732" s="1415"/>
      <c r="DY732" s="1415"/>
      <c r="DZ732" s="1415">
        <f t="shared" si="25"/>
        <v>0</v>
      </c>
      <c r="EA732" s="1415"/>
      <c r="EB732" s="1415"/>
      <c r="EC732" s="1415"/>
      <c r="ED732" s="1415"/>
      <c r="EE732" s="1415">
        <f t="shared" si="26"/>
        <v>0</v>
      </c>
      <c r="EF732" s="1415"/>
      <c r="EG732" s="1415"/>
      <c r="EH732" s="1415"/>
      <c r="EI732" s="1415"/>
      <c r="EJ732" s="1415">
        <f t="shared" si="27"/>
        <v>0</v>
      </c>
      <c r="EK732" s="1415"/>
      <c r="EL732" s="1415"/>
      <c r="EM732" s="1415"/>
      <c r="EN732" s="1415"/>
      <c r="EO732" s="1415">
        <f t="shared" si="28"/>
        <v>0</v>
      </c>
      <c r="EP732" s="1415"/>
      <c r="EQ732" s="1415"/>
      <c r="ER732" s="1415"/>
      <c r="ES732" s="1415"/>
      <c r="ET732" s="1415">
        <f t="shared" si="29"/>
        <v>0</v>
      </c>
      <c r="EU732" s="1415"/>
      <c r="EV732" s="1415"/>
      <c r="EW732" s="1415"/>
      <c r="EX732" s="1415"/>
      <c r="EZ732" s="1452" t="str">
        <f t="shared" si="30"/>
        <v/>
      </c>
      <c r="FA732" s="1486"/>
      <c r="FB732" s="1486"/>
      <c r="FC732" s="1486"/>
      <c r="FD732" s="1453"/>
      <c r="FE732" s="1452" t="str">
        <f t="shared" si="31"/>
        <v/>
      </c>
      <c r="FF732" s="1486"/>
      <c r="FG732" s="1486"/>
      <c r="FH732" s="1486"/>
      <c r="FI732" s="1453"/>
      <c r="FJ732" s="1452" t="str">
        <f t="shared" si="32"/>
        <v/>
      </c>
      <c r="FK732" s="1486"/>
      <c r="FL732" s="1486"/>
      <c r="FM732" s="1486"/>
      <c r="FN732" s="1453"/>
      <c r="FO732" s="1452" t="str">
        <f t="shared" si="33"/>
        <v/>
      </c>
      <c r="FP732" s="1486"/>
      <c r="FQ732" s="1486"/>
      <c r="FR732" s="1486"/>
      <c r="FS732" s="1453"/>
      <c r="FT732" s="1452" t="str">
        <f t="shared" si="34"/>
        <v/>
      </c>
      <c r="FU732" s="1486"/>
      <c r="FV732" s="1486"/>
      <c r="FW732" s="1486"/>
      <c r="FX732" s="1453"/>
      <c r="FY732" s="1452" t="str">
        <f t="shared" si="35"/>
        <v/>
      </c>
      <c r="FZ732" s="1486"/>
      <c r="GA732" s="1486"/>
      <c r="GB732" s="1486"/>
      <c r="GC732" s="1453"/>
    </row>
    <row r="733" spans="1:185" ht="12.95" customHeight="1">
      <c r="B733" s="1354"/>
      <c r="C733" s="1355"/>
      <c r="D733" s="1355"/>
      <c r="E733" s="1355"/>
      <c r="F733" s="1356"/>
      <c r="G733" s="1351"/>
      <c r="H733" s="1352"/>
      <c r="I733" s="1352"/>
      <c r="J733" s="1353"/>
      <c r="K733" s="1336"/>
      <c r="L733" s="1337"/>
      <c r="M733" s="1337"/>
      <c r="N733" s="1338"/>
      <c r="O733" s="1379"/>
      <c r="P733" s="1380"/>
      <c r="Q733" s="1380"/>
      <c r="R733" s="1380"/>
      <c r="S733" s="1381"/>
      <c r="T733" s="1379"/>
      <c r="U733" s="1380"/>
      <c r="V733" s="1380"/>
      <c r="W733" s="1381"/>
      <c r="X733" s="1361">
        <f t="shared" si="8"/>
        <v>0</v>
      </c>
      <c r="Y733" s="1362"/>
      <c r="Z733" s="1362"/>
      <c r="AA733" s="1362"/>
      <c r="AB733" s="1363"/>
      <c r="AC733" s="1339"/>
      <c r="AD733" s="1340"/>
      <c r="AE733" s="1340"/>
      <c r="AF733" s="1340"/>
      <c r="AG733" s="1341"/>
      <c r="AH733" s="1448" t="str">
        <f t="shared" si="36"/>
        <v/>
      </c>
      <c r="AI733" s="1449"/>
      <c r="AJ733" s="1450"/>
      <c r="AK733" s="1354" t="s">
        <v>591</v>
      </c>
      <c r="AL733" s="1355"/>
      <c r="AM733" s="1355"/>
      <c r="AN733" s="1355"/>
      <c r="AO733" s="1356"/>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52">
        <f t="shared" si="37"/>
        <v>0</v>
      </c>
      <c r="CH733" s="1453"/>
      <c r="CI733" s="1476">
        <f t="shared" si="38"/>
        <v>0</v>
      </c>
      <c r="CJ733" s="1477"/>
      <c r="CK733" s="1452">
        <f t="shared" si="16"/>
        <v>0</v>
      </c>
      <c r="CL733" s="1453"/>
      <c r="CM733" s="1476">
        <f t="shared" si="17"/>
        <v>0</v>
      </c>
      <c r="CN733" s="1477"/>
      <c r="CO733" s="3"/>
      <c r="CP733" s="1416">
        <f t="shared" si="18"/>
        <v>0</v>
      </c>
      <c r="CQ733" s="1417"/>
      <c r="CR733" s="1417"/>
      <c r="CS733" s="1417"/>
      <c r="CT733" s="1418"/>
      <c r="CU733" s="1451">
        <f t="shared" si="19"/>
        <v>0</v>
      </c>
      <c r="CV733" s="1451"/>
      <c r="CW733" s="1451"/>
      <c r="CX733" s="1451"/>
      <c r="CY733" s="1451"/>
      <c r="CZ733" s="1451">
        <f t="shared" si="20"/>
        <v>0</v>
      </c>
      <c r="DA733" s="1451"/>
      <c r="DB733" s="1451"/>
      <c r="DC733" s="1451"/>
      <c r="DD733" s="1451"/>
      <c r="DE733" s="1451">
        <f t="shared" si="21"/>
        <v>0</v>
      </c>
      <c r="DF733" s="1451"/>
      <c r="DG733" s="1451"/>
      <c r="DH733" s="1451"/>
      <c r="DI733" s="1451"/>
      <c r="DJ733" s="1451">
        <f t="shared" si="22"/>
        <v>0</v>
      </c>
      <c r="DK733" s="1451"/>
      <c r="DL733" s="1451"/>
      <c r="DM733" s="1451"/>
      <c r="DN733" s="1451"/>
      <c r="DO733" s="1451">
        <f t="shared" si="23"/>
        <v>0</v>
      </c>
      <c r="DP733" s="1451"/>
      <c r="DQ733" s="1451"/>
      <c r="DR733" s="1451"/>
      <c r="DS733" s="1451"/>
      <c r="DT733" s="6"/>
      <c r="DU733" s="1415">
        <f t="shared" si="24"/>
        <v>0</v>
      </c>
      <c r="DV733" s="1415"/>
      <c r="DW733" s="1415"/>
      <c r="DX733" s="1415"/>
      <c r="DY733" s="1415"/>
      <c r="DZ733" s="1415">
        <f t="shared" si="25"/>
        <v>0</v>
      </c>
      <c r="EA733" s="1415"/>
      <c r="EB733" s="1415"/>
      <c r="EC733" s="1415"/>
      <c r="ED733" s="1415"/>
      <c r="EE733" s="1415">
        <f t="shared" si="26"/>
        <v>0</v>
      </c>
      <c r="EF733" s="1415"/>
      <c r="EG733" s="1415"/>
      <c r="EH733" s="1415"/>
      <c r="EI733" s="1415"/>
      <c r="EJ733" s="1415">
        <f t="shared" si="27"/>
        <v>0</v>
      </c>
      <c r="EK733" s="1415"/>
      <c r="EL733" s="1415"/>
      <c r="EM733" s="1415"/>
      <c r="EN733" s="1415"/>
      <c r="EO733" s="1415">
        <f t="shared" si="28"/>
        <v>0</v>
      </c>
      <c r="EP733" s="1415"/>
      <c r="EQ733" s="1415"/>
      <c r="ER733" s="1415"/>
      <c r="ES733" s="1415"/>
      <c r="ET733" s="1415">
        <f t="shared" si="29"/>
        <v>0</v>
      </c>
      <c r="EU733" s="1415"/>
      <c r="EV733" s="1415"/>
      <c r="EW733" s="1415"/>
      <c r="EX733" s="1415"/>
      <c r="EZ733" s="1452" t="str">
        <f t="shared" si="30"/>
        <v/>
      </c>
      <c r="FA733" s="1486"/>
      <c r="FB733" s="1486"/>
      <c r="FC733" s="1486"/>
      <c r="FD733" s="1453"/>
      <c r="FE733" s="1452" t="str">
        <f t="shared" si="31"/>
        <v/>
      </c>
      <c r="FF733" s="1486"/>
      <c r="FG733" s="1486"/>
      <c r="FH733" s="1486"/>
      <c r="FI733" s="1453"/>
      <c r="FJ733" s="1452" t="str">
        <f t="shared" si="32"/>
        <v/>
      </c>
      <c r="FK733" s="1486"/>
      <c r="FL733" s="1486"/>
      <c r="FM733" s="1486"/>
      <c r="FN733" s="1453"/>
      <c r="FO733" s="1452" t="str">
        <f t="shared" si="33"/>
        <v/>
      </c>
      <c r="FP733" s="1486"/>
      <c r="FQ733" s="1486"/>
      <c r="FR733" s="1486"/>
      <c r="FS733" s="1453"/>
      <c r="FT733" s="1452" t="str">
        <f t="shared" si="34"/>
        <v/>
      </c>
      <c r="FU733" s="1486"/>
      <c r="FV733" s="1486"/>
      <c r="FW733" s="1486"/>
      <c r="FX733" s="1453"/>
      <c r="FY733" s="1452" t="str">
        <f t="shared" si="35"/>
        <v/>
      </c>
      <c r="FZ733" s="1486"/>
      <c r="GA733" s="1486"/>
      <c r="GB733" s="1486"/>
      <c r="GC733" s="1453"/>
    </row>
    <row r="734" spans="1:185" ht="12.95" customHeight="1">
      <c r="B734" s="1354"/>
      <c r="C734" s="1355"/>
      <c r="D734" s="1355"/>
      <c r="E734" s="1355"/>
      <c r="F734" s="1356"/>
      <c r="G734" s="1351"/>
      <c r="H734" s="1352"/>
      <c r="I734" s="1352"/>
      <c r="J734" s="1353"/>
      <c r="K734" s="1336"/>
      <c r="L734" s="1337"/>
      <c r="M734" s="1337"/>
      <c r="N734" s="1338"/>
      <c r="O734" s="1379"/>
      <c r="P734" s="1380"/>
      <c r="Q734" s="1380"/>
      <c r="R734" s="1380"/>
      <c r="S734" s="1381"/>
      <c r="T734" s="1379"/>
      <c r="U734" s="1380"/>
      <c r="V734" s="1380"/>
      <c r="W734" s="1381"/>
      <c r="X734" s="1361">
        <f t="shared" si="8"/>
        <v>0</v>
      </c>
      <c r="Y734" s="1362"/>
      <c r="Z734" s="1362"/>
      <c r="AA734" s="1362"/>
      <c r="AB734" s="1363"/>
      <c r="AC734" s="1339"/>
      <c r="AD734" s="1340"/>
      <c r="AE734" s="1340"/>
      <c r="AF734" s="1340"/>
      <c r="AG734" s="1341"/>
      <c r="AH734" s="1448" t="str">
        <f t="shared" si="36"/>
        <v/>
      </c>
      <c r="AI734" s="1449"/>
      <c r="AJ734" s="1450"/>
      <c r="AK734" s="1354" t="s">
        <v>591</v>
      </c>
      <c r="AL734" s="1355"/>
      <c r="AM734" s="1355"/>
      <c r="AN734" s="1355"/>
      <c r="AO734" s="1356"/>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52">
        <f t="shared" si="37"/>
        <v>0</v>
      </c>
      <c r="CH734" s="1453"/>
      <c r="CI734" s="1476">
        <f t="shared" si="38"/>
        <v>0</v>
      </c>
      <c r="CJ734" s="1477"/>
      <c r="CK734" s="1452">
        <f t="shared" si="16"/>
        <v>0</v>
      </c>
      <c r="CL734" s="1453"/>
      <c r="CM734" s="1476">
        <f t="shared" si="17"/>
        <v>0</v>
      </c>
      <c r="CN734" s="1477"/>
      <c r="CO734" s="3"/>
      <c r="CP734" s="1416">
        <f t="shared" si="18"/>
        <v>0</v>
      </c>
      <c r="CQ734" s="1417"/>
      <c r="CR734" s="1417"/>
      <c r="CS734" s="1417"/>
      <c r="CT734" s="1418"/>
      <c r="CU734" s="1451">
        <f t="shared" si="19"/>
        <v>0</v>
      </c>
      <c r="CV734" s="1451"/>
      <c r="CW734" s="1451"/>
      <c r="CX734" s="1451"/>
      <c r="CY734" s="1451"/>
      <c r="CZ734" s="1451">
        <f t="shared" si="20"/>
        <v>0</v>
      </c>
      <c r="DA734" s="1451"/>
      <c r="DB734" s="1451"/>
      <c r="DC734" s="1451"/>
      <c r="DD734" s="1451"/>
      <c r="DE734" s="1451">
        <f t="shared" si="21"/>
        <v>0</v>
      </c>
      <c r="DF734" s="1451"/>
      <c r="DG734" s="1451"/>
      <c r="DH734" s="1451"/>
      <c r="DI734" s="1451"/>
      <c r="DJ734" s="1451">
        <f t="shared" si="22"/>
        <v>0</v>
      </c>
      <c r="DK734" s="1451"/>
      <c r="DL734" s="1451"/>
      <c r="DM734" s="1451"/>
      <c r="DN734" s="1451"/>
      <c r="DO734" s="1451">
        <f t="shared" si="23"/>
        <v>0</v>
      </c>
      <c r="DP734" s="1451"/>
      <c r="DQ734" s="1451"/>
      <c r="DR734" s="1451"/>
      <c r="DS734" s="1451"/>
      <c r="DT734" s="6"/>
      <c r="DU734" s="1415">
        <f t="shared" si="24"/>
        <v>0</v>
      </c>
      <c r="DV734" s="1415"/>
      <c r="DW734" s="1415"/>
      <c r="DX734" s="1415"/>
      <c r="DY734" s="1415"/>
      <c r="DZ734" s="1415">
        <f t="shared" si="25"/>
        <v>0</v>
      </c>
      <c r="EA734" s="1415"/>
      <c r="EB734" s="1415"/>
      <c r="EC734" s="1415"/>
      <c r="ED734" s="1415"/>
      <c r="EE734" s="1415">
        <f t="shared" si="26"/>
        <v>0</v>
      </c>
      <c r="EF734" s="1415"/>
      <c r="EG734" s="1415"/>
      <c r="EH734" s="1415"/>
      <c r="EI734" s="1415"/>
      <c r="EJ734" s="1415">
        <f t="shared" si="27"/>
        <v>0</v>
      </c>
      <c r="EK734" s="1415"/>
      <c r="EL734" s="1415"/>
      <c r="EM734" s="1415"/>
      <c r="EN734" s="1415"/>
      <c r="EO734" s="1415">
        <f t="shared" si="28"/>
        <v>0</v>
      </c>
      <c r="EP734" s="1415"/>
      <c r="EQ734" s="1415"/>
      <c r="ER734" s="1415"/>
      <c r="ES734" s="1415"/>
      <c r="ET734" s="1415">
        <f t="shared" si="29"/>
        <v>0</v>
      </c>
      <c r="EU734" s="1415"/>
      <c r="EV734" s="1415"/>
      <c r="EW734" s="1415"/>
      <c r="EX734" s="1415"/>
      <c r="EZ734" s="1452" t="str">
        <f t="shared" si="30"/>
        <v/>
      </c>
      <c r="FA734" s="1486"/>
      <c r="FB734" s="1486"/>
      <c r="FC734" s="1486"/>
      <c r="FD734" s="1453"/>
      <c r="FE734" s="1452" t="str">
        <f t="shared" si="31"/>
        <v/>
      </c>
      <c r="FF734" s="1486"/>
      <c r="FG734" s="1486"/>
      <c r="FH734" s="1486"/>
      <c r="FI734" s="1453"/>
      <c r="FJ734" s="1452" t="str">
        <f t="shared" si="32"/>
        <v/>
      </c>
      <c r="FK734" s="1486"/>
      <c r="FL734" s="1486"/>
      <c r="FM734" s="1486"/>
      <c r="FN734" s="1453"/>
      <c r="FO734" s="1452" t="str">
        <f t="shared" si="33"/>
        <v/>
      </c>
      <c r="FP734" s="1486"/>
      <c r="FQ734" s="1486"/>
      <c r="FR734" s="1486"/>
      <c r="FS734" s="1453"/>
      <c r="FT734" s="1452" t="str">
        <f t="shared" si="34"/>
        <v/>
      </c>
      <c r="FU734" s="1486"/>
      <c r="FV734" s="1486"/>
      <c r="FW734" s="1486"/>
      <c r="FX734" s="1453"/>
      <c r="FY734" s="1452" t="str">
        <f t="shared" si="35"/>
        <v/>
      </c>
      <c r="FZ734" s="1486"/>
      <c r="GA734" s="1486"/>
      <c r="GB734" s="1486"/>
      <c r="GC734" s="1453"/>
    </row>
    <row r="735" spans="1:185" ht="12.95" customHeight="1">
      <c r="B735" s="1354"/>
      <c r="C735" s="1355"/>
      <c r="D735" s="1355"/>
      <c r="E735" s="1355"/>
      <c r="F735" s="1356"/>
      <c r="G735" s="1351"/>
      <c r="H735" s="1352"/>
      <c r="I735" s="1352"/>
      <c r="J735" s="1353"/>
      <c r="K735" s="1336"/>
      <c r="L735" s="1337"/>
      <c r="M735" s="1337"/>
      <c r="N735" s="1338"/>
      <c r="O735" s="1379"/>
      <c r="P735" s="1380"/>
      <c r="Q735" s="1380"/>
      <c r="R735" s="1380"/>
      <c r="S735" s="1381"/>
      <c r="T735" s="1379"/>
      <c r="U735" s="1380"/>
      <c r="V735" s="1380"/>
      <c r="W735" s="1381"/>
      <c r="X735" s="1361">
        <f t="shared" si="8"/>
        <v>0</v>
      </c>
      <c r="Y735" s="1362"/>
      <c r="Z735" s="1362"/>
      <c r="AA735" s="1362"/>
      <c r="AB735" s="1363"/>
      <c r="AC735" s="1339"/>
      <c r="AD735" s="1340"/>
      <c r="AE735" s="1340"/>
      <c r="AF735" s="1340"/>
      <c r="AG735" s="1341"/>
      <c r="AH735" s="1448" t="str">
        <f t="shared" si="36"/>
        <v/>
      </c>
      <c r="AI735" s="1449"/>
      <c r="AJ735" s="1450"/>
      <c r="AK735" s="1354" t="s">
        <v>591</v>
      </c>
      <c r="AL735" s="1355"/>
      <c r="AM735" s="1355"/>
      <c r="AN735" s="1355"/>
      <c r="AO735" s="1356"/>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52">
        <f t="shared" si="37"/>
        <v>0</v>
      </c>
      <c r="CH735" s="1453"/>
      <c r="CI735" s="1476">
        <f t="shared" si="38"/>
        <v>0</v>
      </c>
      <c r="CJ735" s="1477"/>
      <c r="CK735" s="1452">
        <f t="shared" si="16"/>
        <v>0</v>
      </c>
      <c r="CL735" s="1453"/>
      <c r="CM735" s="1476">
        <f t="shared" si="17"/>
        <v>0</v>
      </c>
      <c r="CN735" s="1477"/>
      <c r="CO735" s="3"/>
      <c r="CP735" s="1416">
        <f t="shared" si="18"/>
        <v>0</v>
      </c>
      <c r="CQ735" s="1417"/>
      <c r="CR735" s="1417"/>
      <c r="CS735" s="1417"/>
      <c r="CT735" s="1418"/>
      <c r="CU735" s="1451">
        <f t="shared" si="19"/>
        <v>0</v>
      </c>
      <c r="CV735" s="1451"/>
      <c r="CW735" s="1451"/>
      <c r="CX735" s="1451"/>
      <c r="CY735" s="1451"/>
      <c r="CZ735" s="1451">
        <f t="shared" si="20"/>
        <v>0</v>
      </c>
      <c r="DA735" s="1451"/>
      <c r="DB735" s="1451"/>
      <c r="DC735" s="1451"/>
      <c r="DD735" s="1451"/>
      <c r="DE735" s="1451">
        <f t="shared" si="21"/>
        <v>0</v>
      </c>
      <c r="DF735" s="1451"/>
      <c r="DG735" s="1451"/>
      <c r="DH735" s="1451"/>
      <c r="DI735" s="1451"/>
      <c r="DJ735" s="1451">
        <f t="shared" si="22"/>
        <v>0</v>
      </c>
      <c r="DK735" s="1451"/>
      <c r="DL735" s="1451"/>
      <c r="DM735" s="1451"/>
      <c r="DN735" s="1451"/>
      <c r="DO735" s="1451">
        <f t="shared" si="23"/>
        <v>0</v>
      </c>
      <c r="DP735" s="1451"/>
      <c r="DQ735" s="1451"/>
      <c r="DR735" s="1451"/>
      <c r="DS735" s="1451"/>
      <c r="DT735" s="6"/>
      <c r="DU735" s="1415">
        <f t="shared" si="24"/>
        <v>0</v>
      </c>
      <c r="DV735" s="1415"/>
      <c r="DW735" s="1415"/>
      <c r="DX735" s="1415"/>
      <c r="DY735" s="1415"/>
      <c r="DZ735" s="1415">
        <f t="shared" si="25"/>
        <v>0</v>
      </c>
      <c r="EA735" s="1415"/>
      <c r="EB735" s="1415"/>
      <c r="EC735" s="1415"/>
      <c r="ED735" s="1415"/>
      <c r="EE735" s="1415">
        <f t="shared" si="26"/>
        <v>0</v>
      </c>
      <c r="EF735" s="1415"/>
      <c r="EG735" s="1415"/>
      <c r="EH735" s="1415"/>
      <c r="EI735" s="1415"/>
      <c r="EJ735" s="1415">
        <f t="shared" si="27"/>
        <v>0</v>
      </c>
      <c r="EK735" s="1415"/>
      <c r="EL735" s="1415"/>
      <c r="EM735" s="1415"/>
      <c r="EN735" s="1415"/>
      <c r="EO735" s="1415">
        <f t="shared" si="28"/>
        <v>0</v>
      </c>
      <c r="EP735" s="1415"/>
      <c r="EQ735" s="1415"/>
      <c r="ER735" s="1415"/>
      <c r="ES735" s="1415"/>
      <c r="ET735" s="1415">
        <f t="shared" si="29"/>
        <v>0</v>
      </c>
      <c r="EU735" s="1415"/>
      <c r="EV735" s="1415"/>
      <c r="EW735" s="1415"/>
      <c r="EX735" s="1415"/>
      <c r="EZ735" s="1452" t="str">
        <f t="shared" si="30"/>
        <v/>
      </c>
      <c r="FA735" s="1486"/>
      <c r="FB735" s="1486"/>
      <c r="FC735" s="1486"/>
      <c r="FD735" s="1453"/>
      <c r="FE735" s="1452" t="str">
        <f t="shared" si="31"/>
        <v/>
      </c>
      <c r="FF735" s="1486"/>
      <c r="FG735" s="1486"/>
      <c r="FH735" s="1486"/>
      <c r="FI735" s="1453"/>
      <c r="FJ735" s="1452" t="str">
        <f t="shared" si="32"/>
        <v/>
      </c>
      <c r="FK735" s="1486"/>
      <c r="FL735" s="1486"/>
      <c r="FM735" s="1486"/>
      <c r="FN735" s="1453"/>
      <c r="FO735" s="1452" t="str">
        <f t="shared" si="33"/>
        <v/>
      </c>
      <c r="FP735" s="1486"/>
      <c r="FQ735" s="1486"/>
      <c r="FR735" s="1486"/>
      <c r="FS735" s="1453"/>
      <c r="FT735" s="1452" t="str">
        <f t="shared" si="34"/>
        <v/>
      </c>
      <c r="FU735" s="1486"/>
      <c r="FV735" s="1486"/>
      <c r="FW735" s="1486"/>
      <c r="FX735" s="1453"/>
      <c r="FY735" s="1452" t="str">
        <f t="shared" si="35"/>
        <v/>
      </c>
      <c r="FZ735" s="1486"/>
      <c r="GA735" s="1486"/>
      <c r="GB735" s="1486"/>
      <c r="GC735" s="1453"/>
    </row>
    <row r="736" spans="1:185" ht="12.95" customHeight="1">
      <c r="B736" s="1354"/>
      <c r="C736" s="1355"/>
      <c r="D736" s="1355"/>
      <c r="E736" s="1355"/>
      <c r="F736" s="1356"/>
      <c r="G736" s="1351"/>
      <c r="H736" s="1352"/>
      <c r="I736" s="1352"/>
      <c r="J736" s="1353"/>
      <c r="K736" s="1336"/>
      <c r="L736" s="1337"/>
      <c r="M736" s="1337"/>
      <c r="N736" s="1338"/>
      <c r="O736" s="1379"/>
      <c r="P736" s="1380"/>
      <c r="Q736" s="1380"/>
      <c r="R736" s="1380"/>
      <c r="S736" s="1381"/>
      <c r="T736" s="1379"/>
      <c r="U736" s="1380"/>
      <c r="V736" s="1380"/>
      <c r="W736" s="1381"/>
      <c r="X736" s="1361">
        <f t="shared" si="8"/>
        <v>0</v>
      </c>
      <c r="Y736" s="1362"/>
      <c r="Z736" s="1362"/>
      <c r="AA736" s="1362"/>
      <c r="AB736" s="1363"/>
      <c r="AC736" s="1339"/>
      <c r="AD736" s="1340"/>
      <c r="AE736" s="1340"/>
      <c r="AF736" s="1340"/>
      <c r="AG736" s="1341"/>
      <c r="AH736" s="1448" t="str">
        <f t="shared" si="36"/>
        <v/>
      </c>
      <c r="AI736" s="1449"/>
      <c r="AJ736" s="1450"/>
      <c r="AK736" s="1354" t="s">
        <v>591</v>
      </c>
      <c r="AL736" s="1355"/>
      <c r="AM736" s="1355"/>
      <c r="AN736" s="1355"/>
      <c r="AO736" s="1356"/>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52">
        <f t="shared" si="37"/>
        <v>0</v>
      </c>
      <c r="CH736" s="1453"/>
      <c r="CI736" s="1476">
        <f t="shared" si="38"/>
        <v>0</v>
      </c>
      <c r="CJ736" s="1477"/>
      <c r="CK736" s="1452">
        <f t="shared" si="16"/>
        <v>0</v>
      </c>
      <c r="CL736" s="1453"/>
      <c r="CM736" s="1476">
        <f t="shared" si="17"/>
        <v>0</v>
      </c>
      <c r="CN736" s="1477"/>
      <c r="CO736" s="3"/>
      <c r="CP736" s="1416">
        <f t="shared" si="18"/>
        <v>0</v>
      </c>
      <c r="CQ736" s="1417"/>
      <c r="CR736" s="1417"/>
      <c r="CS736" s="1417"/>
      <c r="CT736" s="1418"/>
      <c r="CU736" s="1451">
        <f t="shared" si="19"/>
        <v>0</v>
      </c>
      <c r="CV736" s="1451"/>
      <c r="CW736" s="1451"/>
      <c r="CX736" s="1451"/>
      <c r="CY736" s="1451"/>
      <c r="CZ736" s="1451">
        <f t="shared" si="20"/>
        <v>0</v>
      </c>
      <c r="DA736" s="1451"/>
      <c r="DB736" s="1451"/>
      <c r="DC736" s="1451"/>
      <c r="DD736" s="1451"/>
      <c r="DE736" s="1451">
        <f t="shared" si="21"/>
        <v>0</v>
      </c>
      <c r="DF736" s="1451"/>
      <c r="DG736" s="1451"/>
      <c r="DH736" s="1451"/>
      <c r="DI736" s="1451"/>
      <c r="DJ736" s="1451">
        <f t="shared" si="22"/>
        <v>0</v>
      </c>
      <c r="DK736" s="1451"/>
      <c r="DL736" s="1451"/>
      <c r="DM736" s="1451"/>
      <c r="DN736" s="1451"/>
      <c r="DO736" s="1451">
        <f t="shared" si="23"/>
        <v>0</v>
      </c>
      <c r="DP736" s="1451"/>
      <c r="DQ736" s="1451"/>
      <c r="DR736" s="1451"/>
      <c r="DS736" s="1451"/>
      <c r="DT736" s="6"/>
      <c r="DU736" s="1415">
        <f t="shared" si="24"/>
        <v>0</v>
      </c>
      <c r="DV736" s="1415"/>
      <c r="DW736" s="1415"/>
      <c r="DX736" s="1415"/>
      <c r="DY736" s="1415"/>
      <c r="DZ736" s="1415">
        <f t="shared" si="25"/>
        <v>0</v>
      </c>
      <c r="EA736" s="1415"/>
      <c r="EB736" s="1415"/>
      <c r="EC736" s="1415"/>
      <c r="ED736" s="1415"/>
      <c r="EE736" s="1415">
        <f t="shared" si="26"/>
        <v>0</v>
      </c>
      <c r="EF736" s="1415"/>
      <c r="EG736" s="1415"/>
      <c r="EH736" s="1415"/>
      <c r="EI736" s="1415"/>
      <c r="EJ736" s="1415">
        <f t="shared" si="27"/>
        <v>0</v>
      </c>
      <c r="EK736" s="1415"/>
      <c r="EL736" s="1415"/>
      <c r="EM736" s="1415"/>
      <c r="EN736" s="1415"/>
      <c r="EO736" s="1415">
        <f t="shared" si="28"/>
        <v>0</v>
      </c>
      <c r="EP736" s="1415"/>
      <c r="EQ736" s="1415"/>
      <c r="ER736" s="1415"/>
      <c r="ES736" s="1415"/>
      <c r="ET736" s="1415">
        <f t="shared" si="29"/>
        <v>0</v>
      </c>
      <c r="EU736" s="1415"/>
      <c r="EV736" s="1415"/>
      <c r="EW736" s="1415"/>
      <c r="EX736" s="1415"/>
      <c r="EZ736" s="1452" t="str">
        <f t="shared" si="30"/>
        <v/>
      </c>
      <c r="FA736" s="1486"/>
      <c r="FB736" s="1486"/>
      <c r="FC736" s="1486"/>
      <c r="FD736" s="1453"/>
      <c r="FE736" s="1452" t="str">
        <f t="shared" si="31"/>
        <v/>
      </c>
      <c r="FF736" s="1486"/>
      <c r="FG736" s="1486"/>
      <c r="FH736" s="1486"/>
      <c r="FI736" s="1453"/>
      <c r="FJ736" s="1452" t="str">
        <f t="shared" si="32"/>
        <v/>
      </c>
      <c r="FK736" s="1486"/>
      <c r="FL736" s="1486"/>
      <c r="FM736" s="1486"/>
      <c r="FN736" s="1453"/>
      <c r="FO736" s="1452" t="str">
        <f t="shared" si="33"/>
        <v/>
      </c>
      <c r="FP736" s="1486"/>
      <c r="FQ736" s="1486"/>
      <c r="FR736" s="1486"/>
      <c r="FS736" s="1453"/>
      <c r="FT736" s="1452" t="str">
        <f t="shared" si="34"/>
        <v/>
      </c>
      <c r="FU736" s="1486"/>
      <c r="FV736" s="1486"/>
      <c r="FW736" s="1486"/>
      <c r="FX736" s="1453"/>
      <c r="FY736" s="1452" t="str">
        <f t="shared" si="35"/>
        <v/>
      </c>
      <c r="FZ736" s="1486"/>
      <c r="GA736" s="1486"/>
      <c r="GB736" s="1486"/>
      <c r="GC736" s="1453"/>
    </row>
    <row r="737" spans="1:185" ht="12.95" customHeight="1">
      <c r="B737" s="1354"/>
      <c r="C737" s="1355"/>
      <c r="D737" s="1355"/>
      <c r="E737" s="1355"/>
      <c r="F737" s="1356"/>
      <c r="G737" s="1351"/>
      <c r="H737" s="1352"/>
      <c r="I737" s="1352"/>
      <c r="J737" s="1353"/>
      <c r="K737" s="1336"/>
      <c r="L737" s="1337"/>
      <c r="M737" s="1337"/>
      <c r="N737" s="1338"/>
      <c r="O737" s="1379"/>
      <c r="P737" s="1380"/>
      <c r="Q737" s="1380"/>
      <c r="R737" s="1380"/>
      <c r="S737" s="1381"/>
      <c r="T737" s="1379"/>
      <c r="U737" s="1380"/>
      <c r="V737" s="1380"/>
      <c r="W737" s="1381"/>
      <c r="X737" s="1361">
        <f t="shared" si="8"/>
        <v>0</v>
      </c>
      <c r="Y737" s="1362"/>
      <c r="Z737" s="1362"/>
      <c r="AA737" s="1362"/>
      <c r="AB737" s="1363"/>
      <c r="AC737" s="1339"/>
      <c r="AD737" s="1340"/>
      <c r="AE737" s="1340"/>
      <c r="AF737" s="1340"/>
      <c r="AG737" s="1341"/>
      <c r="AH737" s="1448" t="str">
        <f t="shared" si="36"/>
        <v/>
      </c>
      <c r="AI737" s="1449"/>
      <c r="AJ737" s="1450"/>
      <c r="AK737" s="1354" t="s">
        <v>591</v>
      </c>
      <c r="AL737" s="1355"/>
      <c r="AM737" s="1355"/>
      <c r="AN737" s="1355"/>
      <c r="AO737" s="1356"/>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52">
        <f t="shared" si="37"/>
        <v>0</v>
      </c>
      <c r="CH737" s="1453"/>
      <c r="CI737" s="1476">
        <f t="shared" si="38"/>
        <v>0</v>
      </c>
      <c r="CJ737" s="1477"/>
      <c r="CK737" s="1452">
        <f t="shared" si="16"/>
        <v>0</v>
      </c>
      <c r="CL737" s="1453"/>
      <c r="CM737" s="1476">
        <f t="shared" si="17"/>
        <v>0</v>
      </c>
      <c r="CN737" s="1477"/>
      <c r="CO737" s="3"/>
      <c r="CP737" s="1416">
        <f t="shared" si="18"/>
        <v>0</v>
      </c>
      <c r="CQ737" s="1417"/>
      <c r="CR737" s="1417"/>
      <c r="CS737" s="1417"/>
      <c r="CT737" s="1418"/>
      <c r="CU737" s="1451">
        <f t="shared" si="19"/>
        <v>0</v>
      </c>
      <c r="CV737" s="1451"/>
      <c r="CW737" s="1451"/>
      <c r="CX737" s="1451"/>
      <c r="CY737" s="1451"/>
      <c r="CZ737" s="1451">
        <f t="shared" si="20"/>
        <v>0</v>
      </c>
      <c r="DA737" s="1451"/>
      <c r="DB737" s="1451"/>
      <c r="DC737" s="1451"/>
      <c r="DD737" s="1451"/>
      <c r="DE737" s="1451">
        <f t="shared" si="21"/>
        <v>0</v>
      </c>
      <c r="DF737" s="1451"/>
      <c r="DG737" s="1451"/>
      <c r="DH737" s="1451"/>
      <c r="DI737" s="1451"/>
      <c r="DJ737" s="1451">
        <f t="shared" si="22"/>
        <v>0</v>
      </c>
      <c r="DK737" s="1451"/>
      <c r="DL737" s="1451"/>
      <c r="DM737" s="1451"/>
      <c r="DN737" s="1451"/>
      <c r="DO737" s="1451">
        <f t="shared" si="23"/>
        <v>0</v>
      </c>
      <c r="DP737" s="1451"/>
      <c r="DQ737" s="1451"/>
      <c r="DR737" s="1451"/>
      <c r="DS737" s="1451"/>
      <c r="DT737" s="6"/>
      <c r="DU737" s="1415">
        <f t="shared" si="24"/>
        <v>0</v>
      </c>
      <c r="DV737" s="1415"/>
      <c r="DW737" s="1415"/>
      <c r="DX737" s="1415"/>
      <c r="DY737" s="1415"/>
      <c r="DZ737" s="1415">
        <f t="shared" si="25"/>
        <v>0</v>
      </c>
      <c r="EA737" s="1415"/>
      <c r="EB737" s="1415"/>
      <c r="EC737" s="1415"/>
      <c r="ED737" s="1415"/>
      <c r="EE737" s="1415">
        <f t="shared" si="26"/>
        <v>0</v>
      </c>
      <c r="EF737" s="1415"/>
      <c r="EG737" s="1415"/>
      <c r="EH737" s="1415"/>
      <c r="EI737" s="1415"/>
      <c r="EJ737" s="1415">
        <f t="shared" si="27"/>
        <v>0</v>
      </c>
      <c r="EK737" s="1415"/>
      <c r="EL737" s="1415"/>
      <c r="EM737" s="1415"/>
      <c r="EN737" s="1415"/>
      <c r="EO737" s="1415">
        <f t="shared" si="28"/>
        <v>0</v>
      </c>
      <c r="EP737" s="1415"/>
      <c r="EQ737" s="1415"/>
      <c r="ER737" s="1415"/>
      <c r="ES737" s="1415"/>
      <c r="ET737" s="1415">
        <f t="shared" si="29"/>
        <v>0</v>
      </c>
      <c r="EU737" s="1415"/>
      <c r="EV737" s="1415"/>
      <c r="EW737" s="1415"/>
      <c r="EX737" s="1415"/>
      <c r="EZ737" s="1452" t="str">
        <f t="shared" si="30"/>
        <v/>
      </c>
      <c r="FA737" s="1486"/>
      <c r="FB737" s="1486"/>
      <c r="FC737" s="1486"/>
      <c r="FD737" s="1453"/>
      <c r="FE737" s="1452" t="str">
        <f t="shared" si="31"/>
        <v/>
      </c>
      <c r="FF737" s="1486"/>
      <c r="FG737" s="1486"/>
      <c r="FH737" s="1486"/>
      <c r="FI737" s="1453"/>
      <c r="FJ737" s="1452" t="str">
        <f t="shared" si="32"/>
        <v/>
      </c>
      <c r="FK737" s="1486"/>
      <c r="FL737" s="1486"/>
      <c r="FM737" s="1486"/>
      <c r="FN737" s="1453"/>
      <c r="FO737" s="1452" t="str">
        <f t="shared" si="33"/>
        <v/>
      </c>
      <c r="FP737" s="1486"/>
      <c r="FQ737" s="1486"/>
      <c r="FR737" s="1486"/>
      <c r="FS737" s="1453"/>
      <c r="FT737" s="1452" t="str">
        <f t="shared" si="34"/>
        <v/>
      </c>
      <c r="FU737" s="1486"/>
      <c r="FV737" s="1486"/>
      <c r="FW737" s="1486"/>
      <c r="FX737" s="1453"/>
      <c r="FY737" s="1452" t="str">
        <f t="shared" si="35"/>
        <v/>
      </c>
      <c r="FZ737" s="1486"/>
      <c r="GA737" s="1486"/>
      <c r="GB737" s="1486"/>
      <c r="GC737" s="1453"/>
    </row>
    <row r="738" spans="1:185" ht="12.95" customHeight="1">
      <c r="B738" s="1354"/>
      <c r="C738" s="1355"/>
      <c r="D738" s="1355"/>
      <c r="E738" s="1355"/>
      <c r="F738" s="1356"/>
      <c r="G738" s="1351"/>
      <c r="H738" s="1352"/>
      <c r="I738" s="1352"/>
      <c r="J738" s="1353"/>
      <c r="K738" s="1336"/>
      <c r="L738" s="1337"/>
      <c r="M738" s="1337"/>
      <c r="N738" s="1338"/>
      <c r="O738" s="1379"/>
      <c r="P738" s="1380"/>
      <c r="Q738" s="1380"/>
      <c r="R738" s="1380"/>
      <c r="S738" s="1381"/>
      <c r="T738" s="1379"/>
      <c r="U738" s="1380"/>
      <c r="V738" s="1380"/>
      <c r="W738" s="1381"/>
      <c r="X738" s="1361">
        <f t="shared" si="8"/>
        <v>0</v>
      </c>
      <c r="Y738" s="1362"/>
      <c r="Z738" s="1362"/>
      <c r="AA738" s="1362"/>
      <c r="AB738" s="1363"/>
      <c r="AC738" s="1339"/>
      <c r="AD738" s="1340"/>
      <c r="AE738" s="1340"/>
      <c r="AF738" s="1340"/>
      <c r="AG738" s="1341"/>
      <c r="AH738" s="1448" t="str">
        <f t="shared" si="36"/>
        <v/>
      </c>
      <c r="AI738" s="1449"/>
      <c r="AJ738" s="1450"/>
      <c r="AK738" s="1354" t="s">
        <v>591</v>
      </c>
      <c r="AL738" s="1355"/>
      <c r="AM738" s="1355"/>
      <c r="AN738" s="1355"/>
      <c r="AO738" s="1356"/>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52">
        <f t="shared" si="37"/>
        <v>0</v>
      </c>
      <c r="CH738" s="1453"/>
      <c r="CI738" s="1476">
        <f t="shared" si="38"/>
        <v>0</v>
      </c>
      <c r="CJ738" s="1477"/>
      <c r="CK738" s="1452">
        <f t="shared" si="16"/>
        <v>0</v>
      </c>
      <c r="CL738" s="1453"/>
      <c r="CM738" s="1476">
        <f t="shared" si="17"/>
        <v>0</v>
      </c>
      <c r="CN738" s="1477"/>
      <c r="CO738" s="3"/>
      <c r="CP738" s="1416">
        <f t="shared" si="18"/>
        <v>0</v>
      </c>
      <c r="CQ738" s="1417"/>
      <c r="CR738" s="1417"/>
      <c r="CS738" s="1417"/>
      <c r="CT738" s="1418"/>
      <c r="CU738" s="1451">
        <f t="shared" si="19"/>
        <v>0</v>
      </c>
      <c r="CV738" s="1451"/>
      <c r="CW738" s="1451"/>
      <c r="CX738" s="1451"/>
      <c r="CY738" s="1451"/>
      <c r="CZ738" s="1451">
        <f t="shared" si="20"/>
        <v>0</v>
      </c>
      <c r="DA738" s="1451"/>
      <c r="DB738" s="1451"/>
      <c r="DC738" s="1451"/>
      <c r="DD738" s="1451"/>
      <c r="DE738" s="1451">
        <f t="shared" si="21"/>
        <v>0</v>
      </c>
      <c r="DF738" s="1451"/>
      <c r="DG738" s="1451"/>
      <c r="DH738" s="1451"/>
      <c r="DI738" s="1451"/>
      <c r="DJ738" s="1451">
        <f t="shared" si="22"/>
        <v>0</v>
      </c>
      <c r="DK738" s="1451"/>
      <c r="DL738" s="1451"/>
      <c r="DM738" s="1451"/>
      <c r="DN738" s="1451"/>
      <c r="DO738" s="1451">
        <f t="shared" si="23"/>
        <v>0</v>
      </c>
      <c r="DP738" s="1451"/>
      <c r="DQ738" s="1451"/>
      <c r="DR738" s="1451"/>
      <c r="DS738" s="1451"/>
      <c r="DT738" s="6"/>
      <c r="DU738" s="1415">
        <f t="shared" si="24"/>
        <v>0</v>
      </c>
      <c r="DV738" s="1415"/>
      <c r="DW738" s="1415"/>
      <c r="DX738" s="1415"/>
      <c r="DY738" s="1415"/>
      <c r="DZ738" s="1415">
        <f t="shared" si="25"/>
        <v>0</v>
      </c>
      <c r="EA738" s="1415"/>
      <c r="EB738" s="1415"/>
      <c r="EC738" s="1415"/>
      <c r="ED738" s="1415"/>
      <c r="EE738" s="1415">
        <f t="shared" si="26"/>
        <v>0</v>
      </c>
      <c r="EF738" s="1415"/>
      <c r="EG738" s="1415"/>
      <c r="EH738" s="1415"/>
      <c r="EI738" s="1415"/>
      <c r="EJ738" s="1415">
        <f t="shared" si="27"/>
        <v>0</v>
      </c>
      <c r="EK738" s="1415"/>
      <c r="EL738" s="1415"/>
      <c r="EM738" s="1415"/>
      <c r="EN738" s="1415"/>
      <c r="EO738" s="1415">
        <f t="shared" si="28"/>
        <v>0</v>
      </c>
      <c r="EP738" s="1415"/>
      <c r="EQ738" s="1415"/>
      <c r="ER738" s="1415"/>
      <c r="ES738" s="1415"/>
      <c r="ET738" s="1415">
        <f t="shared" si="29"/>
        <v>0</v>
      </c>
      <c r="EU738" s="1415"/>
      <c r="EV738" s="1415"/>
      <c r="EW738" s="1415"/>
      <c r="EX738" s="1415"/>
      <c r="EZ738" s="1452" t="str">
        <f t="shared" si="30"/>
        <v/>
      </c>
      <c r="FA738" s="1486"/>
      <c r="FB738" s="1486"/>
      <c r="FC738" s="1486"/>
      <c r="FD738" s="1453"/>
      <c r="FE738" s="1452" t="str">
        <f t="shared" si="31"/>
        <v/>
      </c>
      <c r="FF738" s="1486"/>
      <c r="FG738" s="1486"/>
      <c r="FH738" s="1486"/>
      <c r="FI738" s="1453"/>
      <c r="FJ738" s="1452" t="str">
        <f t="shared" si="32"/>
        <v/>
      </c>
      <c r="FK738" s="1486"/>
      <c r="FL738" s="1486"/>
      <c r="FM738" s="1486"/>
      <c r="FN738" s="1453"/>
      <c r="FO738" s="1452" t="str">
        <f t="shared" si="33"/>
        <v/>
      </c>
      <c r="FP738" s="1486"/>
      <c r="FQ738" s="1486"/>
      <c r="FR738" s="1486"/>
      <c r="FS738" s="1453"/>
      <c r="FT738" s="1452" t="str">
        <f t="shared" si="34"/>
        <v/>
      </c>
      <c r="FU738" s="1486"/>
      <c r="FV738" s="1486"/>
      <c r="FW738" s="1486"/>
      <c r="FX738" s="1453"/>
      <c r="FY738" s="1452" t="str">
        <f t="shared" si="35"/>
        <v/>
      </c>
      <c r="FZ738" s="1486"/>
      <c r="GA738" s="1486"/>
      <c r="GB738" s="1486"/>
      <c r="GC738" s="1453"/>
    </row>
    <row r="739" spans="1:185" ht="12.95" customHeight="1">
      <c r="B739" s="1354"/>
      <c r="C739" s="1355"/>
      <c r="D739" s="1355"/>
      <c r="E739" s="1355"/>
      <c r="F739" s="1356"/>
      <c r="G739" s="1351"/>
      <c r="H739" s="1352"/>
      <c r="I739" s="1352"/>
      <c r="J739" s="1353"/>
      <c r="K739" s="1336"/>
      <c r="L739" s="1337"/>
      <c r="M739" s="1337"/>
      <c r="N739" s="1338"/>
      <c r="O739" s="1379"/>
      <c r="P739" s="1380"/>
      <c r="Q739" s="1380"/>
      <c r="R739" s="1380"/>
      <c r="S739" s="1381"/>
      <c r="T739" s="1379"/>
      <c r="U739" s="1380"/>
      <c r="V739" s="1380"/>
      <c r="W739" s="1381"/>
      <c r="X739" s="1361">
        <f t="shared" si="8"/>
        <v>0</v>
      </c>
      <c r="Y739" s="1362"/>
      <c r="Z739" s="1362"/>
      <c r="AA739" s="1362"/>
      <c r="AB739" s="1363"/>
      <c r="AC739" s="1339"/>
      <c r="AD739" s="1340"/>
      <c r="AE739" s="1340"/>
      <c r="AF739" s="1340"/>
      <c r="AG739" s="1341"/>
      <c r="AH739" s="1448" t="str">
        <f t="shared" si="36"/>
        <v/>
      </c>
      <c r="AI739" s="1449"/>
      <c r="AJ739" s="1450"/>
      <c r="AK739" s="1354" t="s">
        <v>591</v>
      </c>
      <c r="AL739" s="1355"/>
      <c r="AM739" s="1355"/>
      <c r="AN739" s="1355"/>
      <c r="AO739" s="1356"/>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52">
        <f t="shared" si="37"/>
        <v>0</v>
      </c>
      <c r="CH739" s="1453"/>
      <c r="CI739" s="1476">
        <f t="shared" si="38"/>
        <v>0</v>
      </c>
      <c r="CJ739" s="1477"/>
      <c r="CK739" s="1452">
        <f t="shared" si="16"/>
        <v>0</v>
      </c>
      <c r="CL739" s="1453"/>
      <c r="CM739" s="1476">
        <f t="shared" si="17"/>
        <v>0</v>
      </c>
      <c r="CN739" s="1477"/>
      <c r="CO739" s="3"/>
      <c r="CP739" s="1416">
        <f t="shared" si="18"/>
        <v>0</v>
      </c>
      <c r="CQ739" s="1417"/>
      <c r="CR739" s="1417"/>
      <c r="CS739" s="1417"/>
      <c r="CT739" s="1418"/>
      <c r="CU739" s="1451">
        <f t="shared" si="19"/>
        <v>0</v>
      </c>
      <c r="CV739" s="1451"/>
      <c r="CW739" s="1451"/>
      <c r="CX739" s="1451"/>
      <c r="CY739" s="1451"/>
      <c r="CZ739" s="1451">
        <f t="shared" si="20"/>
        <v>0</v>
      </c>
      <c r="DA739" s="1451"/>
      <c r="DB739" s="1451"/>
      <c r="DC739" s="1451"/>
      <c r="DD739" s="1451"/>
      <c r="DE739" s="1451">
        <f t="shared" si="21"/>
        <v>0</v>
      </c>
      <c r="DF739" s="1451"/>
      <c r="DG739" s="1451"/>
      <c r="DH739" s="1451"/>
      <c r="DI739" s="1451"/>
      <c r="DJ739" s="1451">
        <f t="shared" si="22"/>
        <v>0</v>
      </c>
      <c r="DK739" s="1451"/>
      <c r="DL739" s="1451"/>
      <c r="DM739" s="1451"/>
      <c r="DN739" s="1451"/>
      <c r="DO739" s="1451">
        <f t="shared" si="23"/>
        <v>0</v>
      </c>
      <c r="DP739" s="1451"/>
      <c r="DQ739" s="1451"/>
      <c r="DR739" s="1451"/>
      <c r="DS739" s="1451"/>
      <c r="DT739" s="6"/>
      <c r="DU739" s="1415">
        <f t="shared" si="24"/>
        <v>0</v>
      </c>
      <c r="DV739" s="1415"/>
      <c r="DW739" s="1415"/>
      <c r="DX739" s="1415"/>
      <c r="DY739" s="1415"/>
      <c r="DZ739" s="1415">
        <f t="shared" si="25"/>
        <v>0</v>
      </c>
      <c r="EA739" s="1415"/>
      <c r="EB739" s="1415"/>
      <c r="EC739" s="1415"/>
      <c r="ED739" s="1415"/>
      <c r="EE739" s="1415">
        <f t="shared" si="26"/>
        <v>0</v>
      </c>
      <c r="EF739" s="1415"/>
      <c r="EG739" s="1415"/>
      <c r="EH739" s="1415"/>
      <c r="EI739" s="1415"/>
      <c r="EJ739" s="1415">
        <f t="shared" si="27"/>
        <v>0</v>
      </c>
      <c r="EK739" s="1415"/>
      <c r="EL739" s="1415"/>
      <c r="EM739" s="1415"/>
      <c r="EN739" s="1415"/>
      <c r="EO739" s="1415">
        <f t="shared" si="28"/>
        <v>0</v>
      </c>
      <c r="EP739" s="1415"/>
      <c r="EQ739" s="1415"/>
      <c r="ER739" s="1415"/>
      <c r="ES739" s="1415"/>
      <c r="ET739" s="1415">
        <f t="shared" si="29"/>
        <v>0</v>
      </c>
      <c r="EU739" s="1415"/>
      <c r="EV739" s="1415"/>
      <c r="EW739" s="1415"/>
      <c r="EX739" s="1415"/>
      <c r="EZ739" s="1452" t="str">
        <f t="shared" si="30"/>
        <v/>
      </c>
      <c r="FA739" s="1486"/>
      <c r="FB739" s="1486"/>
      <c r="FC739" s="1486"/>
      <c r="FD739" s="1453"/>
      <c r="FE739" s="1452" t="str">
        <f t="shared" si="31"/>
        <v/>
      </c>
      <c r="FF739" s="1486"/>
      <c r="FG739" s="1486"/>
      <c r="FH739" s="1486"/>
      <c r="FI739" s="1453"/>
      <c r="FJ739" s="1452" t="str">
        <f t="shared" si="32"/>
        <v/>
      </c>
      <c r="FK739" s="1486"/>
      <c r="FL739" s="1486"/>
      <c r="FM739" s="1486"/>
      <c r="FN739" s="1453"/>
      <c r="FO739" s="1452" t="str">
        <f t="shared" si="33"/>
        <v/>
      </c>
      <c r="FP739" s="1486"/>
      <c r="FQ739" s="1486"/>
      <c r="FR739" s="1486"/>
      <c r="FS739" s="1453"/>
      <c r="FT739" s="1452" t="str">
        <f t="shared" si="34"/>
        <v/>
      </c>
      <c r="FU739" s="1486"/>
      <c r="FV739" s="1486"/>
      <c r="FW739" s="1486"/>
      <c r="FX739" s="1453"/>
      <c r="FY739" s="1452" t="str">
        <f t="shared" si="35"/>
        <v/>
      </c>
      <c r="FZ739" s="1486"/>
      <c r="GA739" s="1486"/>
      <c r="GB739" s="1486"/>
      <c r="GC739" s="1453"/>
    </row>
    <row r="740" spans="1:185" ht="12.95" customHeight="1">
      <c r="B740" s="1354"/>
      <c r="C740" s="1355"/>
      <c r="D740" s="1355"/>
      <c r="E740" s="1355"/>
      <c r="F740" s="1356"/>
      <c r="G740" s="1351"/>
      <c r="H740" s="1352"/>
      <c r="I740" s="1352"/>
      <c r="J740" s="1353"/>
      <c r="K740" s="1336"/>
      <c r="L740" s="1337"/>
      <c r="M740" s="1337"/>
      <c r="N740" s="1338"/>
      <c r="O740" s="1379"/>
      <c r="P740" s="1380"/>
      <c r="Q740" s="1380"/>
      <c r="R740" s="1380"/>
      <c r="S740" s="1381"/>
      <c r="T740" s="1379"/>
      <c r="U740" s="1380"/>
      <c r="V740" s="1380"/>
      <c r="W740" s="1381"/>
      <c r="X740" s="1361">
        <f t="shared" si="8"/>
        <v>0</v>
      </c>
      <c r="Y740" s="1362"/>
      <c r="Z740" s="1362"/>
      <c r="AA740" s="1362"/>
      <c r="AB740" s="1363"/>
      <c r="AC740" s="1339"/>
      <c r="AD740" s="1340"/>
      <c r="AE740" s="1340"/>
      <c r="AF740" s="1340"/>
      <c r="AG740" s="1341"/>
      <c r="AH740" s="1448" t="str">
        <f t="shared" si="36"/>
        <v/>
      </c>
      <c r="AI740" s="1449"/>
      <c r="AJ740" s="1450"/>
      <c r="AK740" s="1354" t="s">
        <v>591</v>
      </c>
      <c r="AL740" s="1355"/>
      <c r="AM740" s="1355"/>
      <c r="AN740" s="1355"/>
      <c r="AO740" s="1356"/>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52">
        <f t="shared" si="37"/>
        <v>0</v>
      </c>
      <c r="CH740" s="1453"/>
      <c r="CI740" s="1476">
        <f t="shared" si="38"/>
        <v>0</v>
      </c>
      <c r="CJ740" s="1477"/>
      <c r="CK740" s="1452">
        <f t="shared" si="16"/>
        <v>0</v>
      </c>
      <c r="CL740" s="1453"/>
      <c r="CM740" s="1476">
        <f t="shared" si="17"/>
        <v>0</v>
      </c>
      <c r="CN740" s="1477"/>
      <c r="CO740" s="3"/>
      <c r="CP740" s="1416">
        <f t="shared" si="18"/>
        <v>0</v>
      </c>
      <c r="CQ740" s="1417"/>
      <c r="CR740" s="1417"/>
      <c r="CS740" s="1417"/>
      <c r="CT740" s="1418"/>
      <c r="CU740" s="1451">
        <f t="shared" si="19"/>
        <v>0</v>
      </c>
      <c r="CV740" s="1451"/>
      <c r="CW740" s="1451"/>
      <c r="CX740" s="1451"/>
      <c r="CY740" s="1451"/>
      <c r="CZ740" s="1451">
        <f t="shared" si="20"/>
        <v>0</v>
      </c>
      <c r="DA740" s="1451"/>
      <c r="DB740" s="1451"/>
      <c r="DC740" s="1451"/>
      <c r="DD740" s="1451"/>
      <c r="DE740" s="1451">
        <f t="shared" si="21"/>
        <v>0</v>
      </c>
      <c r="DF740" s="1451"/>
      <c r="DG740" s="1451"/>
      <c r="DH740" s="1451"/>
      <c r="DI740" s="1451"/>
      <c r="DJ740" s="1451">
        <f t="shared" si="22"/>
        <v>0</v>
      </c>
      <c r="DK740" s="1451"/>
      <c r="DL740" s="1451"/>
      <c r="DM740" s="1451"/>
      <c r="DN740" s="1451"/>
      <c r="DO740" s="1451">
        <f t="shared" si="23"/>
        <v>0</v>
      </c>
      <c r="DP740" s="1451"/>
      <c r="DQ740" s="1451"/>
      <c r="DR740" s="1451"/>
      <c r="DS740" s="1451"/>
      <c r="DT740" s="6"/>
      <c r="DU740" s="1415">
        <f t="shared" si="24"/>
        <v>0</v>
      </c>
      <c r="DV740" s="1415"/>
      <c r="DW740" s="1415"/>
      <c r="DX740" s="1415"/>
      <c r="DY740" s="1415"/>
      <c r="DZ740" s="1415">
        <f t="shared" si="25"/>
        <v>0</v>
      </c>
      <c r="EA740" s="1415"/>
      <c r="EB740" s="1415"/>
      <c r="EC740" s="1415"/>
      <c r="ED740" s="1415"/>
      <c r="EE740" s="1415">
        <f t="shared" si="26"/>
        <v>0</v>
      </c>
      <c r="EF740" s="1415"/>
      <c r="EG740" s="1415"/>
      <c r="EH740" s="1415"/>
      <c r="EI740" s="1415"/>
      <c r="EJ740" s="1415">
        <f t="shared" si="27"/>
        <v>0</v>
      </c>
      <c r="EK740" s="1415"/>
      <c r="EL740" s="1415"/>
      <c r="EM740" s="1415"/>
      <c r="EN740" s="1415"/>
      <c r="EO740" s="1415">
        <f t="shared" si="28"/>
        <v>0</v>
      </c>
      <c r="EP740" s="1415"/>
      <c r="EQ740" s="1415"/>
      <c r="ER740" s="1415"/>
      <c r="ES740" s="1415"/>
      <c r="ET740" s="1415">
        <f t="shared" si="29"/>
        <v>0</v>
      </c>
      <c r="EU740" s="1415"/>
      <c r="EV740" s="1415"/>
      <c r="EW740" s="1415"/>
      <c r="EX740" s="1415"/>
      <c r="EZ740" s="1452" t="str">
        <f t="shared" si="30"/>
        <v/>
      </c>
      <c r="FA740" s="1486"/>
      <c r="FB740" s="1486"/>
      <c r="FC740" s="1486"/>
      <c r="FD740" s="1453"/>
      <c r="FE740" s="1452" t="str">
        <f t="shared" si="31"/>
        <v/>
      </c>
      <c r="FF740" s="1486"/>
      <c r="FG740" s="1486"/>
      <c r="FH740" s="1486"/>
      <c r="FI740" s="1453"/>
      <c r="FJ740" s="1452" t="str">
        <f t="shared" si="32"/>
        <v/>
      </c>
      <c r="FK740" s="1486"/>
      <c r="FL740" s="1486"/>
      <c r="FM740" s="1486"/>
      <c r="FN740" s="1453"/>
      <c r="FO740" s="1452" t="str">
        <f t="shared" si="33"/>
        <v/>
      </c>
      <c r="FP740" s="1486"/>
      <c r="FQ740" s="1486"/>
      <c r="FR740" s="1486"/>
      <c r="FS740" s="1453"/>
      <c r="FT740" s="1452" t="str">
        <f t="shared" si="34"/>
        <v/>
      </c>
      <c r="FU740" s="1486"/>
      <c r="FV740" s="1486"/>
      <c r="FW740" s="1486"/>
      <c r="FX740" s="1453"/>
      <c r="FY740" s="1452" t="str">
        <f t="shared" si="35"/>
        <v/>
      </c>
      <c r="FZ740" s="1486"/>
      <c r="GA740" s="1486"/>
      <c r="GB740" s="1486"/>
      <c r="GC740" s="1453"/>
    </row>
    <row r="741" spans="1:185" ht="12.95" customHeight="1">
      <c r="B741" s="1354"/>
      <c r="C741" s="1355"/>
      <c r="D741" s="1355"/>
      <c r="E741" s="1355"/>
      <c r="F741" s="1356"/>
      <c r="G741" s="1351"/>
      <c r="H741" s="1352"/>
      <c r="I741" s="1352"/>
      <c r="J741" s="1353"/>
      <c r="K741" s="1336"/>
      <c r="L741" s="1337"/>
      <c r="M741" s="1337"/>
      <c r="N741" s="1338"/>
      <c r="O741" s="1379"/>
      <c r="P741" s="1380"/>
      <c r="Q741" s="1380"/>
      <c r="R741" s="1380"/>
      <c r="S741" s="1381"/>
      <c r="T741" s="1379"/>
      <c r="U741" s="1380"/>
      <c r="V741" s="1380"/>
      <c r="W741" s="1381"/>
      <c r="X741" s="1361">
        <f t="shared" si="8"/>
        <v>0</v>
      </c>
      <c r="Y741" s="1362"/>
      <c r="Z741" s="1362"/>
      <c r="AA741" s="1362"/>
      <c r="AB741" s="1363"/>
      <c r="AC741" s="1339"/>
      <c r="AD741" s="1340"/>
      <c r="AE741" s="1340"/>
      <c r="AF741" s="1340"/>
      <c r="AG741" s="1341"/>
      <c r="AH741" s="1448" t="str">
        <f t="shared" si="36"/>
        <v/>
      </c>
      <c r="AI741" s="1449"/>
      <c r="AJ741" s="1450"/>
      <c r="AK741" s="1354" t="s">
        <v>591</v>
      </c>
      <c r="AL741" s="1355"/>
      <c r="AM741" s="1355"/>
      <c r="AN741" s="1355"/>
      <c r="AO741" s="1356"/>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52">
        <f t="shared" si="37"/>
        <v>0</v>
      </c>
      <c r="CH741" s="1453"/>
      <c r="CI741" s="1476">
        <f t="shared" si="38"/>
        <v>0</v>
      </c>
      <c r="CJ741" s="1477"/>
      <c r="CK741" s="1452">
        <f t="shared" si="16"/>
        <v>0</v>
      </c>
      <c r="CL741" s="1453"/>
      <c r="CM741" s="1476">
        <f t="shared" si="17"/>
        <v>0</v>
      </c>
      <c r="CN741" s="1477"/>
      <c r="CO741" s="3"/>
      <c r="CP741" s="1416">
        <f t="shared" si="18"/>
        <v>0</v>
      </c>
      <c r="CQ741" s="1417"/>
      <c r="CR741" s="1417"/>
      <c r="CS741" s="1417"/>
      <c r="CT741" s="1418"/>
      <c r="CU741" s="1451">
        <f t="shared" si="19"/>
        <v>0</v>
      </c>
      <c r="CV741" s="1451"/>
      <c r="CW741" s="1451"/>
      <c r="CX741" s="1451"/>
      <c r="CY741" s="1451"/>
      <c r="CZ741" s="1451">
        <f t="shared" si="20"/>
        <v>0</v>
      </c>
      <c r="DA741" s="1451"/>
      <c r="DB741" s="1451"/>
      <c r="DC741" s="1451"/>
      <c r="DD741" s="1451"/>
      <c r="DE741" s="1451">
        <f t="shared" si="21"/>
        <v>0</v>
      </c>
      <c r="DF741" s="1451"/>
      <c r="DG741" s="1451"/>
      <c r="DH741" s="1451"/>
      <c r="DI741" s="1451"/>
      <c r="DJ741" s="1451">
        <f t="shared" si="22"/>
        <v>0</v>
      </c>
      <c r="DK741" s="1451"/>
      <c r="DL741" s="1451"/>
      <c r="DM741" s="1451"/>
      <c r="DN741" s="1451"/>
      <c r="DO741" s="1451">
        <f t="shared" si="23"/>
        <v>0</v>
      </c>
      <c r="DP741" s="1451"/>
      <c r="DQ741" s="1451"/>
      <c r="DR741" s="1451"/>
      <c r="DS741" s="1451"/>
      <c r="DT741" s="6"/>
      <c r="DU741" s="1415">
        <f t="shared" si="24"/>
        <v>0</v>
      </c>
      <c r="DV741" s="1415"/>
      <c r="DW741" s="1415"/>
      <c r="DX741" s="1415"/>
      <c r="DY741" s="1415"/>
      <c r="DZ741" s="1415">
        <f t="shared" si="25"/>
        <v>0</v>
      </c>
      <c r="EA741" s="1415"/>
      <c r="EB741" s="1415"/>
      <c r="EC741" s="1415"/>
      <c r="ED741" s="1415"/>
      <c r="EE741" s="1415">
        <f t="shared" si="26"/>
        <v>0</v>
      </c>
      <c r="EF741" s="1415"/>
      <c r="EG741" s="1415"/>
      <c r="EH741" s="1415"/>
      <c r="EI741" s="1415"/>
      <c r="EJ741" s="1415">
        <f t="shared" si="27"/>
        <v>0</v>
      </c>
      <c r="EK741" s="1415"/>
      <c r="EL741" s="1415"/>
      <c r="EM741" s="1415"/>
      <c r="EN741" s="1415"/>
      <c r="EO741" s="1415">
        <f t="shared" si="28"/>
        <v>0</v>
      </c>
      <c r="EP741" s="1415"/>
      <c r="EQ741" s="1415"/>
      <c r="ER741" s="1415"/>
      <c r="ES741" s="1415"/>
      <c r="ET741" s="1415">
        <f t="shared" si="29"/>
        <v>0</v>
      </c>
      <c r="EU741" s="1415"/>
      <c r="EV741" s="1415"/>
      <c r="EW741" s="1415"/>
      <c r="EX741" s="1415"/>
      <c r="EZ741" s="1452" t="str">
        <f t="shared" si="30"/>
        <v/>
      </c>
      <c r="FA741" s="1486"/>
      <c r="FB741" s="1486"/>
      <c r="FC741" s="1486"/>
      <c r="FD741" s="1453"/>
      <c r="FE741" s="1452" t="str">
        <f t="shared" si="31"/>
        <v/>
      </c>
      <c r="FF741" s="1486"/>
      <c r="FG741" s="1486"/>
      <c r="FH741" s="1486"/>
      <c r="FI741" s="1453"/>
      <c r="FJ741" s="1452" t="str">
        <f t="shared" si="32"/>
        <v/>
      </c>
      <c r="FK741" s="1486"/>
      <c r="FL741" s="1486"/>
      <c r="FM741" s="1486"/>
      <c r="FN741" s="1453"/>
      <c r="FO741" s="1452" t="str">
        <f t="shared" si="33"/>
        <v/>
      </c>
      <c r="FP741" s="1486"/>
      <c r="FQ741" s="1486"/>
      <c r="FR741" s="1486"/>
      <c r="FS741" s="1453"/>
      <c r="FT741" s="1452" t="str">
        <f t="shared" si="34"/>
        <v/>
      </c>
      <c r="FU741" s="1486"/>
      <c r="FV741" s="1486"/>
      <c r="FW741" s="1486"/>
      <c r="FX741" s="1453"/>
      <c r="FY741" s="1452" t="str">
        <f t="shared" si="35"/>
        <v/>
      </c>
      <c r="FZ741" s="1486"/>
      <c r="GA741" s="1486"/>
      <c r="GB741" s="1486"/>
      <c r="GC741" s="1453"/>
    </row>
    <row r="742" spans="1:185" ht="12.95" customHeight="1">
      <c r="B742" s="1354"/>
      <c r="C742" s="1355"/>
      <c r="D742" s="1355"/>
      <c r="E742" s="1355"/>
      <c r="F742" s="1356"/>
      <c r="G742" s="1351"/>
      <c r="H742" s="1352"/>
      <c r="I742" s="1352"/>
      <c r="J742" s="1353"/>
      <c r="K742" s="1336"/>
      <c r="L742" s="1337"/>
      <c r="M742" s="1337"/>
      <c r="N742" s="1338"/>
      <c r="O742" s="1379"/>
      <c r="P742" s="1380"/>
      <c r="Q742" s="1380"/>
      <c r="R742" s="1380"/>
      <c r="S742" s="1381"/>
      <c r="T742" s="1379"/>
      <c r="U742" s="1380"/>
      <c r="V742" s="1380"/>
      <c r="W742" s="1381"/>
      <c r="X742" s="1361">
        <f t="shared" ref="X742:X751" si="39">O742+T742</f>
        <v>0</v>
      </c>
      <c r="Y742" s="1362"/>
      <c r="Z742" s="1362"/>
      <c r="AA742" s="1362"/>
      <c r="AB742" s="1363"/>
      <c r="AC742" s="1339"/>
      <c r="AD742" s="1340"/>
      <c r="AE742" s="1340"/>
      <c r="AF742" s="1340"/>
      <c r="AG742" s="1341"/>
      <c r="AH742" s="1448" t="str">
        <f t="shared" si="36"/>
        <v/>
      </c>
      <c r="AI742" s="1449"/>
      <c r="AJ742" s="1450"/>
      <c r="AK742" s="1354" t="s">
        <v>591</v>
      </c>
      <c r="AL742" s="1355"/>
      <c r="AM742" s="1355"/>
      <c r="AN742" s="1355"/>
      <c r="AO742" s="1356"/>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52">
        <f t="shared" si="37"/>
        <v>0</v>
      </c>
      <c r="CH742" s="1453"/>
      <c r="CI742" s="1476">
        <f t="shared" si="38"/>
        <v>0</v>
      </c>
      <c r="CJ742" s="1477"/>
      <c r="CK742" s="1452">
        <f t="shared" si="16"/>
        <v>0</v>
      </c>
      <c r="CL742" s="1453"/>
      <c r="CM742" s="1476">
        <f t="shared" si="17"/>
        <v>0</v>
      </c>
      <c r="CN742" s="1477"/>
      <c r="CO742" s="3"/>
      <c r="CP742" s="1416">
        <f t="shared" si="18"/>
        <v>0</v>
      </c>
      <c r="CQ742" s="1417"/>
      <c r="CR742" s="1417"/>
      <c r="CS742" s="1417"/>
      <c r="CT742" s="1418"/>
      <c r="CU742" s="1451">
        <f t="shared" si="19"/>
        <v>0</v>
      </c>
      <c r="CV742" s="1451"/>
      <c r="CW742" s="1451"/>
      <c r="CX742" s="1451"/>
      <c r="CY742" s="1451"/>
      <c r="CZ742" s="1451">
        <f t="shared" si="20"/>
        <v>0</v>
      </c>
      <c r="DA742" s="1451"/>
      <c r="DB742" s="1451"/>
      <c r="DC742" s="1451"/>
      <c r="DD742" s="1451"/>
      <c r="DE742" s="1451">
        <f t="shared" si="21"/>
        <v>0</v>
      </c>
      <c r="DF742" s="1451"/>
      <c r="DG742" s="1451"/>
      <c r="DH742" s="1451"/>
      <c r="DI742" s="1451"/>
      <c r="DJ742" s="1451">
        <f t="shared" si="22"/>
        <v>0</v>
      </c>
      <c r="DK742" s="1451"/>
      <c r="DL742" s="1451"/>
      <c r="DM742" s="1451"/>
      <c r="DN742" s="1451"/>
      <c r="DO742" s="1451">
        <f t="shared" si="23"/>
        <v>0</v>
      </c>
      <c r="DP742" s="1451"/>
      <c r="DQ742" s="1451"/>
      <c r="DR742" s="1451"/>
      <c r="DS742" s="1451"/>
      <c r="DT742" s="6"/>
      <c r="DU742" s="1415">
        <f t="shared" si="24"/>
        <v>0</v>
      </c>
      <c r="DV742" s="1415"/>
      <c r="DW742" s="1415"/>
      <c r="DX742" s="1415"/>
      <c r="DY742" s="1415"/>
      <c r="DZ742" s="1415">
        <f t="shared" si="25"/>
        <v>0</v>
      </c>
      <c r="EA742" s="1415"/>
      <c r="EB742" s="1415"/>
      <c r="EC742" s="1415"/>
      <c r="ED742" s="1415"/>
      <c r="EE742" s="1415">
        <f t="shared" si="26"/>
        <v>0</v>
      </c>
      <c r="EF742" s="1415"/>
      <c r="EG742" s="1415"/>
      <c r="EH742" s="1415"/>
      <c r="EI742" s="1415"/>
      <c r="EJ742" s="1415">
        <f t="shared" si="27"/>
        <v>0</v>
      </c>
      <c r="EK742" s="1415"/>
      <c r="EL742" s="1415"/>
      <c r="EM742" s="1415"/>
      <c r="EN742" s="1415"/>
      <c r="EO742" s="1415">
        <f t="shared" si="28"/>
        <v>0</v>
      </c>
      <c r="EP742" s="1415"/>
      <c r="EQ742" s="1415"/>
      <c r="ER742" s="1415"/>
      <c r="ES742" s="1415"/>
      <c r="ET742" s="1415">
        <f t="shared" si="29"/>
        <v>0</v>
      </c>
      <c r="EU742" s="1415"/>
      <c r="EV742" s="1415"/>
      <c r="EW742" s="1415"/>
      <c r="EX742" s="1415"/>
      <c r="EZ742" s="1452" t="str">
        <f t="shared" si="30"/>
        <v/>
      </c>
      <c r="FA742" s="1486"/>
      <c r="FB742" s="1486"/>
      <c r="FC742" s="1486"/>
      <c r="FD742" s="1453"/>
      <c r="FE742" s="1452" t="str">
        <f t="shared" si="31"/>
        <v/>
      </c>
      <c r="FF742" s="1486"/>
      <c r="FG742" s="1486"/>
      <c r="FH742" s="1486"/>
      <c r="FI742" s="1453"/>
      <c r="FJ742" s="1452" t="str">
        <f t="shared" si="32"/>
        <v/>
      </c>
      <c r="FK742" s="1486"/>
      <c r="FL742" s="1486"/>
      <c r="FM742" s="1486"/>
      <c r="FN742" s="1453"/>
      <c r="FO742" s="1452" t="str">
        <f t="shared" si="33"/>
        <v/>
      </c>
      <c r="FP742" s="1486"/>
      <c r="FQ742" s="1486"/>
      <c r="FR742" s="1486"/>
      <c r="FS742" s="1453"/>
      <c r="FT742" s="1452" t="str">
        <f t="shared" si="34"/>
        <v/>
      </c>
      <c r="FU742" s="1486"/>
      <c r="FV742" s="1486"/>
      <c r="FW742" s="1486"/>
      <c r="FX742" s="1453"/>
      <c r="FY742" s="1452" t="str">
        <f t="shared" si="35"/>
        <v/>
      </c>
      <c r="FZ742" s="1486"/>
      <c r="GA742" s="1486"/>
      <c r="GB742" s="1486"/>
      <c r="GC742" s="1453"/>
    </row>
    <row r="743" spans="1:185" s="3" customFormat="1" ht="12.95" customHeight="1">
      <c r="A743"/>
      <c r="B743" s="1354"/>
      <c r="C743" s="1355"/>
      <c r="D743" s="1355"/>
      <c r="E743" s="1355"/>
      <c r="F743" s="1356"/>
      <c r="G743" s="1351"/>
      <c r="H743" s="1352"/>
      <c r="I743" s="1352"/>
      <c r="J743" s="1353"/>
      <c r="K743" s="1336"/>
      <c r="L743" s="1337"/>
      <c r="M743" s="1337"/>
      <c r="N743" s="1338"/>
      <c r="O743" s="1379"/>
      <c r="P743" s="1380"/>
      <c r="Q743" s="1380"/>
      <c r="R743" s="1380"/>
      <c r="S743" s="1381"/>
      <c r="T743" s="1379"/>
      <c r="U743" s="1380"/>
      <c r="V743" s="1380"/>
      <c r="W743" s="1381"/>
      <c r="X743" s="1361">
        <f t="shared" si="39"/>
        <v>0</v>
      </c>
      <c r="Y743" s="1362"/>
      <c r="Z743" s="1362"/>
      <c r="AA743" s="1362"/>
      <c r="AB743" s="1363"/>
      <c r="AC743" s="1339"/>
      <c r="AD743" s="1340"/>
      <c r="AE743" s="1340"/>
      <c r="AF743" s="1340"/>
      <c r="AG743" s="1341"/>
      <c r="AH743" s="1448" t="str">
        <f t="shared" si="36"/>
        <v/>
      </c>
      <c r="AI743" s="1449"/>
      <c r="AJ743" s="1450"/>
      <c r="AK743" s="1354" t="s">
        <v>591</v>
      </c>
      <c r="AL743" s="1355"/>
      <c r="AM743" s="1355"/>
      <c r="AN743" s="1355"/>
      <c r="AO743" s="1356"/>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52">
        <f t="shared" si="37"/>
        <v>0</v>
      </c>
      <c r="CH743" s="1453"/>
      <c r="CI743" s="1476">
        <f t="shared" si="38"/>
        <v>0</v>
      </c>
      <c r="CJ743" s="1477"/>
      <c r="CK743" s="1452">
        <f t="shared" si="16"/>
        <v>0</v>
      </c>
      <c r="CL743" s="1453"/>
      <c r="CM743" s="1476">
        <f t="shared" si="17"/>
        <v>0</v>
      </c>
      <c r="CN743" s="1477"/>
      <c r="CP743" s="1416">
        <f t="shared" si="18"/>
        <v>0</v>
      </c>
      <c r="CQ743" s="1417"/>
      <c r="CR743" s="1417"/>
      <c r="CS743" s="1417"/>
      <c r="CT743" s="1418"/>
      <c r="CU743" s="1451">
        <f t="shared" si="19"/>
        <v>0</v>
      </c>
      <c r="CV743" s="1451"/>
      <c r="CW743" s="1451"/>
      <c r="CX743" s="1451"/>
      <c r="CY743" s="1451"/>
      <c r="CZ743" s="1451">
        <f t="shared" si="20"/>
        <v>0</v>
      </c>
      <c r="DA743" s="1451"/>
      <c r="DB743" s="1451"/>
      <c r="DC743" s="1451"/>
      <c r="DD743" s="1451"/>
      <c r="DE743" s="1451">
        <f t="shared" si="21"/>
        <v>0</v>
      </c>
      <c r="DF743" s="1451"/>
      <c r="DG743" s="1451"/>
      <c r="DH743" s="1451"/>
      <c r="DI743" s="1451"/>
      <c r="DJ743" s="1451">
        <f t="shared" si="22"/>
        <v>0</v>
      </c>
      <c r="DK743" s="1451"/>
      <c r="DL743" s="1451"/>
      <c r="DM743" s="1451"/>
      <c r="DN743" s="1451"/>
      <c r="DO743" s="1451">
        <f t="shared" si="23"/>
        <v>0</v>
      </c>
      <c r="DP743" s="1451"/>
      <c r="DQ743" s="1451"/>
      <c r="DR743" s="1451"/>
      <c r="DS743" s="1451"/>
      <c r="DT743" s="6"/>
      <c r="DU743" s="1415">
        <f t="shared" si="24"/>
        <v>0</v>
      </c>
      <c r="DV743" s="1415"/>
      <c r="DW743" s="1415"/>
      <c r="DX743" s="1415"/>
      <c r="DY743" s="1415"/>
      <c r="DZ743" s="1415">
        <f t="shared" si="25"/>
        <v>0</v>
      </c>
      <c r="EA743" s="1415"/>
      <c r="EB743" s="1415"/>
      <c r="EC743" s="1415"/>
      <c r="ED743" s="1415"/>
      <c r="EE743" s="1415">
        <f t="shared" si="26"/>
        <v>0</v>
      </c>
      <c r="EF743" s="1415"/>
      <c r="EG743" s="1415"/>
      <c r="EH743" s="1415"/>
      <c r="EI743" s="1415"/>
      <c r="EJ743" s="1415">
        <f t="shared" si="27"/>
        <v>0</v>
      </c>
      <c r="EK743" s="1415"/>
      <c r="EL743" s="1415"/>
      <c r="EM743" s="1415"/>
      <c r="EN743" s="1415"/>
      <c r="EO743" s="1415">
        <f t="shared" si="28"/>
        <v>0</v>
      </c>
      <c r="EP743" s="1415"/>
      <c r="EQ743" s="1415"/>
      <c r="ER743" s="1415"/>
      <c r="ES743" s="1415"/>
      <c r="ET743" s="1415">
        <f t="shared" si="29"/>
        <v>0</v>
      </c>
      <c r="EU743" s="1415"/>
      <c r="EV743" s="1415"/>
      <c r="EW743" s="1415"/>
      <c r="EX743" s="1415"/>
      <c r="EY743"/>
      <c r="EZ743" s="1452" t="str">
        <f t="shared" si="30"/>
        <v/>
      </c>
      <c r="FA743" s="1486"/>
      <c r="FB743" s="1486"/>
      <c r="FC743" s="1486"/>
      <c r="FD743" s="1453"/>
      <c r="FE743" s="1452" t="str">
        <f t="shared" si="31"/>
        <v/>
      </c>
      <c r="FF743" s="1486"/>
      <c r="FG743" s="1486"/>
      <c r="FH743" s="1486"/>
      <c r="FI743" s="1453"/>
      <c r="FJ743" s="1452" t="str">
        <f t="shared" si="32"/>
        <v/>
      </c>
      <c r="FK743" s="1486"/>
      <c r="FL743" s="1486"/>
      <c r="FM743" s="1486"/>
      <c r="FN743" s="1453"/>
      <c r="FO743" s="1452" t="str">
        <f t="shared" si="33"/>
        <v/>
      </c>
      <c r="FP743" s="1486"/>
      <c r="FQ743" s="1486"/>
      <c r="FR743" s="1486"/>
      <c r="FS743" s="1453"/>
      <c r="FT743" s="1452" t="str">
        <f t="shared" si="34"/>
        <v/>
      </c>
      <c r="FU743" s="1486"/>
      <c r="FV743" s="1486"/>
      <c r="FW743" s="1486"/>
      <c r="FX743" s="1453"/>
      <c r="FY743" s="1452" t="str">
        <f t="shared" si="35"/>
        <v/>
      </c>
      <c r="FZ743" s="1486"/>
      <c r="GA743" s="1486"/>
      <c r="GB743" s="1486"/>
      <c r="GC743" s="1453"/>
    </row>
    <row r="744" spans="1:185" ht="12.95" customHeight="1">
      <c r="B744" s="1354"/>
      <c r="C744" s="1355"/>
      <c r="D744" s="1355"/>
      <c r="E744" s="1355"/>
      <c r="F744" s="1356"/>
      <c r="G744" s="1351"/>
      <c r="H744" s="1352"/>
      <c r="I744" s="1352"/>
      <c r="J744" s="1353"/>
      <c r="K744" s="1336"/>
      <c r="L744" s="1337"/>
      <c r="M744" s="1337"/>
      <c r="N744" s="1338"/>
      <c r="O744" s="1379"/>
      <c r="P744" s="1380"/>
      <c r="Q744" s="1380"/>
      <c r="R744" s="1380"/>
      <c r="S744" s="1381"/>
      <c r="T744" s="1379"/>
      <c r="U744" s="1380"/>
      <c r="V744" s="1380"/>
      <c r="W744" s="1381"/>
      <c r="X744" s="1361">
        <f t="shared" si="39"/>
        <v>0</v>
      </c>
      <c r="Y744" s="1362"/>
      <c r="Z744" s="1362"/>
      <c r="AA744" s="1362"/>
      <c r="AB744" s="1363"/>
      <c r="AC744" s="1339"/>
      <c r="AD744" s="1340"/>
      <c r="AE744" s="1340"/>
      <c r="AF744" s="1340"/>
      <c r="AG744" s="1341"/>
      <c r="AH744" s="1448" t="str">
        <f t="shared" si="36"/>
        <v/>
      </c>
      <c r="AI744" s="1449"/>
      <c r="AJ744" s="1450"/>
      <c r="AK744" s="1354" t="s">
        <v>591</v>
      </c>
      <c r="AL744" s="1355"/>
      <c r="AM744" s="1355"/>
      <c r="AN744" s="1355"/>
      <c r="AO744" s="1356"/>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52">
        <f t="shared" si="37"/>
        <v>0</v>
      </c>
      <c r="CH744" s="1453"/>
      <c r="CI744" s="1476">
        <f t="shared" si="38"/>
        <v>0</v>
      </c>
      <c r="CJ744" s="1477"/>
      <c r="CK744" s="1452">
        <f t="shared" si="16"/>
        <v>0</v>
      </c>
      <c r="CL744" s="1453"/>
      <c r="CM744" s="1476">
        <f t="shared" si="17"/>
        <v>0</v>
      </c>
      <c r="CN744" s="1477"/>
      <c r="CO744" s="3"/>
      <c r="CP744" s="1416">
        <f t="shared" si="18"/>
        <v>0</v>
      </c>
      <c r="CQ744" s="1417"/>
      <c r="CR744" s="1417"/>
      <c r="CS744" s="1417"/>
      <c r="CT744" s="1418"/>
      <c r="CU744" s="1451">
        <f t="shared" si="19"/>
        <v>0</v>
      </c>
      <c r="CV744" s="1451"/>
      <c r="CW744" s="1451"/>
      <c r="CX744" s="1451"/>
      <c r="CY744" s="1451"/>
      <c r="CZ744" s="1451">
        <f t="shared" si="20"/>
        <v>0</v>
      </c>
      <c r="DA744" s="1451"/>
      <c r="DB744" s="1451"/>
      <c r="DC744" s="1451"/>
      <c r="DD744" s="1451"/>
      <c r="DE744" s="1451">
        <f t="shared" si="21"/>
        <v>0</v>
      </c>
      <c r="DF744" s="1451"/>
      <c r="DG744" s="1451"/>
      <c r="DH744" s="1451"/>
      <c r="DI744" s="1451"/>
      <c r="DJ744" s="1451">
        <f t="shared" si="22"/>
        <v>0</v>
      </c>
      <c r="DK744" s="1451"/>
      <c r="DL744" s="1451"/>
      <c r="DM744" s="1451"/>
      <c r="DN744" s="1451"/>
      <c r="DO744" s="1451">
        <f t="shared" si="23"/>
        <v>0</v>
      </c>
      <c r="DP744" s="1451"/>
      <c r="DQ744" s="1451"/>
      <c r="DR744" s="1451"/>
      <c r="DS744" s="1451"/>
      <c r="DT744" s="6"/>
      <c r="DU744" s="1415">
        <f t="shared" si="24"/>
        <v>0</v>
      </c>
      <c r="DV744" s="1415"/>
      <c r="DW744" s="1415"/>
      <c r="DX744" s="1415"/>
      <c r="DY744" s="1415"/>
      <c r="DZ744" s="1415">
        <f t="shared" si="25"/>
        <v>0</v>
      </c>
      <c r="EA744" s="1415"/>
      <c r="EB744" s="1415"/>
      <c r="EC744" s="1415"/>
      <c r="ED744" s="1415"/>
      <c r="EE744" s="1415">
        <f t="shared" si="26"/>
        <v>0</v>
      </c>
      <c r="EF744" s="1415"/>
      <c r="EG744" s="1415"/>
      <c r="EH744" s="1415"/>
      <c r="EI744" s="1415"/>
      <c r="EJ744" s="1415">
        <f t="shared" si="27"/>
        <v>0</v>
      </c>
      <c r="EK744" s="1415"/>
      <c r="EL744" s="1415"/>
      <c r="EM744" s="1415"/>
      <c r="EN744" s="1415"/>
      <c r="EO744" s="1415">
        <f t="shared" si="28"/>
        <v>0</v>
      </c>
      <c r="EP744" s="1415"/>
      <c r="EQ744" s="1415"/>
      <c r="ER744" s="1415"/>
      <c r="ES744" s="1415"/>
      <c r="ET744" s="1415">
        <f t="shared" si="29"/>
        <v>0</v>
      </c>
      <c r="EU744" s="1415"/>
      <c r="EV744" s="1415"/>
      <c r="EW744" s="1415"/>
      <c r="EX744" s="1415"/>
      <c r="EZ744" s="1452" t="str">
        <f t="shared" si="30"/>
        <v/>
      </c>
      <c r="FA744" s="1486"/>
      <c r="FB744" s="1486"/>
      <c r="FC744" s="1486"/>
      <c r="FD744" s="1453"/>
      <c r="FE744" s="1452" t="str">
        <f t="shared" si="31"/>
        <v/>
      </c>
      <c r="FF744" s="1486"/>
      <c r="FG744" s="1486"/>
      <c r="FH744" s="1486"/>
      <c r="FI744" s="1453"/>
      <c r="FJ744" s="1452" t="str">
        <f t="shared" si="32"/>
        <v/>
      </c>
      <c r="FK744" s="1486"/>
      <c r="FL744" s="1486"/>
      <c r="FM744" s="1486"/>
      <c r="FN744" s="1453"/>
      <c r="FO744" s="1452" t="str">
        <f t="shared" si="33"/>
        <v/>
      </c>
      <c r="FP744" s="1486"/>
      <c r="FQ744" s="1486"/>
      <c r="FR744" s="1486"/>
      <c r="FS744" s="1453"/>
      <c r="FT744" s="1452" t="str">
        <f t="shared" si="34"/>
        <v/>
      </c>
      <c r="FU744" s="1486"/>
      <c r="FV744" s="1486"/>
      <c r="FW744" s="1486"/>
      <c r="FX744" s="1453"/>
      <c r="FY744" s="1452" t="str">
        <f t="shared" si="35"/>
        <v/>
      </c>
      <c r="FZ744" s="1486"/>
      <c r="GA744" s="1486"/>
      <c r="GB744" s="1486"/>
      <c r="GC744" s="1453"/>
    </row>
    <row r="745" spans="1:185" ht="12.95" customHeight="1">
      <c r="B745" s="1354"/>
      <c r="C745" s="1355"/>
      <c r="D745" s="1355"/>
      <c r="E745" s="1355"/>
      <c r="F745" s="1356"/>
      <c r="G745" s="1351"/>
      <c r="H745" s="1352"/>
      <c r="I745" s="1352"/>
      <c r="J745" s="1353"/>
      <c r="K745" s="1336"/>
      <c r="L745" s="1337"/>
      <c r="M745" s="1337"/>
      <c r="N745" s="1338"/>
      <c r="O745" s="1379"/>
      <c r="P745" s="1380"/>
      <c r="Q745" s="1380"/>
      <c r="R745" s="1380"/>
      <c r="S745" s="1381"/>
      <c r="T745" s="1379"/>
      <c r="U745" s="1380"/>
      <c r="V745" s="1380"/>
      <c r="W745" s="1381"/>
      <c r="X745" s="1361">
        <f t="shared" si="39"/>
        <v>0</v>
      </c>
      <c r="Y745" s="1362"/>
      <c r="Z745" s="1362"/>
      <c r="AA745" s="1362"/>
      <c r="AB745" s="1363"/>
      <c r="AC745" s="1339"/>
      <c r="AD745" s="1340"/>
      <c r="AE745" s="1340"/>
      <c r="AF745" s="1340"/>
      <c r="AG745" s="1341"/>
      <c r="AH745" s="1448" t="str">
        <f t="shared" si="36"/>
        <v/>
      </c>
      <c r="AI745" s="1449"/>
      <c r="AJ745" s="1450"/>
      <c r="AK745" s="1354" t="s">
        <v>591</v>
      </c>
      <c r="AL745" s="1355"/>
      <c r="AM745" s="1355"/>
      <c r="AN745" s="1355"/>
      <c r="AO745" s="1356"/>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52">
        <f t="shared" si="37"/>
        <v>0</v>
      </c>
      <c r="CH745" s="1453"/>
      <c r="CI745" s="1476">
        <f t="shared" si="38"/>
        <v>0</v>
      </c>
      <c r="CJ745" s="1477"/>
      <c r="CK745" s="1452">
        <f t="shared" si="16"/>
        <v>0</v>
      </c>
      <c r="CL745" s="1453"/>
      <c r="CM745" s="1476">
        <f t="shared" si="17"/>
        <v>0</v>
      </c>
      <c r="CN745" s="1477"/>
      <c r="CO745" s="3"/>
      <c r="CP745" s="1416">
        <f t="shared" si="18"/>
        <v>0</v>
      </c>
      <c r="CQ745" s="1417"/>
      <c r="CR745" s="1417"/>
      <c r="CS745" s="1417"/>
      <c r="CT745" s="1418"/>
      <c r="CU745" s="1451">
        <f t="shared" si="19"/>
        <v>0</v>
      </c>
      <c r="CV745" s="1451"/>
      <c r="CW745" s="1451"/>
      <c r="CX745" s="1451"/>
      <c r="CY745" s="1451"/>
      <c r="CZ745" s="1451">
        <f t="shared" si="20"/>
        <v>0</v>
      </c>
      <c r="DA745" s="1451"/>
      <c r="DB745" s="1451"/>
      <c r="DC745" s="1451"/>
      <c r="DD745" s="1451"/>
      <c r="DE745" s="1451">
        <f t="shared" si="21"/>
        <v>0</v>
      </c>
      <c r="DF745" s="1451"/>
      <c r="DG745" s="1451"/>
      <c r="DH745" s="1451"/>
      <c r="DI745" s="1451"/>
      <c r="DJ745" s="1451">
        <f t="shared" si="22"/>
        <v>0</v>
      </c>
      <c r="DK745" s="1451"/>
      <c r="DL745" s="1451"/>
      <c r="DM745" s="1451"/>
      <c r="DN745" s="1451"/>
      <c r="DO745" s="1451">
        <f t="shared" si="23"/>
        <v>0</v>
      </c>
      <c r="DP745" s="1451"/>
      <c r="DQ745" s="1451"/>
      <c r="DR745" s="1451"/>
      <c r="DS745" s="1451"/>
      <c r="DT745" s="6"/>
      <c r="DU745" s="1415">
        <f t="shared" si="24"/>
        <v>0</v>
      </c>
      <c r="DV745" s="1415"/>
      <c r="DW745" s="1415"/>
      <c r="DX745" s="1415"/>
      <c r="DY745" s="1415"/>
      <c r="DZ745" s="1415">
        <f t="shared" si="25"/>
        <v>0</v>
      </c>
      <c r="EA745" s="1415"/>
      <c r="EB745" s="1415"/>
      <c r="EC745" s="1415"/>
      <c r="ED745" s="1415"/>
      <c r="EE745" s="1415">
        <f t="shared" si="26"/>
        <v>0</v>
      </c>
      <c r="EF745" s="1415"/>
      <c r="EG745" s="1415"/>
      <c r="EH745" s="1415"/>
      <c r="EI745" s="1415"/>
      <c r="EJ745" s="1415">
        <f t="shared" si="27"/>
        <v>0</v>
      </c>
      <c r="EK745" s="1415"/>
      <c r="EL745" s="1415"/>
      <c r="EM745" s="1415"/>
      <c r="EN745" s="1415"/>
      <c r="EO745" s="1415">
        <f t="shared" si="28"/>
        <v>0</v>
      </c>
      <c r="EP745" s="1415"/>
      <c r="EQ745" s="1415"/>
      <c r="ER745" s="1415"/>
      <c r="ES745" s="1415"/>
      <c r="ET745" s="1415">
        <f t="shared" si="29"/>
        <v>0</v>
      </c>
      <c r="EU745" s="1415"/>
      <c r="EV745" s="1415"/>
      <c r="EW745" s="1415"/>
      <c r="EX745" s="1415"/>
      <c r="EZ745" s="1452" t="str">
        <f t="shared" si="30"/>
        <v/>
      </c>
      <c r="FA745" s="1486"/>
      <c r="FB745" s="1486"/>
      <c r="FC745" s="1486"/>
      <c r="FD745" s="1453"/>
      <c r="FE745" s="1452" t="str">
        <f t="shared" si="31"/>
        <v/>
      </c>
      <c r="FF745" s="1486"/>
      <c r="FG745" s="1486"/>
      <c r="FH745" s="1486"/>
      <c r="FI745" s="1453"/>
      <c r="FJ745" s="1452" t="str">
        <f t="shared" si="32"/>
        <v/>
      </c>
      <c r="FK745" s="1486"/>
      <c r="FL745" s="1486"/>
      <c r="FM745" s="1486"/>
      <c r="FN745" s="1453"/>
      <c r="FO745" s="1452" t="str">
        <f t="shared" si="33"/>
        <v/>
      </c>
      <c r="FP745" s="1486"/>
      <c r="FQ745" s="1486"/>
      <c r="FR745" s="1486"/>
      <c r="FS745" s="1453"/>
      <c r="FT745" s="1452" t="str">
        <f t="shared" si="34"/>
        <v/>
      </c>
      <c r="FU745" s="1486"/>
      <c r="FV745" s="1486"/>
      <c r="FW745" s="1486"/>
      <c r="FX745" s="1453"/>
      <c r="FY745" s="1452" t="str">
        <f t="shared" si="35"/>
        <v/>
      </c>
      <c r="FZ745" s="1486"/>
      <c r="GA745" s="1486"/>
      <c r="GB745" s="1486"/>
      <c r="GC745" s="1453"/>
    </row>
    <row r="746" spans="1:185" ht="12.95" customHeight="1">
      <c r="B746" s="1354"/>
      <c r="C746" s="1355"/>
      <c r="D746" s="1355"/>
      <c r="E746" s="1355"/>
      <c r="F746" s="1356"/>
      <c r="G746" s="1351"/>
      <c r="H746" s="1352"/>
      <c r="I746" s="1352"/>
      <c r="J746" s="1353"/>
      <c r="K746" s="1336"/>
      <c r="L746" s="1337"/>
      <c r="M746" s="1337"/>
      <c r="N746" s="1338"/>
      <c r="O746" s="1379"/>
      <c r="P746" s="1380"/>
      <c r="Q746" s="1380"/>
      <c r="R746" s="1380"/>
      <c r="S746" s="1381"/>
      <c r="T746" s="1379"/>
      <c r="U746" s="1380"/>
      <c r="V746" s="1380"/>
      <c r="W746" s="1381"/>
      <c r="X746" s="1361">
        <f t="shared" si="39"/>
        <v>0</v>
      </c>
      <c r="Y746" s="1362"/>
      <c r="Z746" s="1362"/>
      <c r="AA746" s="1362"/>
      <c r="AB746" s="1363"/>
      <c r="AC746" s="1339"/>
      <c r="AD746" s="1340"/>
      <c r="AE746" s="1340"/>
      <c r="AF746" s="1340"/>
      <c r="AG746" s="1341"/>
      <c r="AH746" s="1448" t="str">
        <f t="shared" si="36"/>
        <v/>
      </c>
      <c r="AI746" s="1449"/>
      <c r="AJ746" s="1450"/>
      <c r="AK746" s="1354" t="s">
        <v>591</v>
      </c>
      <c r="AL746" s="1355"/>
      <c r="AM746" s="1355"/>
      <c r="AN746" s="1355"/>
      <c r="AO746" s="1356"/>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52">
        <f t="shared" si="37"/>
        <v>0</v>
      </c>
      <c r="CH746" s="1453"/>
      <c r="CI746" s="1476">
        <f t="shared" si="38"/>
        <v>0</v>
      </c>
      <c r="CJ746" s="1477"/>
      <c r="CK746" s="1452">
        <f t="shared" si="16"/>
        <v>0</v>
      </c>
      <c r="CL746" s="1453"/>
      <c r="CM746" s="1476">
        <f t="shared" si="17"/>
        <v>0</v>
      </c>
      <c r="CN746" s="1477"/>
      <c r="CO746" s="3"/>
      <c r="CP746" s="1416">
        <f t="shared" si="18"/>
        <v>0</v>
      </c>
      <c r="CQ746" s="1417"/>
      <c r="CR746" s="1417"/>
      <c r="CS746" s="1417"/>
      <c r="CT746" s="1418"/>
      <c r="CU746" s="1451">
        <f t="shared" si="19"/>
        <v>0</v>
      </c>
      <c r="CV746" s="1451"/>
      <c r="CW746" s="1451"/>
      <c r="CX746" s="1451"/>
      <c r="CY746" s="1451"/>
      <c r="CZ746" s="1451">
        <f t="shared" si="20"/>
        <v>0</v>
      </c>
      <c r="DA746" s="1451"/>
      <c r="DB746" s="1451"/>
      <c r="DC746" s="1451"/>
      <c r="DD746" s="1451"/>
      <c r="DE746" s="1451">
        <f t="shared" si="21"/>
        <v>0</v>
      </c>
      <c r="DF746" s="1451"/>
      <c r="DG746" s="1451"/>
      <c r="DH746" s="1451"/>
      <c r="DI746" s="1451"/>
      <c r="DJ746" s="1451">
        <f t="shared" si="22"/>
        <v>0</v>
      </c>
      <c r="DK746" s="1451"/>
      <c r="DL746" s="1451"/>
      <c r="DM746" s="1451"/>
      <c r="DN746" s="1451"/>
      <c r="DO746" s="1451">
        <f t="shared" si="23"/>
        <v>0</v>
      </c>
      <c r="DP746" s="1451"/>
      <c r="DQ746" s="1451"/>
      <c r="DR746" s="1451"/>
      <c r="DS746" s="1451"/>
      <c r="DT746" s="6"/>
      <c r="DU746" s="1415">
        <f t="shared" si="24"/>
        <v>0</v>
      </c>
      <c r="DV746" s="1415"/>
      <c r="DW746" s="1415"/>
      <c r="DX746" s="1415"/>
      <c r="DY746" s="1415"/>
      <c r="DZ746" s="1415">
        <f t="shared" si="25"/>
        <v>0</v>
      </c>
      <c r="EA746" s="1415"/>
      <c r="EB746" s="1415"/>
      <c r="EC746" s="1415"/>
      <c r="ED746" s="1415"/>
      <c r="EE746" s="1415">
        <f t="shared" si="26"/>
        <v>0</v>
      </c>
      <c r="EF746" s="1415"/>
      <c r="EG746" s="1415"/>
      <c r="EH746" s="1415"/>
      <c r="EI746" s="1415"/>
      <c r="EJ746" s="1415">
        <f t="shared" si="27"/>
        <v>0</v>
      </c>
      <c r="EK746" s="1415"/>
      <c r="EL746" s="1415"/>
      <c r="EM746" s="1415"/>
      <c r="EN746" s="1415"/>
      <c r="EO746" s="1415">
        <f t="shared" si="28"/>
        <v>0</v>
      </c>
      <c r="EP746" s="1415"/>
      <c r="EQ746" s="1415"/>
      <c r="ER746" s="1415"/>
      <c r="ES746" s="1415"/>
      <c r="ET746" s="1415">
        <f t="shared" si="29"/>
        <v>0</v>
      </c>
      <c r="EU746" s="1415"/>
      <c r="EV746" s="1415"/>
      <c r="EW746" s="1415"/>
      <c r="EX746" s="1415"/>
      <c r="EZ746" s="1452" t="str">
        <f t="shared" si="30"/>
        <v/>
      </c>
      <c r="FA746" s="1486"/>
      <c r="FB746" s="1486"/>
      <c r="FC746" s="1486"/>
      <c r="FD746" s="1453"/>
      <c r="FE746" s="1452" t="str">
        <f t="shared" si="31"/>
        <v/>
      </c>
      <c r="FF746" s="1486"/>
      <c r="FG746" s="1486"/>
      <c r="FH746" s="1486"/>
      <c r="FI746" s="1453"/>
      <c r="FJ746" s="1452" t="str">
        <f t="shared" si="32"/>
        <v/>
      </c>
      <c r="FK746" s="1486"/>
      <c r="FL746" s="1486"/>
      <c r="FM746" s="1486"/>
      <c r="FN746" s="1453"/>
      <c r="FO746" s="1452" t="str">
        <f t="shared" si="33"/>
        <v/>
      </c>
      <c r="FP746" s="1486"/>
      <c r="FQ746" s="1486"/>
      <c r="FR746" s="1486"/>
      <c r="FS746" s="1453"/>
      <c r="FT746" s="1452" t="str">
        <f t="shared" si="34"/>
        <v/>
      </c>
      <c r="FU746" s="1486"/>
      <c r="FV746" s="1486"/>
      <c r="FW746" s="1486"/>
      <c r="FX746" s="1453"/>
      <c r="FY746" s="1452" t="str">
        <f t="shared" si="35"/>
        <v/>
      </c>
      <c r="FZ746" s="1486"/>
      <c r="GA746" s="1486"/>
      <c r="GB746" s="1486"/>
      <c r="GC746" s="1453"/>
    </row>
    <row r="747" spans="1:185" ht="12.95" customHeight="1">
      <c r="B747" s="1354"/>
      <c r="C747" s="1355"/>
      <c r="D747" s="1355"/>
      <c r="E747" s="1355"/>
      <c r="F747" s="1356"/>
      <c r="G747" s="1351"/>
      <c r="H747" s="1352"/>
      <c r="I747" s="1352"/>
      <c r="J747" s="1353"/>
      <c r="K747" s="1336"/>
      <c r="L747" s="1337"/>
      <c r="M747" s="1337"/>
      <c r="N747" s="1338"/>
      <c r="O747" s="1379"/>
      <c r="P747" s="1380"/>
      <c r="Q747" s="1380"/>
      <c r="R747" s="1380"/>
      <c r="S747" s="1381"/>
      <c r="T747" s="1379"/>
      <c r="U747" s="1380"/>
      <c r="V747" s="1380"/>
      <c r="W747" s="1381"/>
      <c r="X747" s="1361">
        <f t="shared" si="39"/>
        <v>0</v>
      </c>
      <c r="Y747" s="1362"/>
      <c r="Z747" s="1362"/>
      <c r="AA747" s="1362"/>
      <c r="AB747" s="1363"/>
      <c r="AC747" s="1339"/>
      <c r="AD747" s="1340"/>
      <c r="AE747" s="1340"/>
      <c r="AF747" s="1340"/>
      <c r="AG747" s="1341"/>
      <c r="AH747" s="1448" t="str">
        <f t="shared" si="36"/>
        <v/>
      </c>
      <c r="AI747" s="1449"/>
      <c r="AJ747" s="1450"/>
      <c r="AK747" s="1354" t="s">
        <v>591</v>
      </c>
      <c r="AL747" s="1355"/>
      <c r="AM747" s="1355"/>
      <c r="AN747" s="1355"/>
      <c r="AO747" s="1356"/>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52">
        <f t="shared" si="37"/>
        <v>0</v>
      </c>
      <c r="CH747" s="1453"/>
      <c r="CI747" s="1476">
        <f t="shared" si="38"/>
        <v>0</v>
      </c>
      <c r="CJ747" s="1477"/>
      <c r="CK747" s="1452">
        <f t="shared" si="16"/>
        <v>0</v>
      </c>
      <c r="CL747" s="1453"/>
      <c r="CM747" s="1476">
        <f t="shared" si="17"/>
        <v>0</v>
      </c>
      <c r="CN747" s="1477"/>
      <c r="CO747" s="3"/>
      <c r="CP747" s="1416">
        <f t="shared" si="18"/>
        <v>0</v>
      </c>
      <c r="CQ747" s="1417"/>
      <c r="CR747" s="1417"/>
      <c r="CS747" s="1417"/>
      <c r="CT747" s="1418"/>
      <c r="CU747" s="1451">
        <f t="shared" si="19"/>
        <v>0</v>
      </c>
      <c r="CV747" s="1451"/>
      <c r="CW747" s="1451"/>
      <c r="CX747" s="1451"/>
      <c r="CY747" s="1451"/>
      <c r="CZ747" s="1451">
        <f t="shared" si="20"/>
        <v>0</v>
      </c>
      <c r="DA747" s="1451"/>
      <c r="DB747" s="1451"/>
      <c r="DC747" s="1451"/>
      <c r="DD747" s="1451"/>
      <c r="DE747" s="1451">
        <f t="shared" si="21"/>
        <v>0</v>
      </c>
      <c r="DF747" s="1451"/>
      <c r="DG747" s="1451"/>
      <c r="DH747" s="1451"/>
      <c r="DI747" s="1451"/>
      <c r="DJ747" s="1451">
        <f t="shared" si="22"/>
        <v>0</v>
      </c>
      <c r="DK747" s="1451"/>
      <c r="DL747" s="1451"/>
      <c r="DM747" s="1451"/>
      <c r="DN747" s="1451"/>
      <c r="DO747" s="1451">
        <f t="shared" si="23"/>
        <v>0</v>
      </c>
      <c r="DP747" s="1451"/>
      <c r="DQ747" s="1451"/>
      <c r="DR747" s="1451"/>
      <c r="DS747" s="1451"/>
      <c r="DT747" s="6"/>
      <c r="DU747" s="1415">
        <f t="shared" si="24"/>
        <v>0</v>
      </c>
      <c r="DV747" s="1415"/>
      <c r="DW747" s="1415"/>
      <c r="DX747" s="1415"/>
      <c r="DY747" s="1415"/>
      <c r="DZ747" s="1415">
        <f t="shared" si="25"/>
        <v>0</v>
      </c>
      <c r="EA747" s="1415"/>
      <c r="EB747" s="1415"/>
      <c r="EC747" s="1415"/>
      <c r="ED747" s="1415"/>
      <c r="EE747" s="1415">
        <f t="shared" si="26"/>
        <v>0</v>
      </c>
      <c r="EF747" s="1415"/>
      <c r="EG747" s="1415"/>
      <c r="EH747" s="1415"/>
      <c r="EI747" s="1415"/>
      <c r="EJ747" s="1415">
        <f t="shared" si="27"/>
        <v>0</v>
      </c>
      <c r="EK747" s="1415"/>
      <c r="EL747" s="1415"/>
      <c r="EM747" s="1415"/>
      <c r="EN747" s="1415"/>
      <c r="EO747" s="1415">
        <f t="shared" si="28"/>
        <v>0</v>
      </c>
      <c r="EP747" s="1415"/>
      <c r="EQ747" s="1415"/>
      <c r="ER747" s="1415"/>
      <c r="ES747" s="1415"/>
      <c r="ET747" s="1415">
        <f t="shared" si="29"/>
        <v>0</v>
      </c>
      <c r="EU747" s="1415"/>
      <c r="EV747" s="1415"/>
      <c r="EW747" s="1415"/>
      <c r="EX747" s="1415"/>
      <c r="EZ747" s="1452" t="str">
        <f t="shared" si="30"/>
        <v/>
      </c>
      <c r="FA747" s="1486"/>
      <c r="FB747" s="1486"/>
      <c r="FC747" s="1486"/>
      <c r="FD747" s="1453"/>
      <c r="FE747" s="1452" t="str">
        <f t="shared" si="31"/>
        <v/>
      </c>
      <c r="FF747" s="1486"/>
      <c r="FG747" s="1486"/>
      <c r="FH747" s="1486"/>
      <c r="FI747" s="1453"/>
      <c r="FJ747" s="1452" t="str">
        <f t="shared" si="32"/>
        <v/>
      </c>
      <c r="FK747" s="1486"/>
      <c r="FL747" s="1486"/>
      <c r="FM747" s="1486"/>
      <c r="FN747" s="1453"/>
      <c r="FO747" s="1452" t="str">
        <f t="shared" si="33"/>
        <v/>
      </c>
      <c r="FP747" s="1486"/>
      <c r="FQ747" s="1486"/>
      <c r="FR747" s="1486"/>
      <c r="FS747" s="1453"/>
      <c r="FT747" s="1452" t="str">
        <f t="shared" si="34"/>
        <v/>
      </c>
      <c r="FU747" s="1486"/>
      <c r="FV747" s="1486"/>
      <c r="FW747" s="1486"/>
      <c r="FX747" s="1453"/>
      <c r="FY747" s="1452" t="str">
        <f t="shared" si="35"/>
        <v/>
      </c>
      <c r="FZ747" s="1486"/>
      <c r="GA747" s="1486"/>
      <c r="GB747" s="1486"/>
      <c r="GC747" s="1453"/>
    </row>
    <row r="748" spans="1:185" s="3" customFormat="1" ht="12.95" customHeight="1">
      <c r="A748"/>
      <c r="B748" s="1354"/>
      <c r="C748" s="1355"/>
      <c r="D748" s="1355"/>
      <c r="E748" s="1355"/>
      <c r="F748" s="1356"/>
      <c r="G748" s="1351"/>
      <c r="H748" s="1352"/>
      <c r="I748" s="1352"/>
      <c r="J748" s="1353"/>
      <c r="K748" s="1336"/>
      <c r="L748" s="1337"/>
      <c r="M748" s="1337"/>
      <c r="N748" s="1338"/>
      <c r="O748" s="1379"/>
      <c r="P748" s="1380"/>
      <c r="Q748" s="1380"/>
      <c r="R748" s="1380"/>
      <c r="S748" s="1381"/>
      <c r="T748" s="1379"/>
      <c r="U748" s="1380"/>
      <c r="V748" s="1380"/>
      <c r="W748" s="1381"/>
      <c r="X748" s="1361">
        <f t="shared" si="39"/>
        <v>0</v>
      </c>
      <c r="Y748" s="1362"/>
      <c r="Z748" s="1362"/>
      <c r="AA748" s="1362"/>
      <c r="AB748" s="1363"/>
      <c r="AC748" s="1339"/>
      <c r="AD748" s="1340"/>
      <c r="AE748" s="1340"/>
      <c r="AF748" s="1340"/>
      <c r="AG748" s="1341"/>
      <c r="AH748" s="1448" t="str">
        <f t="shared" si="36"/>
        <v/>
      </c>
      <c r="AI748" s="1449"/>
      <c r="AJ748" s="1450"/>
      <c r="AK748" s="1354" t="s">
        <v>591</v>
      </c>
      <c r="AL748" s="1355"/>
      <c r="AM748" s="1355"/>
      <c r="AN748" s="1355"/>
      <c r="AO748" s="1356"/>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52">
        <f t="shared" si="37"/>
        <v>0</v>
      </c>
      <c r="CH748" s="1453"/>
      <c r="CI748" s="1476">
        <f t="shared" si="38"/>
        <v>0</v>
      </c>
      <c r="CJ748" s="1477"/>
      <c r="CK748" s="1452">
        <f t="shared" si="16"/>
        <v>0</v>
      </c>
      <c r="CL748" s="1453"/>
      <c r="CM748" s="1476">
        <f t="shared" si="17"/>
        <v>0</v>
      </c>
      <c r="CN748" s="1477"/>
      <c r="CP748" s="1416">
        <f t="shared" si="18"/>
        <v>0</v>
      </c>
      <c r="CQ748" s="1417"/>
      <c r="CR748" s="1417"/>
      <c r="CS748" s="1417"/>
      <c r="CT748" s="1418"/>
      <c r="CU748" s="1451">
        <f t="shared" si="19"/>
        <v>0</v>
      </c>
      <c r="CV748" s="1451"/>
      <c r="CW748" s="1451"/>
      <c r="CX748" s="1451"/>
      <c r="CY748" s="1451"/>
      <c r="CZ748" s="1451">
        <f t="shared" si="20"/>
        <v>0</v>
      </c>
      <c r="DA748" s="1451"/>
      <c r="DB748" s="1451"/>
      <c r="DC748" s="1451"/>
      <c r="DD748" s="1451"/>
      <c r="DE748" s="1451">
        <f t="shared" si="21"/>
        <v>0</v>
      </c>
      <c r="DF748" s="1451"/>
      <c r="DG748" s="1451"/>
      <c r="DH748" s="1451"/>
      <c r="DI748" s="1451"/>
      <c r="DJ748" s="1451">
        <f t="shared" si="22"/>
        <v>0</v>
      </c>
      <c r="DK748" s="1451"/>
      <c r="DL748" s="1451"/>
      <c r="DM748" s="1451"/>
      <c r="DN748" s="1451"/>
      <c r="DO748" s="1451">
        <f t="shared" si="23"/>
        <v>0</v>
      </c>
      <c r="DP748" s="1451"/>
      <c r="DQ748" s="1451"/>
      <c r="DR748" s="1451"/>
      <c r="DS748" s="1451"/>
      <c r="DT748" s="6"/>
      <c r="DU748" s="1415">
        <f t="shared" si="24"/>
        <v>0</v>
      </c>
      <c r="DV748" s="1415"/>
      <c r="DW748" s="1415"/>
      <c r="DX748" s="1415"/>
      <c r="DY748" s="1415"/>
      <c r="DZ748" s="1415">
        <f t="shared" si="25"/>
        <v>0</v>
      </c>
      <c r="EA748" s="1415"/>
      <c r="EB748" s="1415"/>
      <c r="EC748" s="1415"/>
      <c r="ED748" s="1415"/>
      <c r="EE748" s="1415">
        <f t="shared" si="26"/>
        <v>0</v>
      </c>
      <c r="EF748" s="1415"/>
      <c r="EG748" s="1415"/>
      <c r="EH748" s="1415"/>
      <c r="EI748" s="1415"/>
      <c r="EJ748" s="1415">
        <f t="shared" si="27"/>
        <v>0</v>
      </c>
      <c r="EK748" s="1415"/>
      <c r="EL748" s="1415"/>
      <c r="EM748" s="1415"/>
      <c r="EN748" s="1415"/>
      <c r="EO748" s="1415">
        <f t="shared" si="28"/>
        <v>0</v>
      </c>
      <c r="EP748" s="1415"/>
      <c r="EQ748" s="1415"/>
      <c r="ER748" s="1415"/>
      <c r="ES748" s="1415"/>
      <c r="ET748" s="1415">
        <f t="shared" si="29"/>
        <v>0</v>
      </c>
      <c r="EU748" s="1415"/>
      <c r="EV748" s="1415"/>
      <c r="EW748" s="1415"/>
      <c r="EX748" s="1415"/>
      <c r="EY748"/>
      <c r="EZ748" s="1452" t="str">
        <f t="shared" si="30"/>
        <v/>
      </c>
      <c r="FA748" s="1486"/>
      <c r="FB748" s="1486"/>
      <c r="FC748" s="1486"/>
      <c r="FD748" s="1453"/>
      <c r="FE748" s="1452" t="str">
        <f t="shared" si="31"/>
        <v/>
      </c>
      <c r="FF748" s="1486"/>
      <c r="FG748" s="1486"/>
      <c r="FH748" s="1486"/>
      <c r="FI748" s="1453"/>
      <c r="FJ748" s="1452" t="str">
        <f t="shared" si="32"/>
        <v/>
      </c>
      <c r="FK748" s="1486"/>
      <c r="FL748" s="1486"/>
      <c r="FM748" s="1486"/>
      <c r="FN748" s="1453"/>
      <c r="FO748" s="1452" t="str">
        <f t="shared" si="33"/>
        <v/>
      </c>
      <c r="FP748" s="1486"/>
      <c r="FQ748" s="1486"/>
      <c r="FR748" s="1486"/>
      <c r="FS748" s="1453"/>
      <c r="FT748" s="1452" t="str">
        <f t="shared" si="34"/>
        <v/>
      </c>
      <c r="FU748" s="1486"/>
      <c r="FV748" s="1486"/>
      <c r="FW748" s="1486"/>
      <c r="FX748" s="1453"/>
      <c r="FY748" s="1452" t="str">
        <f t="shared" si="35"/>
        <v/>
      </c>
      <c r="FZ748" s="1486"/>
      <c r="GA748" s="1486"/>
      <c r="GB748" s="1486"/>
      <c r="GC748" s="1453"/>
    </row>
    <row r="749" spans="1:185" s="3" customFormat="1" ht="12.95" customHeight="1">
      <c r="A749"/>
      <c r="B749" s="1354"/>
      <c r="C749" s="1355"/>
      <c r="D749" s="1355"/>
      <c r="E749" s="1355"/>
      <c r="F749" s="1356"/>
      <c r="G749" s="1351"/>
      <c r="H749" s="1352"/>
      <c r="I749" s="1352"/>
      <c r="J749" s="1353"/>
      <c r="K749" s="1336"/>
      <c r="L749" s="1337"/>
      <c r="M749" s="1337"/>
      <c r="N749" s="1338"/>
      <c r="O749" s="1379"/>
      <c r="P749" s="1380"/>
      <c r="Q749" s="1380"/>
      <c r="R749" s="1380"/>
      <c r="S749" s="1381"/>
      <c r="T749" s="1379"/>
      <c r="U749" s="1380"/>
      <c r="V749" s="1380"/>
      <c r="W749" s="1381"/>
      <c r="X749" s="1361">
        <f t="shared" si="39"/>
        <v>0</v>
      </c>
      <c r="Y749" s="1362"/>
      <c r="Z749" s="1362"/>
      <c r="AA749" s="1362"/>
      <c r="AB749" s="1363"/>
      <c r="AC749" s="1339"/>
      <c r="AD749" s="1340"/>
      <c r="AE749" s="1340"/>
      <c r="AF749" s="1340"/>
      <c r="AG749" s="1341"/>
      <c r="AH749" s="1448" t="str">
        <f t="shared" si="36"/>
        <v/>
      </c>
      <c r="AI749" s="1449"/>
      <c r="AJ749" s="1450"/>
      <c r="AK749" s="1354" t="s">
        <v>591</v>
      </c>
      <c r="AL749" s="1355"/>
      <c r="AM749" s="1355"/>
      <c r="AN749" s="1355"/>
      <c r="AO749" s="1356"/>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52">
        <f t="shared" si="37"/>
        <v>0</v>
      </c>
      <c r="CH749" s="1453"/>
      <c r="CI749" s="1476">
        <f t="shared" si="38"/>
        <v>0</v>
      </c>
      <c r="CJ749" s="1477"/>
      <c r="CK749" s="1452">
        <f t="shared" si="16"/>
        <v>0</v>
      </c>
      <c r="CL749" s="1453"/>
      <c r="CM749" s="1476">
        <f t="shared" si="17"/>
        <v>0</v>
      </c>
      <c r="CN749" s="1477"/>
      <c r="CP749" s="1416">
        <f t="shared" si="18"/>
        <v>0</v>
      </c>
      <c r="CQ749" s="1417"/>
      <c r="CR749" s="1417"/>
      <c r="CS749" s="1417"/>
      <c r="CT749" s="1418"/>
      <c r="CU749" s="1451">
        <f t="shared" si="19"/>
        <v>0</v>
      </c>
      <c r="CV749" s="1451"/>
      <c r="CW749" s="1451"/>
      <c r="CX749" s="1451"/>
      <c r="CY749" s="1451"/>
      <c r="CZ749" s="1451">
        <f t="shared" si="20"/>
        <v>0</v>
      </c>
      <c r="DA749" s="1451"/>
      <c r="DB749" s="1451"/>
      <c r="DC749" s="1451"/>
      <c r="DD749" s="1451"/>
      <c r="DE749" s="1451">
        <f t="shared" si="21"/>
        <v>0</v>
      </c>
      <c r="DF749" s="1451"/>
      <c r="DG749" s="1451"/>
      <c r="DH749" s="1451"/>
      <c r="DI749" s="1451"/>
      <c r="DJ749" s="1451">
        <f t="shared" si="22"/>
        <v>0</v>
      </c>
      <c r="DK749" s="1451"/>
      <c r="DL749" s="1451"/>
      <c r="DM749" s="1451"/>
      <c r="DN749" s="1451"/>
      <c r="DO749" s="1451">
        <f t="shared" si="23"/>
        <v>0</v>
      </c>
      <c r="DP749" s="1451"/>
      <c r="DQ749" s="1451"/>
      <c r="DR749" s="1451"/>
      <c r="DS749" s="1451"/>
      <c r="DT749" s="6"/>
      <c r="DU749" s="1415">
        <f t="shared" si="24"/>
        <v>0</v>
      </c>
      <c r="DV749" s="1415"/>
      <c r="DW749" s="1415"/>
      <c r="DX749" s="1415"/>
      <c r="DY749" s="1415"/>
      <c r="DZ749" s="1415">
        <f t="shared" si="25"/>
        <v>0</v>
      </c>
      <c r="EA749" s="1415"/>
      <c r="EB749" s="1415"/>
      <c r="EC749" s="1415"/>
      <c r="ED749" s="1415"/>
      <c r="EE749" s="1415">
        <f t="shared" si="26"/>
        <v>0</v>
      </c>
      <c r="EF749" s="1415"/>
      <c r="EG749" s="1415"/>
      <c r="EH749" s="1415"/>
      <c r="EI749" s="1415"/>
      <c r="EJ749" s="1415">
        <f t="shared" si="27"/>
        <v>0</v>
      </c>
      <c r="EK749" s="1415"/>
      <c r="EL749" s="1415"/>
      <c r="EM749" s="1415"/>
      <c r="EN749" s="1415"/>
      <c r="EO749" s="1415">
        <f t="shared" si="28"/>
        <v>0</v>
      </c>
      <c r="EP749" s="1415"/>
      <c r="EQ749" s="1415"/>
      <c r="ER749" s="1415"/>
      <c r="ES749" s="1415"/>
      <c r="ET749" s="1415">
        <f t="shared" si="29"/>
        <v>0</v>
      </c>
      <c r="EU749" s="1415"/>
      <c r="EV749" s="1415"/>
      <c r="EW749" s="1415"/>
      <c r="EX749" s="1415"/>
      <c r="EY749"/>
      <c r="EZ749" s="1452" t="str">
        <f t="shared" si="30"/>
        <v/>
      </c>
      <c r="FA749" s="1486"/>
      <c r="FB749" s="1486"/>
      <c r="FC749" s="1486"/>
      <c r="FD749" s="1453"/>
      <c r="FE749" s="1452" t="str">
        <f t="shared" si="31"/>
        <v/>
      </c>
      <c r="FF749" s="1486"/>
      <c r="FG749" s="1486"/>
      <c r="FH749" s="1486"/>
      <c r="FI749" s="1453"/>
      <c r="FJ749" s="1452" t="str">
        <f t="shared" si="32"/>
        <v/>
      </c>
      <c r="FK749" s="1486"/>
      <c r="FL749" s="1486"/>
      <c r="FM749" s="1486"/>
      <c r="FN749" s="1453"/>
      <c r="FO749" s="1452" t="str">
        <f t="shared" si="33"/>
        <v/>
      </c>
      <c r="FP749" s="1486"/>
      <c r="FQ749" s="1486"/>
      <c r="FR749" s="1486"/>
      <c r="FS749" s="1453"/>
      <c r="FT749" s="1452" t="str">
        <f t="shared" si="34"/>
        <v/>
      </c>
      <c r="FU749" s="1486"/>
      <c r="FV749" s="1486"/>
      <c r="FW749" s="1486"/>
      <c r="FX749" s="1453"/>
      <c r="FY749" s="1452" t="str">
        <f t="shared" si="35"/>
        <v/>
      </c>
      <c r="FZ749" s="1486"/>
      <c r="GA749" s="1486"/>
      <c r="GB749" s="1486"/>
      <c r="GC749" s="1453"/>
    </row>
    <row r="750" spans="1:185" s="3" customFormat="1" ht="12.95" customHeight="1">
      <c r="A750"/>
      <c r="B750" s="1354"/>
      <c r="C750" s="1355"/>
      <c r="D750" s="1355"/>
      <c r="E750" s="1355"/>
      <c r="F750" s="1356"/>
      <c r="G750" s="1351"/>
      <c r="H750" s="1352"/>
      <c r="I750" s="1352"/>
      <c r="J750" s="1353"/>
      <c r="K750" s="1336"/>
      <c r="L750" s="1337"/>
      <c r="M750" s="1337"/>
      <c r="N750" s="1338"/>
      <c r="O750" s="1379"/>
      <c r="P750" s="1380"/>
      <c r="Q750" s="1380"/>
      <c r="R750" s="1380"/>
      <c r="S750" s="1381"/>
      <c r="T750" s="1379"/>
      <c r="U750" s="1380"/>
      <c r="V750" s="1380"/>
      <c r="W750" s="1381"/>
      <c r="X750" s="1361">
        <f t="shared" si="39"/>
        <v>0</v>
      </c>
      <c r="Y750" s="1362"/>
      <c r="Z750" s="1362"/>
      <c r="AA750" s="1362"/>
      <c r="AB750" s="1363"/>
      <c r="AC750" s="1339"/>
      <c r="AD750" s="1340"/>
      <c r="AE750" s="1340"/>
      <c r="AF750" s="1340"/>
      <c r="AG750" s="1341"/>
      <c r="AH750" s="1448" t="str">
        <f t="shared" si="36"/>
        <v/>
      </c>
      <c r="AI750" s="1449"/>
      <c r="AJ750" s="1450"/>
      <c r="AK750" s="1354" t="s">
        <v>591</v>
      </c>
      <c r="AL750" s="1355"/>
      <c r="AM750" s="1355"/>
      <c r="AN750" s="1355"/>
      <c r="AO750" s="1356"/>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52">
        <f t="shared" si="37"/>
        <v>0</v>
      </c>
      <c r="CH750" s="1453"/>
      <c r="CI750" s="1476">
        <f t="shared" si="38"/>
        <v>0</v>
      </c>
      <c r="CJ750" s="1477"/>
      <c r="CK750" s="1452">
        <f t="shared" si="16"/>
        <v>0</v>
      </c>
      <c r="CL750" s="1453"/>
      <c r="CM750" s="1476">
        <f t="shared" si="17"/>
        <v>0</v>
      </c>
      <c r="CN750" s="1477"/>
      <c r="CP750" s="1416">
        <f t="shared" si="18"/>
        <v>0</v>
      </c>
      <c r="CQ750" s="1417"/>
      <c r="CR750" s="1417"/>
      <c r="CS750" s="1417"/>
      <c r="CT750" s="1418"/>
      <c r="CU750" s="1451">
        <f t="shared" si="19"/>
        <v>0</v>
      </c>
      <c r="CV750" s="1451"/>
      <c r="CW750" s="1451"/>
      <c r="CX750" s="1451"/>
      <c r="CY750" s="1451"/>
      <c r="CZ750" s="1451">
        <f t="shared" si="20"/>
        <v>0</v>
      </c>
      <c r="DA750" s="1451"/>
      <c r="DB750" s="1451"/>
      <c r="DC750" s="1451"/>
      <c r="DD750" s="1451"/>
      <c r="DE750" s="1451">
        <f t="shared" si="21"/>
        <v>0</v>
      </c>
      <c r="DF750" s="1451"/>
      <c r="DG750" s="1451"/>
      <c r="DH750" s="1451"/>
      <c r="DI750" s="1451"/>
      <c r="DJ750" s="1451">
        <f t="shared" si="22"/>
        <v>0</v>
      </c>
      <c r="DK750" s="1451"/>
      <c r="DL750" s="1451"/>
      <c r="DM750" s="1451"/>
      <c r="DN750" s="1451"/>
      <c r="DO750" s="1451">
        <f t="shared" si="23"/>
        <v>0</v>
      </c>
      <c r="DP750" s="1451"/>
      <c r="DQ750" s="1451"/>
      <c r="DR750" s="1451"/>
      <c r="DS750" s="1451"/>
      <c r="DT750" s="6"/>
      <c r="DU750" s="1415">
        <f t="shared" si="24"/>
        <v>0</v>
      </c>
      <c r="DV750" s="1415"/>
      <c r="DW750" s="1415"/>
      <c r="DX750" s="1415"/>
      <c r="DY750" s="1415"/>
      <c r="DZ750" s="1415">
        <f t="shared" si="25"/>
        <v>0</v>
      </c>
      <c r="EA750" s="1415"/>
      <c r="EB750" s="1415"/>
      <c r="EC750" s="1415"/>
      <c r="ED750" s="1415"/>
      <c r="EE750" s="1415">
        <f t="shared" si="26"/>
        <v>0</v>
      </c>
      <c r="EF750" s="1415"/>
      <c r="EG750" s="1415"/>
      <c r="EH750" s="1415"/>
      <c r="EI750" s="1415"/>
      <c r="EJ750" s="1415">
        <f t="shared" si="27"/>
        <v>0</v>
      </c>
      <c r="EK750" s="1415"/>
      <c r="EL750" s="1415"/>
      <c r="EM750" s="1415"/>
      <c r="EN750" s="1415"/>
      <c r="EO750" s="1415">
        <f t="shared" si="28"/>
        <v>0</v>
      </c>
      <c r="EP750" s="1415"/>
      <c r="EQ750" s="1415"/>
      <c r="ER750" s="1415"/>
      <c r="ES750" s="1415"/>
      <c r="ET750" s="1415">
        <f t="shared" si="29"/>
        <v>0</v>
      </c>
      <c r="EU750" s="1415"/>
      <c r="EV750" s="1415"/>
      <c r="EW750" s="1415"/>
      <c r="EX750" s="1415"/>
      <c r="EY750"/>
      <c r="EZ750" s="1452" t="str">
        <f t="shared" si="30"/>
        <v/>
      </c>
      <c r="FA750" s="1486"/>
      <c r="FB750" s="1486"/>
      <c r="FC750" s="1486"/>
      <c r="FD750" s="1453"/>
      <c r="FE750" s="1452" t="str">
        <f t="shared" si="31"/>
        <v/>
      </c>
      <c r="FF750" s="1486"/>
      <c r="FG750" s="1486"/>
      <c r="FH750" s="1486"/>
      <c r="FI750" s="1453"/>
      <c r="FJ750" s="1452" t="str">
        <f t="shared" si="32"/>
        <v/>
      </c>
      <c r="FK750" s="1486"/>
      <c r="FL750" s="1486"/>
      <c r="FM750" s="1486"/>
      <c r="FN750" s="1453"/>
      <c r="FO750" s="1452" t="str">
        <f t="shared" si="33"/>
        <v/>
      </c>
      <c r="FP750" s="1486"/>
      <c r="FQ750" s="1486"/>
      <c r="FR750" s="1486"/>
      <c r="FS750" s="1453"/>
      <c r="FT750" s="1452" t="str">
        <f t="shared" si="34"/>
        <v/>
      </c>
      <c r="FU750" s="1486"/>
      <c r="FV750" s="1486"/>
      <c r="FW750" s="1486"/>
      <c r="FX750" s="1453"/>
      <c r="FY750" s="1452" t="str">
        <f t="shared" si="35"/>
        <v/>
      </c>
      <c r="FZ750" s="1486"/>
      <c r="GA750" s="1486"/>
      <c r="GB750" s="1486"/>
      <c r="GC750" s="1453"/>
    </row>
    <row r="751" spans="1:185" s="3" customFormat="1" ht="12.95" customHeight="1">
      <c r="A751"/>
      <c r="B751" s="1354"/>
      <c r="C751" s="1355"/>
      <c r="D751" s="1355"/>
      <c r="E751" s="1355"/>
      <c r="F751" s="1356"/>
      <c r="G751" s="1351"/>
      <c r="H751" s="1352"/>
      <c r="I751" s="1352"/>
      <c r="J751" s="1353"/>
      <c r="K751" s="1336"/>
      <c r="L751" s="1337"/>
      <c r="M751" s="1337"/>
      <c r="N751" s="1338"/>
      <c r="O751" s="1379"/>
      <c r="P751" s="1380"/>
      <c r="Q751" s="1380"/>
      <c r="R751" s="1380"/>
      <c r="S751" s="1381"/>
      <c r="T751" s="1379"/>
      <c r="U751" s="1380"/>
      <c r="V751" s="1380"/>
      <c r="W751" s="1381"/>
      <c r="X751" s="1361">
        <f t="shared" si="39"/>
        <v>0</v>
      </c>
      <c r="Y751" s="1362"/>
      <c r="Z751" s="1362"/>
      <c r="AA751" s="1362"/>
      <c r="AB751" s="1363"/>
      <c r="AC751" s="1339"/>
      <c r="AD751" s="1340"/>
      <c r="AE751" s="1340"/>
      <c r="AF751" s="1340"/>
      <c r="AG751" s="1341"/>
      <c r="AH751" s="1448" t="str">
        <f t="shared" si="36"/>
        <v/>
      </c>
      <c r="AI751" s="1449"/>
      <c r="AJ751" s="1450"/>
      <c r="AK751" s="1354" t="s">
        <v>591</v>
      </c>
      <c r="AL751" s="1355"/>
      <c r="AM751" s="1355"/>
      <c r="AN751" s="1355"/>
      <c r="AO751" s="1356"/>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52">
        <f t="shared" si="37"/>
        <v>0</v>
      </c>
      <c r="CH751" s="1453"/>
      <c r="CI751" s="1476">
        <f t="shared" si="38"/>
        <v>0</v>
      </c>
      <c r="CJ751" s="1477"/>
      <c r="CK751" s="1452">
        <f t="shared" si="16"/>
        <v>0</v>
      </c>
      <c r="CL751" s="1453"/>
      <c r="CM751" s="1476">
        <f t="shared" si="17"/>
        <v>0</v>
      </c>
      <c r="CN751" s="1477"/>
      <c r="CP751" s="1416">
        <f t="shared" si="18"/>
        <v>0</v>
      </c>
      <c r="CQ751" s="1417"/>
      <c r="CR751" s="1417"/>
      <c r="CS751" s="1417"/>
      <c r="CT751" s="1418"/>
      <c r="CU751" s="1451">
        <f t="shared" si="19"/>
        <v>0</v>
      </c>
      <c r="CV751" s="1451"/>
      <c r="CW751" s="1451"/>
      <c r="CX751" s="1451"/>
      <c r="CY751" s="1451"/>
      <c r="CZ751" s="1451">
        <f t="shared" si="20"/>
        <v>0</v>
      </c>
      <c r="DA751" s="1451"/>
      <c r="DB751" s="1451"/>
      <c r="DC751" s="1451"/>
      <c r="DD751" s="1451"/>
      <c r="DE751" s="1451">
        <f t="shared" si="21"/>
        <v>0</v>
      </c>
      <c r="DF751" s="1451"/>
      <c r="DG751" s="1451"/>
      <c r="DH751" s="1451"/>
      <c r="DI751" s="1451"/>
      <c r="DJ751" s="1451">
        <f t="shared" si="22"/>
        <v>0</v>
      </c>
      <c r="DK751" s="1451"/>
      <c r="DL751" s="1451"/>
      <c r="DM751" s="1451"/>
      <c r="DN751" s="1451"/>
      <c r="DO751" s="1451">
        <f t="shared" si="23"/>
        <v>0</v>
      </c>
      <c r="DP751" s="1451"/>
      <c r="DQ751" s="1451"/>
      <c r="DR751" s="1451"/>
      <c r="DS751" s="1451"/>
      <c r="DT751" s="6"/>
      <c r="DU751" s="1415">
        <f t="shared" si="24"/>
        <v>0</v>
      </c>
      <c r="DV751" s="1415"/>
      <c r="DW751" s="1415"/>
      <c r="DX751" s="1415"/>
      <c r="DY751" s="1415"/>
      <c r="DZ751" s="1415">
        <f t="shared" si="25"/>
        <v>0</v>
      </c>
      <c r="EA751" s="1415"/>
      <c r="EB751" s="1415"/>
      <c r="EC751" s="1415"/>
      <c r="ED751" s="1415"/>
      <c r="EE751" s="1415">
        <f t="shared" si="26"/>
        <v>0</v>
      </c>
      <c r="EF751" s="1415"/>
      <c r="EG751" s="1415"/>
      <c r="EH751" s="1415"/>
      <c r="EI751" s="1415"/>
      <c r="EJ751" s="1415">
        <f t="shared" si="27"/>
        <v>0</v>
      </c>
      <c r="EK751" s="1415"/>
      <c r="EL751" s="1415"/>
      <c r="EM751" s="1415"/>
      <c r="EN751" s="1415"/>
      <c r="EO751" s="1415">
        <f t="shared" si="28"/>
        <v>0</v>
      </c>
      <c r="EP751" s="1415"/>
      <c r="EQ751" s="1415"/>
      <c r="ER751" s="1415"/>
      <c r="ES751" s="1415"/>
      <c r="ET751" s="1415">
        <f t="shared" si="29"/>
        <v>0</v>
      </c>
      <c r="EU751" s="1415"/>
      <c r="EV751" s="1415"/>
      <c r="EW751" s="1415"/>
      <c r="EX751" s="1415"/>
      <c r="EY751"/>
      <c r="EZ751" s="1452" t="str">
        <f t="shared" si="30"/>
        <v/>
      </c>
      <c r="FA751" s="1486"/>
      <c r="FB751" s="1486"/>
      <c r="FC751" s="1486"/>
      <c r="FD751" s="1453"/>
      <c r="FE751" s="1452" t="str">
        <f t="shared" si="31"/>
        <v/>
      </c>
      <c r="FF751" s="1486"/>
      <c r="FG751" s="1486"/>
      <c r="FH751" s="1486"/>
      <c r="FI751" s="1453"/>
      <c r="FJ751" s="1452" t="str">
        <f t="shared" si="32"/>
        <v/>
      </c>
      <c r="FK751" s="1486"/>
      <c r="FL751" s="1486"/>
      <c r="FM751" s="1486"/>
      <c r="FN751" s="1453"/>
      <c r="FO751" s="1452" t="str">
        <f t="shared" si="33"/>
        <v/>
      </c>
      <c r="FP751" s="1486"/>
      <c r="FQ751" s="1486"/>
      <c r="FR751" s="1486"/>
      <c r="FS751" s="1453"/>
      <c r="FT751" s="1452" t="str">
        <f t="shared" si="34"/>
        <v/>
      </c>
      <c r="FU751" s="1486"/>
      <c r="FV751" s="1486"/>
      <c r="FW751" s="1486"/>
      <c r="FX751" s="1453"/>
      <c r="FY751" s="1452" t="str">
        <f t="shared" si="35"/>
        <v/>
      </c>
      <c r="FZ751" s="1486"/>
      <c r="GA751" s="1486"/>
      <c r="GB751" s="1486"/>
      <c r="GC751" s="1453"/>
    </row>
    <row r="752" spans="1:185" s="3" customFormat="1" ht="12.95" customHeight="1">
      <c r="A752"/>
      <c r="B752" s="1354"/>
      <c r="C752" s="1355"/>
      <c r="D752" s="1355"/>
      <c r="E752" s="1355"/>
      <c r="F752" s="1356"/>
      <c r="G752" s="1351"/>
      <c r="H752" s="1352"/>
      <c r="I752" s="1352"/>
      <c r="J752" s="1353"/>
      <c r="K752" s="1336"/>
      <c r="L752" s="1337"/>
      <c r="M752" s="1337"/>
      <c r="N752" s="1338"/>
      <c r="O752" s="1379"/>
      <c r="P752" s="1380"/>
      <c r="Q752" s="1380"/>
      <c r="R752" s="1380"/>
      <c r="S752" s="1381"/>
      <c r="T752" s="1379"/>
      <c r="U752" s="1380"/>
      <c r="V752" s="1380"/>
      <c r="W752" s="1381"/>
      <c r="X752" s="1361">
        <f>O752+T752</f>
        <v>0</v>
      </c>
      <c r="Y752" s="1362"/>
      <c r="Z752" s="1362"/>
      <c r="AA752" s="1362"/>
      <c r="AB752" s="1363"/>
      <c r="AC752" s="1339"/>
      <c r="AD752" s="1340"/>
      <c r="AE752" s="1340"/>
      <c r="AF752" s="1340"/>
      <c r="AG752" s="1341"/>
      <c r="AH752" s="1448" t="str">
        <f t="shared" si="36"/>
        <v/>
      </c>
      <c r="AI752" s="1449"/>
      <c r="AJ752" s="1450"/>
      <c r="AK752" s="1354" t="s">
        <v>591</v>
      </c>
      <c r="AL752" s="1355"/>
      <c r="AM752" s="1355"/>
      <c r="AN752" s="1355"/>
      <c r="AO752" s="1356"/>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52">
        <f t="shared" si="37"/>
        <v>0</v>
      </c>
      <c r="CH752" s="1453"/>
      <c r="CI752" s="1476">
        <f t="shared" si="38"/>
        <v>0</v>
      </c>
      <c r="CJ752" s="1477"/>
      <c r="CK752" s="1452">
        <f t="shared" si="16"/>
        <v>0</v>
      </c>
      <c r="CL752" s="1453"/>
      <c r="CM752" s="1476">
        <f t="shared" si="17"/>
        <v>0</v>
      </c>
      <c r="CN752" s="1477"/>
      <c r="CP752" s="1416">
        <f t="shared" si="18"/>
        <v>0</v>
      </c>
      <c r="CQ752" s="1417"/>
      <c r="CR752" s="1417"/>
      <c r="CS752" s="1417"/>
      <c r="CT752" s="1418"/>
      <c r="CU752" s="1451">
        <f t="shared" si="19"/>
        <v>0</v>
      </c>
      <c r="CV752" s="1451"/>
      <c r="CW752" s="1451"/>
      <c r="CX752" s="1451"/>
      <c r="CY752" s="1451"/>
      <c r="CZ752" s="1451">
        <f t="shared" si="20"/>
        <v>0</v>
      </c>
      <c r="DA752" s="1451"/>
      <c r="DB752" s="1451"/>
      <c r="DC752" s="1451"/>
      <c r="DD752" s="1451"/>
      <c r="DE752" s="1451">
        <f t="shared" si="21"/>
        <v>0</v>
      </c>
      <c r="DF752" s="1451"/>
      <c r="DG752" s="1451"/>
      <c r="DH752" s="1451"/>
      <c r="DI752" s="1451"/>
      <c r="DJ752" s="1451">
        <f t="shared" si="22"/>
        <v>0</v>
      </c>
      <c r="DK752" s="1451"/>
      <c r="DL752" s="1451"/>
      <c r="DM752" s="1451"/>
      <c r="DN752" s="1451"/>
      <c r="DO752" s="1451">
        <f t="shared" si="23"/>
        <v>0</v>
      </c>
      <c r="DP752" s="1451"/>
      <c r="DQ752" s="1451"/>
      <c r="DR752" s="1451"/>
      <c r="DS752" s="1451"/>
      <c r="DT752" s="6"/>
      <c r="DU752" s="1415">
        <f t="shared" si="24"/>
        <v>0</v>
      </c>
      <c r="DV752" s="1415"/>
      <c r="DW752" s="1415"/>
      <c r="DX752" s="1415"/>
      <c r="DY752" s="1415"/>
      <c r="DZ752" s="1415">
        <f t="shared" si="25"/>
        <v>0</v>
      </c>
      <c r="EA752" s="1415"/>
      <c r="EB752" s="1415"/>
      <c r="EC752" s="1415"/>
      <c r="ED752" s="1415"/>
      <c r="EE752" s="1415">
        <f t="shared" si="26"/>
        <v>0</v>
      </c>
      <c r="EF752" s="1415"/>
      <c r="EG752" s="1415"/>
      <c r="EH752" s="1415"/>
      <c r="EI752" s="1415"/>
      <c r="EJ752" s="1415">
        <f t="shared" si="27"/>
        <v>0</v>
      </c>
      <c r="EK752" s="1415"/>
      <c r="EL752" s="1415"/>
      <c r="EM752" s="1415"/>
      <c r="EN752" s="1415"/>
      <c r="EO752" s="1415">
        <f t="shared" si="28"/>
        <v>0</v>
      </c>
      <c r="EP752" s="1415"/>
      <c r="EQ752" s="1415"/>
      <c r="ER752" s="1415"/>
      <c r="ES752" s="1415"/>
      <c r="ET752" s="1415">
        <f t="shared" si="29"/>
        <v>0</v>
      </c>
      <c r="EU752" s="1415"/>
      <c r="EV752" s="1415"/>
      <c r="EW752" s="1415"/>
      <c r="EX752" s="1415"/>
      <c r="EY752"/>
      <c r="EZ752" s="1452" t="str">
        <f t="shared" si="30"/>
        <v/>
      </c>
      <c r="FA752" s="1486"/>
      <c r="FB752" s="1486"/>
      <c r="FC752" s="1486"/>
      <c r="FD752" s="1453"/>
      <c r="FE752" s="1452" t="str">
        <f t="shared" si="31"/>
        <v/>
      </c>
      <c r="FF752" s="1486"/>
      <c r="FG752" s="1486"/>
      <c r="FH752" s="1486"/>
      <c r="FI752" s="1453"/>
      <c r="FJ752" s="1452" t="str">
        <f t="shared" si="32"/>
        <v/>
      </c>
      <c r="FK752" s="1486"/>
      <c r="FL752" s="1486"/>
      <c r="FM752" s="1486"/>
      <c r="FN752" s="1453"/>
      <c r="FO752" s="1452" t="str">
        <f t="shared" si="33"/>
        <v/>
      </c>
      <c r="FP752" s="1486"/>
      <c r="FQ752" s="1486"/>
      <c r="FR752" s="1486"/>
      <c r="FS752" s="1453"/>
      <c r="FT752" s="1452" t="str">
        <f t="shared" si="34"/>
        <v/>
      </c>
      <c r="FU752" s="1486"/>
      <c r="FV752" s="1486"/>
      <c r="FW752" s="1486"/>
      <c r="FX752" s="1453"/>
      <c r="FY752" s="1452" t="str">
        <f t="shared" si="35"/>
        <v/>
      </c>
      <c r="FZ752" s="1486"/>
      <c r="GA752" s="1486"/>
      <c r="GB752" s="1486"/>
      <c r="GC752" s="1453"/>
    </row>
    <row r="753" spans="1:185" s="3" customFormat="1" ht="12.95" customHeight="1">
      <c r="A753"/>
      <c r="B753" s="1458" t="s">
        <v>125</v>
      </c>
      <c r="C753" s="1459"/>
      <c r="D753" s="1459"/>
      <c r="E753" s="1459"/>
      <c r="F753" s="1460"/>
      <c r="G753" s="1632">
        <f>SUM(G718:G752)</f>
        <v>158</v>
      </c>
      <c r="H753" s="1633"/>
      <c r="I753" s="1633"/>
      <c r="J753" s="1634"/>
      <c r="K753" s="902" t="s">
        <v>124</v>
      </c>
      <c r="L753" s="5"/>
      <c r="M753" s="5"/>
      <c r="N753" s="46"/>
      <c r="O753" s="1361">
        <f>SUMPRODUCT(G718:G752,O718:O752)</f>
        <v>326340</v>
      </c>
      <c r="P753" s="1362"/>
      <c r="Q753" s="1362"/>
      <c r="R753" s="1362"/>
      <c r="S753" s="1363"/>
      <c r="T753"/>
      <c r="U753"/>
      <c r="V753"/>
      <c r="W753"/>
      <c r="X753" s="904" t="s">
        <v>900</v>
      </c>
      <c r="Y753" s="903"/>
      <c r="Z753" s="903"/>
      <c r="AA753" s="903"/>
      <c r="AB753" s="905"/>
      <c r="AC753" s="1616">
        <f>BH753</f>
        <v>0.6</v>
      </c>
      <c r="AD753" s="1617"/>
      <c r="AE753" s="1617"/>
      <c r="AF753" s="1617"/>
      <c r="AG753" s="1618"/>
      <c r="AH753" s="1616">
        <f>IFERROR(BU753,"")</f>
        <v>0.6000189862194919</v>
      </c>
      <c r="AI753" s="1617"/>
      <c r="AJ753" s="1618"/>
      <c r="AK753"/>
      <c r="AL753"/>
      <c r="AM753"/>
      <c r="AN753"/>
      <c r="AO753"/>
      <c r="AP753" s="205"/>
      <c r="AQ753" s="205"/>
      <c r="AR753" s="205"/>
      <c r="AS753" s="205"/>
      <c r="AT753"/>
      <c r="AU753"/>
      <c r="AV753"/>
      <c r="AW753"/>
      <c r="AX753"/>
      <c r="AY753"/>
      <c r="AZ753" s="34"/>
      <c r="BA753" s="34"/>
      <c r="BB753" s="34"/>
      <c r="BC753" s="34"/>
      <c r="BE753" s="290" t="s">
        <v>899</v>
      </c>
      <c r="BF753" s="299">
        <f>SUM(BF718:BF752)</f>
        <v>158</v>
      </c>
      <c r="BG753" s="300">
        <f>SUM(BG718:BG752)</f>
        <v>1</v>
      </c>
      <c r="BH753" s="300">
        <f>SUM(BH718:BH752)</f>
        <v>0.6</v>
      </c>
      <c r="BI753"/>
      <c r="BJ753"/>
      <c r="BK753"/>
      <c r="BL753"/>
      <c r="BO753"/>
      <c r="BP753"/>
      <c r="BQ753"/>
      <c r="BR753"/>
      <c r="BS753" s="859">
        <f>SUM(BS718:BS752)</f>
        <v>158</v>
      </c>
      <c r="BT753" s="300">
        <f>SUM(BT718:BT752)</f>
        <v>1</v>
      </c>
      <c r="BU753" s="300">
        <f>SUM(BU718:BU752)</f>
        <v>0.6000189862194919</v>
      </c>
      <c r="CI753" s="1452">
        <f>SUM(CI718:CJ752)</f>
        <v>0</v>
      </c>
      <c r="CJ753" s="1453"/>
      <c r="CM753" s="1452">
        <f>SUM(CM718:CN752)</f>
        <v>35</v>
      </c>
      <c r="CN753" s="1453"/>
      <c r="CP753" s="1452">
        <f>SUM(CP718:CT752)</f>
        <v>0</v>
      </c>
      <c r="CQ753" s="1486"/>
      <c r="CR753" s="1486"/>
      <c r="CS753" s="1486"/>
      <c r="CT753" s="1453"/>
      <c r="CU753" s="1475">
        <f>SUM(CU718:CY752)</f>
        <v>31</v>
      </c>
      <c r="CV753" s="1475"/>
      <c r="CW753" s="1475"/>
      <c r="CX753" s="1475"/>
      <c r="CY753" s="1475"/>
      <c r="CZ753" s="1475">
        <f>SUM(CZ718:DD752)</f>
        <v>80</v>
      </c>
      <c r="DA753" s="1475"/>
      <c r="DB753" s="1475"/>
      <c r="DC753" s="1475"/>
      <c r="DD753" s="1475"/>
      <c r="DE753" s="1475">
        <f>SUM(DE718:DI752)</f>
        <v>47</v>
      </c>
      <c r="DF753" s="1475"/>
      <c r="DG753" s="1475"/>
      <c r="DH753" s="1475"/>
      <c r="DI753" s="1475"/>
      <c r="DJ753" s="1475">
        <f>SUM(DJ718:DN752)</f>
        <v>0</v>
      </c>
      <c r="DK753" s="1475"/>
      <c r="DL753" s="1475"/>
      <c r="DM753" s="1475"/>
      <c r="DN753" s="1475"/>
      <c r="DO753" s="1475">
        <f>SUM(DO718:DS752)</f>
        <v>0</v>
      </c>
      <c r="DP753" s="1475"/>
      <c r="DQ753" s="1475"/>
      <c r="DR753" s="1475"/>
      <c r="DS753" s="1475"/>
      <c r="DT753" s="354"/>
      <c r="DU753" s="1475">
        <f>SUM(DU718:DY752)</f>
        <v>0</v>
      </c>
      <c r="DV753" s="1475"/>
      <c r="DW753" s="1475"/>
      <c r="DX753" s="1475"/>
      <c r="DY753" s="1475"/>
      <c r="DZ753" s="1475">
        <f>SUM(DZ718:ED752)</f>
        <v>20</v>
      </c>
      <c r="EA753" s="1475"/>
      <c r="EB753" s="1475"/>
      <c r="EC753" s="1475"/>
      <c r="ED753" s="1475"/>
      <c r="EE753" s="1475">
        <f>SUM(EE718:EI752)</f>
        <v>15</v>
      </c>
      <c r="EF753" s="1475"/>
      <c r="EG753" s="1475"/>
      <c r="EH753" s="1475"/>
      <c r="EI753" s="1475"/>
      <c r="EJ753" s="1475">
        <f>SUM(EJ718:EN752)</f>
        <v>0</v>
      </c>
      <c r="EK753" s="1475"/>
      <c r="EL753" s="1475"/>
      <c r="EM753" s="1475"/>
      <c r="EN753" s="1475"/>
      <c r="EO753" s="1475">
        <f>SUM(EO718:ES752)</f>
        <v>0</v>
      </c>
      <c r="EP753" s="1475"/>
      <c r="EQ753" s="1475"/>
      <c r="ER753" s="1475"/>
      <c r="ES753" s="1475"/>
      <c r="ET753" s="1475">
        <f>SUM(ET718:EX752)</f>
        <v>0</v>
      </c>
      <c r="EU753" s="1475"/>
      <c r="EV753" s="1475"/>
      <c r="EW753" s="1475"/>
      <c r="EX753" s="1475"/>
      <c r="EY753"/>
      <c r="EZ753" s="1475">
        <f>SUM(EZ718:FD752)</f>
        <v>0</v>
      </c>
      <c r="FA753" s="1475"/>
      <c r="FB753" s="1475"/>
      <c r="FC753" s="1475"/>
      <c r="FD753" s="1475"/>
      <c r="FE753" s="1475">
        <f>SUM(FE718:FI752)</f>
        <v>2779</v>
      </c>
      <c r="FF753" s="1475"/>
      <c r="FG753" s="1475"/>
      <c r="FH753" s="1475"/>
      <c r="FI753" s="1475"/>
      <c r="FJ753" s="1475">
        <f>SUM(FJ718:FN752)</f>
        <v>5334</v>
      </c>
      <c r="FK753" s="1475"/>
      <c r="FL753" s="1475"/>
      <c r="FM753" s="1475"/>
      <c r="FN753" s="1475"/>
      <c r="FO753" s="1475">
        <f>SUM(FO718:FS752)</f>
        <v>2708</v>
      </c>
      <c r="FP753" s="1475"/>
      <c r="FQ753" s="1475"/>
      <c r="FR753" s="1475"/>
      <c r="FS753" s="1475"/>
      <c r="FT753" s="1475">
        <f>SUM(FT718:FX752)</f>
        <v>0</v>
      </c>
      <c r="FU753" s="1475"/>
      <c r="FV753" s="1475"/>
      <c r="FW753" s="1475"/>
      <c r="FX753" s="1475"/>
      <c r="FY753" s="1475">
        <f>SUM(FY718:GC752)</f>
        <v>0</v>
      </c>
      <c r="FZ753" s="1475"/>
      <c r="GA753" s="1475"/>
      <c r="GB753" s="1475"/>
      <c r="GC753" s="1475"/>
    </row>
    <row r="754" spans="1:185" s="3" customFormat="1" ht="12.95" customHeight="1">
      <c r="A754"/>
      <c r="B754" s="1627" t="s">
        <v>1893</v>
      </c>
      <c r="C754" s="1627"/>
      <c r="D754" s="1627"/>
      <c r="E754" s="1627"/>
      <c r="F754" s="1627"/>
      <c r="G754" s="1627"/>
      <c r="H754" s="1627"/>
      <c r="I754" s="1627"/>
      <c r="J754" s="1627"/>
      <c r="K754" s="1627"/>
      <c r="L754" s="1627"/>
      <c r="M754" s="1627"/>
      <c r="N754" s="1627"/>
      <c r="O754" s="1627"/>
      <c r="P754" s="1627"/>
      <c r="Q754" s="1627"/>
      <c r="R754" s="1627"/>
      <c r="S754" s="1627"/>
      <c r="T754" s="1627"/>
      <c r="U754" s="1627"/>
      <c r="V754" s="1627"/>
      <c r="W754" s="1627"/>
      <c r="X754" s="1627"/>
      <c r="Y754" s="1627"/>
      <c r="Z754" s="1627"/>
      <c r="AA754" s="1627"/>
      <c r="AB754" s="1627"/>
      <c r="AC754" s="1627"/>
      <c r="AD754" s="1627"/>
      <c r="AE754" s="1627"/>
      <c r="AF754" s="1627"/>
      <c r="AG754" s="1627"/>
      <c r="AH754" s="1627"/>
      <c r="AI754"/>
      <c r="AJ754"/>
      <c r="AK754"/>
      <c r="AT754"/>
      <c r="AU754"/>
      <c r="AV754"/>
      <c r="AW754"/>
      <c r="AX754"/>
      <c r="AY754"/>
      <c r="CD754"/>
      <c r="DN754" s="56" t="s">
        <v>1860</v>
      </c>
      <c r="DO754" s="1452">
        <f>CP753+CU753+CZ753+DE753+DJ753+DO753</f>
        <v>158</v>
      </c>
      <c r="DP754" s="1486"/>
      <c r="DQ754" s="1486"/>
      <c r="DR754" s="1486"/>
      <c r="DS754" s="14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7"/>
      <c r="C755" s="1627"/>
      <c r="D755" s="1627"/>
      <c r="E755" s="1627"/>
      <c r="F755" s="1627"/>
      <c r="G755" s="1627"/>
      <c r="H755" s="1627"/>
      <c r="I755" s="1627"/>
      <c r="J755" s="1627"/>
      <c r="K755" s="1627"/>
      <c r="L755" s="1627"/>
      <c r="M755" s="1627"/>
      <c r="N755" s="1627"/>
      <c r="O755" s="1627"/>
      <c r="P755" s="1627"/>
      <c r="Q755" s="1627"/>
      <c r="R755" s="1627"/>
      <c r="S755" s="1627"/>
      <c r="T755" s="1627"/>
      <c r="U755" s="1627"/>
      <c r="V755" s="1627"/>
      <c r="W755" s="1627"/>
      <c r="X755" s="1627"/>
      <c r="Y755" s="1627"/>
      <c r="Z755" s="1627"/>
      <c r="AA755" s="1627"/>
      <c r="AB755" s="1627"/>
      <c r="AC755" s="1627"/>
      <c r="AD755" s="1627"/>
      <c r="AE755" s="1627"/>
      <c r="AF755" s="1627"/>
      <c r="AG755" s="1627"/>
      <c r="AH755" s="16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31</v>
      </c>
      <c r="CZ755" s="3"/>
      <c r="DA755" s="3"/>
      <c r="DB755" s="3"/>
      <c r="DC755" s="3"/>
      <c r="DD755" s="861">
        <f>CZ753*2</f>
        <v>160</v>
      </c>
      <c r="DE755" s="3"/>
      <c r="DF755" s="3"/>
      <c r="DG755" s="3"/>
      <c r="DH755" s="3"/>
      <c r="DI755" s="861">
        <f>DE753*3</f>
        <v>141</v>
      </c>
      <c r="DJ755" s="3"/>
      <c r="DK755" s="3"/>
      <c r="DL755" s="3"/>
      <c r="DM755" s="3"/>
      <c r="DN755" s="861">
        <f>DJ753*4</f>
        <v>0</v>
      </c>
      <c r="DO755" s="3"/>
      <c r="DP755" s="3"/>
      <c r="DQ755" s="3"/>
      <c r="DR755" s="3"/>
      <c r="DS755" s="861">
        <f>DO753*5</f>
        <v>0</v>
      </c>
      <c r="DU755" s="861">
        <f>CT755+CY755+DD755+DI755+DN755+DS755</f>
        <v>332</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75">
        <f>DU755</f>
        <v>332</v>
      </c>
      <c r="P756" s="1475"/>
      <c r="Q756" s="1475"/>
      <c r="R756" s="1475"/>
      <c r="S756" s="969"/>
      <c r="T756" s="969"/>
      <c r="U756" s="118" t="s">
        <v>1892</v>
      </c>
      <c r="V756" s="1032"/>
      <c r="W756" s="1032"/>
      <c r="X756" s="1032"/>
      <c r="Y756" s="1033"/>
      <c r="Z756" s="1033"/>
      <c r="AA756" s="1033"/>
      <c r="AB756" s="1033"/>
      <c r="AC756" s="1032"/>
      <c r="AD756" s="1032"/>
      <c r="AE756" s="1032"/>
      <c r="AF756" s="1032"/>
      <c r="AG756" s="1640"/>
      <c r="AH756" s="1640"/>
      <c r="AI756" s="1640"/>
      <c r="AJ756" s="164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78" t="str">
        <f>IF(G753&lt;&gt;AG440,"! Total Low-Income Units in the Unit Mix Table above does not match the number of Total Low-Income Units on row #"&amp;TEXT(ROW(D440),"#"),"")</f>
        <v/>
      </c>
      <c r="D757" s="1378"/>
      <c r="E757" s="1378"/>
      <c r="F757" s="1378"/>
      <c r="G757" s="1378"/>
      <c r="H757" s="1378"/>
      <c r="I757" s="1378"/>
      <c r="J757" s="1378"/>
      <c r="K757" s="1378"/>
      <c r="L757" s="1378"/>
      <c r="M757" s="1378"/>
      <c r="N757" s="1378"/>
      <c r="O757" s="1378"/>
      <c r="P757" s="1378"/>
      <c r="Q757" s="1378"/>
      <c r="R757" s="1378"/>
      <c r="S757" s="1378"/>
      <c r="T757" s="1378"/>
      <c r="U757" s="1378"/>
      <c r="V757" s="1378"/>
      <c r="W757" s="1378"/>
      <c r="X757" s="1378"/>
      <c r="Y757" s="1378"/>
      <c r="Z757" s="1378"/>
      <c r="AA757" s="1378"/>
      <c r="AB757" s="1378"/>
      <c r="AC757" s="1378"/>
      <c r="AD757" s="1378"/>
      <c r="AE757" s="1378"/>
      <c r="AF757" s="1378"/>
      <c r="AG757" s="1378"/>
      <c r="AH757" s="1378"/>
      <c r="AI757" s="1378"/>
      <c r="AJ757" s="1378"/>
      <c r="AK757" s="1378"/>
      <c r="AL757" s="1378"/>
      <c r="AM757" s="137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78"/>
      <c r="D758" s="1378"/>
      <c r="E758" s="1378"/>
      <c r="F758" s="1378"/>
      <c r="G758" s="1378"/>
      <c r="H758" s="1378"/>
      <c r="I758" s="1378"/>
      <c r="J758" s="1378"/>
      <c r="K758" s="1378"/>
      <c r="L758" s="1378"/>
      <c r="M758" s="1378"/>
      <c r="N758" s="1378"/>
      <c r="O758" s="1378"/>
      <c r="P758" s="1378"/>
      <c r="Q758" s="1378"/>
      <c r="R758" s="1378"/>
      <c r="S758" s="1378"/>
      <c r="T758" s="1378"/>
      <c r="U758" s="1378"/>
      <c r="V758" s="1378"/>
      <c r="W758" s="1378"/>
      <c r="X758" s="1378"/>
      <c r="Y758" s="1378"/>
      <c r="Z758" s="1378"/>
      <c r="AA758" s="1378"/>
      <c r="AB758" s="1378"/>
      <c r="AC758" s="1378"/>
      <c r="AD758" s="1378"/>
      <c r="AE758" s="1378"/>
      <c r="AF758" s="1378"/>
      <c r="AG758" s="1378"/>
      <c r="AH758" s="1378"/>
      <c r="AI758" s="1378"/>
      <c r="AJ758" s="1378"/>
      <c r="AK758" s="1378"/>
      <c r="AL758" s="1378"/>
      <c r="AM758" s="137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35" t="s">
        <v>591</v>
      </c>
      <c r="AE759" s="1635"/>
      <c r="AF759" s="163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42" t="s">
        <v>388</v>
      </c>
      <c r="K769" s="1343"/>
      <c r="L769" s="1343"/>
      <c r="M769" s="1343"/>
      <c r="N769" s="1344"/>
      <c r="O769" s="1626" t="s">
        <v>284</v>
      </c>
      <c r="P769" s="1626"/>
      <c r="Q769" s="1626"/>
      <c r="R769" s="1626"/>
      <c r="S769" s="1626"/>
      <c r="T769" s="1716" t="s">
        <v>1679</v>
      </c>
      <c r="U769" s="1717"/>
      <c r="V769" s="1717"/>
      <c r="W769" s="1718"/>
      <c r="X769" s="1342" t="s">
        <v>447</v>
      </c>
      <c r="Y769" s="1343"/>
      <c r="Z769" s="1343"/>
      <c r="AA769" s="1343"/>
      <c r="AB769" s="1344"/>
      <c r="AC769" s="1342" t="s">
        <v>285</v>
      </c>
      <c r="AD769" s="1343"/>
      <c r="AE769" s="1343"/>
      <c r="AF769" s="1343"/>
      <c r="AG769" s="134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45"/>
      <c r="K770" s="1346"/>
      <c r="L770" s="1346"/>
      <c r="M770" s="1346"/>
      <c r="N770" s="1347"/>
      <c r="O770" s="1626"/>
      <c r="P770" s="1626"/>
      <c r="Q770" s="1626"/>
      <c r="R770" s="1626"/>
      <c r="S770" s="1626"/>
      <c r="T770" s="1719"/>
      <c r="U770" s="1720"/>
      <c r="V770" s="1720"/>
      <c r="W770" s="1721"/>
      <c r="X770" s="1345"/>
      <c r="Y770" s="1346"/>
      <c r="Z770" s="1346"/>
      <c r="AA770" s="1346"/>
      <c r="AB770" s="1347"/>
      <c r="AC770" s="1345"/>
      <c r="AD770" s="1346"/>
      <c r="AE770" s="1346"/>
      <c r="AF770" s="1346"/>
      <c r="AG770" s="134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45"/>
      <c r="K771" s="1346"/>
      <c r="L771" s="1346"/>
      <c r="M771" s="1346"/>
      <c r="N771" s="1347"/>
      <c r="O771" s="1626"/>
      <c r="P771" s="1626"/>
      <c r="Q771" s="1626"/>
      <c r="R771" s="1626"/>
      <c r="S771" s="1626"/>
      <c r="T771" s="1719"/>
      <c r="U771" s="1720"/>
      <c r="V771" s="1720"/>
      <c r="W771" s="1721"/>
      <c r="X771" s="1345"/>
      <c r="Y771" s="1346"/>
      <c r="Z771" s="1346"/>
      <c r="AA771" s="1346"/>
      <c r="AB771" s="1347"/>
      <c r="AC771" s="1345"/>
      <c r="AD771" s="1346"/>
      <c r="AE771" s="1346"/>
      <c r="AF771" s="1346"/>
      <c r="AG771" s="134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48"/>
      <c r="K772" s="1349"/>
      <c r="L772" s="1349"/>
      <c r="M772" s="1349"/>
      <c r="N772" s="1350"/>
      <c r="O772" s="1626"/>
      <c r="P772" s="1626"/>
      <c r="Q772" s="1626"/>
      <c r="R772" s="1626"/>
      <c r="S772" s="1626"/>
      <c r="T772" s="1733"/>
      <c r="U772" s="1734"/>
      <c r="V772" s="1734"/>
      <c r="W772" s="1735"/>
      <c r="X772" s="1348"/>
      <c r="Y772" s="1349"/>
      <c r="Z772" s="1349"/>
      <c r="AA772" s="1349"/>
      <c r="AB772" s="1350"/>
      <c r="AC772" s="1348"/>
      <c r="AD772" s="1349"/>
      <c r="AE772" s="1349"/>
      <c r="AF772" s="1349"/>
      <c r="AG772" s="135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4" t="s">
        <v>163</v>
      </c>
      <c r="K773" s="1355"/>
      <c r="L773" s="1355"/>
      <c r="M773" s="1355"/>
      <c r="N773" s="1356"/>
      <c r="O773" s="1625">
        <v>2</v>
      </c>
      <c r="P773" s="1625"/>
      <c r="Q773" s="1625"/>
      <c r="R773" s="1625"/>
      <c r="S773" s="1625"/>
      <c r="T773" s="1336">
        <v>772</v>
      </c>
      <c r="U773" s="1337"/>
      <c r="V773" s="1337"/>
      <c r="W773" s="1338"/>
      <c r="X773" s="1379"/>
      <c r="Y773" s="1380"/>
      <c r="Z773" s="1380"/>
      <c r="AA773" s="1380"/>
      <c r="AB773" s="1381"/>
      <c r="AC773" s="1361">
        <f>X773*O773</f>
        <v>0</v>
      </c>
      <c r="AD773" s="1362"/>
      <c r="AE773" s="1362"/>
      <c r="AF773" s="1362"/>
      <c r="AG773" s="136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51">
        <f>IF(J773="1 Bedroom",O773,0)</f>
        <v>0</v>
      </c>
      <c r="CV773" s="1451"/>
      <c r="CW773" s="1451"/>
      <c r="CX773" s="1451"/>
      <c r="CY773" s="1451"/>
      <c r="CZ773" s="1451">
        <f>IF(J773="2 Bedrooms",O773,0)</f>
        <v>2</v>
      </c>
      <c r="DA773" s="1451"/>
      <c r="DB773" s="1451"/>
      <c r="DC773" s="1451"/>
      <c r="DD773" s="1451"/>
      <c r="DE773" s="1451">
        <f>IF(J773="3 Bedrooms",O773,0)</f>
        <v>0</v>
      </c>
      <c r="DF773" s="1451"/>
      <c r="DG773" s="1451"/>
      <c r="DH773" s="1451"/>
      <c r="DI773" s="1451"/>
      <c r="DJ773" s="1451">
        <f>IF(J773="4 Bedrooms",O773,0)</f>
        <v>0</v>
      </c>
      <c r="DK773" s="1451"/>
      <c r="DL773" s="1451"/>
      <c r="DM773" s="1451"/>
      <c r="DN773" s="1451"/>
      <c r="DO773" s="1451">
        <f>IF(J773="5 Bedrooms",O773,0)</f>
        <v>0</v>
      </c>
      <c r="DP773" s="1451"/>
      <c r="DQ773" s="1451"/>
      <c r="DR773" s="1451"/>
      <c r="DS773" s="1451"/>
      <c r="DT773" s="6"/>
      <c r="DU773" s="3"/>
      <c r="DV773" s="3"/>
    </row>
    <row r="774" spans="1:126" ht="12.95" customHeight="1">
      <c r="J774" s="1354"/>
      <c r="K774" s="1355"/>
      <c r="L774" s="1355"/>
      <c r="M774" s="1355"/>
      <c r="N774" s="1356"/>
      <c r="O774" s="1625"/>
      <c r="P774" s="1625"/>
      <c r="Q774" s="1625"/>
      <c r="R774" s="1625"/>
      <c r="S774" s="1625"/>
      <c r="T774" s="1336"/>
      <c r="U774" s="1337"/>
      <c r="V774" s="1337"/>
      <c r="W774" s="1338"/>
      <c r="X774" s="1379"/>
      <c r="Y774" s="1380"/>
      <c r="Z774" s="1380"/>
      <c r="AA774" s="1380"/>
      <c r="AB774" s="1381"/>
      <c r="AC774" s="1361">
        <f>X774*O774</f>
        <v>0</v>
      </c>
      <c r="AD774" s="1362"/>
      <c r="AE774" s="1362"/>
      <c r="AF774" s="1362"/>
      <c r="AG774" s="136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51">
        <f>IF(J774="1 Bedroom",O774,0)</f>
        <v>0</v>
      </c>
      <c r="CV774" s="1451"/>
      <c r="CW774" s="1451"/>
      <c r="CX774" s="1451"/>
      <c r="CY774" s="1451"/>
      <c r="CZ774" s="1451">
        <f>IF(J774="2 Bedrooms",O774,0)</f>
        <v>0</v>
      </c>
      <c r="DA774" s="1451"/>
      <c r="DB774" s="1451"/>
      <c r="DC774" s="1451"/>
      <c r="DD774" s="1451"/>
      <c r="DE774" s="1451">
        <f>IF(J774="3 Bedrooms",O774,0)</f>
        <v>0</v>
      </c>
      <c r="DF774" s="1451"/>
      <c r="DG774" s="1451"/>
      <c r="DH774" s="1451"/>
      <c r="DI774" s="1451"/>
      <c r="DJ774" s="1451">
        <f>IF(J774="4 Bedrooms",O774,0)</f>
        <v>0</v>
      </c>
      <c r="DK774" s="1451"/>
      <c r="DL774" s="1451"/>
      <c r="DM774" s="1451"/>
      <c r="DN774" s="1451"/>
      <c r="DO774" s="1451">
        <f>IF(J774="5 Bedrooms",O774,0)</f>
        <v>0</v>
      </c>
      <c r="DP774" s="1451"/>
      <c r="DQ774" s="1451"/>
      <c r="DR774" s="1451"/>
      <c r="DS774" s="1451"/>
      <c r="DT774" s="6"/>
      <c r="DU774" s="3"/>
      <c r="DV774" s="3"/>
    </row>
    <row r="775" spans="1:126" ht="12.95" customHeight="1">
      <c r="J775" s="1354"/>
      <c r="K775" s="1355"/>
      <c r="L775" s="1355"/>
      <c r="M775" s="1355"/>
      <c r="N775" s="1356"/>
      <c r="O775" s="1625"/>
      <c r="P775" s="1625"/>
      <c r="Q775" s="1625"/>
      <c r="R775" s="1625"/>
      <c r="S775" s="1625"/>
      <c r="T775" s="1336"/>
      <c r="U775" s="1337"/>
      <c r="V775" s="1337"/>
      <c r="W775" s="1338"/>
      <c r="X775" s="1379"/>
      <c r="Y775" s="1380"/>
      <c r="Z775" s="1380"/>
      <c r="AA775" s="1380"/>
      <c r="AB775" s="1381"/>
      <c r="AC775" s="1361">
        <f>X775*O775</f>
        <v>0</v>
      </c>
      <c r="AD775" s="1362"/>
      <c r="AE775" s="1362"/>
      <c r="AF775" s="1362"/>
      <c r="AG775" s="136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51">
        <f>IF(J775="1 Bedroom",O775,0)</f>
        <v>0</v>
      </c>
      <c r="CV775" s="1451"/>
      <c r="CW775" s="1451"/>
      <c r="CX775" s="1451"/>
      <c r="CY775" s="1451"/>
      <c r="CZ775" s="1451">
        <f>IF(J775="2 Bedrooms",O775,0)</f>
        <v>0</v>
      </c>
      <c r="DA775" s="1451"/>
      <c r="DB775" s="1451"/>
      <c r="DC775" s="1451"/>
      <c r="DD775" s="1451"/>
      <c r="DE775" s="1451">
        <f>IF(J775="3 Bedrooms",O775,0)</f>
        <v>0</v>
      </c>
      <c r="DF775" s="1451"/>
      <c r="DG775" s="1451"/>
      <c r="DH775" s="1451"/>
      <c r="DI775" s="1451"/>
      <c r="DJ775" s="1451">
        <f>IF(J775="4 Bedrooms",O775,0)</f>
        <v>0</v>
      </c>
      <c r="DK775" s="1451"/>
      <c r="DL775" s="1451"/>
      <c r="DM775" s="1451"/>
      <c r="DN775" s="1451"/>
      <c r="DO775" s="1451">
        <f>IF(J775="5 Bedrooms",O775,0)</f>
        <v>0</v>
      </c>
      <c r="DP775" s="1451"/>
      <c r="DQ775" s="1451"/>
      <c r="DR775" s="1451"/>
      <c r="DS775" s="1451"/>
      <c r="DT775" s="1012"/>
    </row>
    <row r="776" spans="1:126" ht="12.95" customHeight="1">
      <c r="J776" s="1354"/>
      <c r="K776" s="1355"/>
      <c r="L776" s="1355"/>
      <c r="M776" s="1355"/>
      <c r="N776" s="1356"/>
      <c r="O776" s="1625"/>
      <c r="P776" s="1625"/>
      <c r="Q776" s="1625"/>
      <c r="R776" s="1625"/>
      <c r="S776" s="1625"/>
      <c r="T776" s="1336"/>
      <c r="U776" s="1337"/>
      <c r="V776" s="1337"/>
      <c r="W776" s="1338"/>
      <c r="X776" s="1379"/>
      <c r="Y776" s="1380"/>
      <c r="Z776" s="1380"/>
      <c r="AA776" s="1380"/>
      <c r="AB776" s="1381"/>
      <c r="AC776" s="1361">
        <f>X776*O776</f>
        <v>0</v>
      </c>
      <c r="AD776" s="1362"/>
      <c r="AE776" s="1362"/>
      <c r="AF776" s="1362"/>
      <c r="AG776" s="136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51">
        <f>IF(J776="1 Bedroom",O776,0)</f>
        <v>0</v>
      </c>
      <c r="CV776" s="1451"/>
      <c r="CW776" s="1451"/>
      <c r="CX776" s="1451"/>
      <c r="CY776" s="1451"/>
      <c r="CZ776" s="1451">
        <f>IF(J776="2 Bedrooms",O776,0)</f>
        <v>0</v>
      </c>
      <c r="DA776" s="1451"/>
      <c r="DB776" s="1451"/>
      <c r="DC776" s="1451"/>
      <c r="DD776" s="1451"/>
      <c r="DE776" s="1451">
        <f>IF(J776="3 Bedrooms",O776,0)</f>
        <v>0</v>
      </c>
      <c r="DF776" s="1451"/>
      <c r="DG776" s="1451"/>
      <c r="DH776" s="1451"/>
      <c r="DI776" s="1451"/>
      <c r="DJ776" s="1451">
        <f>IF(J776="4 Bedrooms",O776,0)</f>
        <v>0</v>
      </c>
      <c r="DK776" s="1451"/>
      <c r="DL776" s="1451"/>
      <c r="DM776" s="1451"/>
      <c r="DN776" s="1451"/>
      <c r="DO776" s="1451">
        <f>IF(J776="5 Bedrooms",O776,0)</f>
        <v>0</v>
      </c>
      <c r="DP776" s="1451"/>
      <c r="DQ776" s="1451"/>
      <c r="DR776" s="1451"/>
      <c r="DS776" s="1451"/>
    </row>
    <row r="777" spans="1:126" ht="12.95" customHeight="1">
      <c r="J777" s="1458" t="s">
        <v>125</v>
      </c>
      <c r="K777" s="1459"/>
      <c r="L777" s="1459"/>
      <c r="M777" s="1459"/>
      <c r="N777" s="1460"/>
      <c r="O777" s="1476">
        <f>SUM(O773:S776)</f>
        <v>2</v>
      </c>
      <c r="P777" s="1479"/>
      <c r="Q777" s="1479"/>
      <c r="R777" s="1479"/>
      <c r="S777" s="1477"/>
      <c r="X777" s="1458" t="s">
        <v>124</v>
      </c>
      <c r="Y777" s="1459"/>
      <c r="Z777" s="1459"/>
      <c r="AA777" s="1459"/>
      <c r="AB777" s="1460"/>
      <c r="AC777" s="1361">
        <f>SUM(AC773:AG776)</f>
        <v>0</v>
      </c>
      <c r="AD777" s="1362"/>
      <c r="AE777" s="1362"/>
      <c r="AF777" s="1362"/>
      <c r="AG777" s="136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6">
        <f>SUM(CP773:CT776)</f>
        <v>0</v>
      </c>
      <c r="CQ777" s="1479"/>
      <c r="CR777" s="1479"/>
      <c r="CS777" s="1479"/>
      <c r="CT777" s="1477"/>
      <c r="CU777" s="1480">
        <f>SUM(CU773:CY776)</f>
        <v>0</v>
      </c>
      <c r="CV777" s="1481"/>
      <c r="CW777" s="1481"/>
      <c r="CX777" s="1481"/>
      <c r="CY777" s="1482"/>
      <c r="CZ777" s="1480">
        <f>SUM(CZ773:DD776)</f>
        <v>2</v>
      </c>
      <c r="DA777" s="1481"/>
      <c r="DB777" s="1481"/>
      <c r="DC777" s="1481"/>
      <c r="DD777" s="1482"/>
      <c r="DE777" s="1480">
        <f>SUM(DE773:DI776)</f>
        <v>0</v>
      </c>
      <c r="DF777" s="1481"/>
      <c r="DG777" s="1481"/>
      <c r="DH777" s="1481"/>
      <c r="DI777" s="1482"/>
      <c r="DJ777" s="1480">
        <f>SUM(DJ773:DN776)</f>
        <v>0</v>
      </c>
      <c r="DK777" s="1481"/>
      <c r="DL777" s="1481"/>
      <c r="DM777" s="1481"/>
      <c r="DN777" s="1482"/>
      <c r="DO777" s="1480">
        <f>SUM(DO773:DS776)</f>
        <v>0</v>
      </c>
      <c r="DP777" s="1481"/>
      <c r="DQ777" s="1481"/>
      <c r="DR777" s="1481"/>
      <c r="DS777" s="1482"/>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441" t="s">
        <v>669</v>
      </c>
      <c r="K779" s="144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42" t="s">
        <v>388</v>
      </c>
      <c r="K783" s="1343"/>
      <c r="L783" s="1343"/>
      <c r="M783" s="1343"/>
      <c r="N783" s="1344"/>
      <c r="O783" s="1626" t="s">
        <v>284</v>
      </c>
      <c r="P783" s="1626"/>
      <c r="Q783" s="1626"/>
      <c r="R783" s="1626"/>
      <c r="S783" s="1626"/>
      <c r="T783" s="1716" t="s">
        <v>1679</v>
      </c>
      <c r="U783" s="1717"/>
      <c r="V783" s="1717"/>
      <c r="W783" s="1718"/>
      <c r="X783" s="1342" t="s">
        <v>447</v>
      </c>
      <c r="Y783" s="1343"/>
      <c r="Z783" s="1343"/>
      <c r="AA783" s="1343"/>
      <c r="AB783" s="1344"/>
      <c r="AC783" s="1342" t="s">
        <v>285</v>
      </c>
      <c r="AD783" s="1343"/>
      <c r="AE783" s="1343"/>
      <c r="AF783" s="1343"/>
      <c r="AG783" s="134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45"/>
      <c r="K784" s="1346"/>
      <c r="L784" s="1346"/>
      <c r="M784" s="1346"/>
      <c r="N784" s="1347"/>
      <c r="O784" s="1626"/>
      <c r="P784" s="1626"/>
      <c r="Q784" s="1626"/>
      <c r="R784" s="1626"/>
      <c r="S784" s="1626"/>
      <c r="T784" s="1719"/>
      <c r="U784" s="1720"/>
      <c r="V784" s="1720"/>
      <c r="W784" s="1721"/>
      <c r="X784" s="1345"/>
      <c r="Y784" s="1346"/>
      <c r="Z784" s="1346"/>
      <c r="AA784" s="1346"/>
      <c r="AB784" s="1347"/>
      <c r="AC784" s="1345"/>
      <c r="AD784" s="1346"/>
      <c r="AE784" s="1346"/>
      <c r="AF784" s="1346"/>
      <c r="AG784" s="134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45"/>
      <c r="K785" s="1346"/>
      <c r="L785" s="1346"/>
      <c r="M785" s="1346"/>
      <c r="N785" s="1347"/>
      <c r="O785" s="1626"/>
      <c r="P785" s="1626"/>
      <c r="Q785" s="1626"/>
      <c r="R785" s="1626"/>
      <c r="S785" s="1626"/>
      <c r="T785" s="1719"/>
      <c r="U785" s="1720"/>
      <c r="V785" s="1720"/>
      <c r="W785" s="1721"/>
      <c r="X785" s="1345"/>
      <c r="Y785" s="1346"/>
      <c r="Z785" s="1346"/>
      <c r="AA785" s="1346"/>
      <c r="AB785" s="1347"/>
      <c r="AC785" s="1345"/>
      <c r="AD785" s="1346"/>
      <c r="AE785" s="1346"/>
      <c r="AF785" s="1346"/>
      <c r="AG785" s="134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48"/>
      <c r="K786" s="1349"/>
      <c r="L786" s="1349"/>
      <c r="M786" s="1349"/>
      <c r="N786" s="1350"/>
      <c r="O786" s="1626"/>
      <c r="P786" s="1626"/>
      <c r="Q786" s="1626"/>
      <c r="R786" s="1626"/>
      <c r="S786" s="1626"/>
      <c r="T786" s="1733"/>
      <c r="U786" s="1734"/>
      <c r="V786" s="1734"/>
      <c r="W786" s="1735"/>
      <c r="X786" s="1348"/>
      <c r="Y786" s="1349"/>
      <c r="Z786" s="1349"/>
      <c r="AA786" s="1349"/>
      <c r="AB786" s="1350"/>
      <c r="AC786" s="1348"/>
      <c r="AD786" s="1349"/>
      <c r="AE786" s="1349"/>
      <c r="AF786" s="1349"/>
      <c r="AG786" s="135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4"/>
      <c r="K787" s="1355"/>
      <c r="L787" s="1355"/>
      <c r="M787" s="1355"/>
      <c r="N787" s="1356"/>
      <c r="O787" s="1625"/>
      <c r="P787" s="1625"/>
      <c r="Q787" s="1625"/>
      <c r="R787" s="1625"/>
      <c r="S787" s="1625"/>
      <c r="T787" s="1336"/>
      <c r="U787" s="1337"/>
      <c r="V787" s="1337"/>
      <c r="W787" s="1338"/>
      <c r="X787" s="1379"/>
      <c r="Y787" s="1380"/>
      <c r="Z787" s="1380"/>
      <c r="AA787" s="1380"/>
      <c r="AB787" s="1381"/>
      <c r="AC787" s="1361">
        <f t="shared" ref="AC787:AC796" si="40">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6"/>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4" customFormat="1" ht="12.95" customHeight="1">
      <c r="A788"/>
      <c r="B788"/>
      <c r="C788"/>
      <c r="D788"/>
      <c r="E788"/>
      <c r="F788"/>
      <c r="G788"/>
      <c r="H788"/>
      <c r="I788"/>
      <c r="J788" s="1354"/>
      <c r="K788" s="1355"/>
      <c r="L788" s="1355"/>
      <c r="M788" s="1355"/>
      <c r="N788" s="1356"/>
      <c r="O788" s="1625"/>
      <c r="P788" s="1625"/>
      <c r="Q788" s="1625"/>
      <c r="R788" s="1625"/>
      <c r="S788" s="1625"/>
      <c r="T788" s="1336"/>
      <c r="U788" s="1337"/>
      <c r="V788" s="1337"/>
      <c r="W788" s="1338"/>
      <c r="X788" s="1379"/>
      <c r="Y788" s="1380"/>
      <c r="Z788" s="1380"/>
      <c r="AA788" s="1380"/>
      <c r="AB788" s="1381"/>
      <c r="AC788" s="1361">
        <f t="shared" si="40"/>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6"/>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4" customFormat="1" ht="12.95" customHeight="1">
      <c r="A789"/>
      <c r="B789"/>
      <c r="C789"/>
      <c r="D789"/>
      <c r="E789"/>
      <c r="F789"/>
      <c r="G789"/>
      <c r="H789"/>
      <c r="I789"/>
      <c r="J789" s="1354"/>
      <c r="K789" s="1355"/>
      <c r="L789" s="1355"/>
      <c r="M789" s="1355"/>
      <c r="N789" s="1356"/>
      <c r="O789" s="1625"/>
      <c r="P789" s="1625"/>
      <c r="Q789" s="1625"/>
      <c r="R789" s="1625"/>
      <c r="S789" s="1625"/>
      <c r="T789" s="1336"/>
      <c r="U789" s="1337"/>
      <c r="V789" s="1337"/>
      <c r="W789" s="1338"/>
      <c r="X789" s="1379"/>
      <c r="Y789" s="1380"/>
      <c r="Z789" s="1380"/>
      <c r="AA789" s="1380"/>
      <c r="AB789" s="1381"/>
      <c r="AC789" s="1361">
        <f t="shared" si="40"/>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6"/>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4" customFormat="1" ht="12.95" customHeight="1">
      <c r="A790"/>
      <c r="B790"/>
      <c r="C790"/>
      <c r="D790"/>
      <c r="E790"/>
      <c r="F790"/>
      <c r="G790"/>
      <c r="H790"/>
      <c r="I790"/>
      <c r="J790" s="1354"/>
      <c r="K790" s="1355"/>
      <c r="L790" s="1355"/>
      <c r="M790" s="1355"/>
      <c r="N790" s="1356"/>
      <c r="O790" s="1625"/>
      <c r="P790" s="1625"/>
      <c r="Q790" s="1625"/>
      <c r="R790" s="1625"/>
      <c r="S790" s="1625"/>
      <c r="T790" s="1336"/>
      <c r="U790" s="1337"/>
      <c r="V790" s="1337"/>
      <c r="W790" s="1338"/>
      <c r="X790" s="1379"/>
      <c r="Y790" s="1380"/>
      <c r="Z790" s="1380"/>
      <c r="AA790" s="1380"/>
      <c r="AB790" s="1381"/>
      <c r="AC790" s="1361">
        <f t="shared" si="40"/>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6"/>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4" customFormat="1" ht="12.95" customHeight="1">
      <c r="A791"/>
      <c r="B791"/>
      <c r="C791"/>
      <c r="D791"/>
      <c r="E791"/>
      <c r="F791"/>
      <c r="G791"/>
      <c r="H791"/>
      <c r="I791"/>
      <c r="J791" s="1354"/>
      <c r="K791" s="1355"/>
      <c r="L791" s="1355"/>
      <c r="M791" s="1355"/>
      <c r="N791" s="1356"/>
      <c r="O791" s="1625"/>
      <c r="P791" s="1625"/>
      <c r="Q791" s="1625"/>
      <c r="R791" s="1625"/>
      <c r="S791" s="1625"/>
      <c r="T791" s="1336"/>
      <c r="U791" s="1337"/>
      <c r="V791" s="1337"/>
      <c r="W791" s="1338"/>
      <c r="X791" s="1379"/>
      <c r="Y791" s="1380"/>
      <c r="Z791" s="1380"/>
      <c r="AA791" s="1380"/>
      <c r="AB791" s="1381"/>
      <c r="AC791" s="1361">
        <f t="shared" si="40"/>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6"/>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4" customFormat="1" ht="12.95" customHeight="1">
      <c r="A792"/>
      <c r="B792"/>
      <c r="C792"/>
      <c r="D792"/>
      <c r="E792"/>
      <c r="F792"/>
      <c r="G792"/>
      <c r="H792"/>
      <c r="I792"/>
      <c r="J792" s="1354"/>
      <c r="K792" s="1355"/>
      <c r="L792" s="1355"/>
      <c r="M792" s="1355"/>
      <c r="N792" s="1356"/>
      <c r="O792" s="1625"/>
      <c r="P792" s="1625"/>
      <c r="Q792" s="1625"/>
      <c r="R792" s="1625"/>
      <c r="S792" s="1625"/>
      <c r="T792" s="1336"/>
      <c r="U792" s="1337"/>
      <c r="V792" s="1337"/>
      <c r="W792" s="1338"/>
      <c r="X792" s="1379"/>
      <c r="Y792" s="1380"/>
      <c r="Z792" s="1380"/>
      <c r="AA792" s="1380"/>
      <c r="AB792" s="1381"/>
      <c r="AC792" s="1361">
        <f t="shared" si="40"/>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6"/>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4" customFormat="1" ht="12.95" customHeight="1">
      <c r="A793"/>
      <c r="B793"/>
      <c r="C793"/>
      <c r="D793"/>
      <c r="E793"/>
      <c r="F793"/>
      <c r="G793"/>
      <c r="H793"/>
      <c r="I793"/>
      <c r="J793" s="1354"/>
      <c r="K793" s="1355"/>
      <c r="L793" s="1355"/>
      <c r="M793" s="1355"/>
      <c r="N793" s="1356"/>
      <c r="O793" s="1625"/>
      <c r="P793" s="1625"/>
      <c r="Q793" s="1625"/>
      <c r="R793" s="1625"/>
      <c r="S793" s="1625"/>
      <c r="T793" s="1336"/>
      <c r="U793" s="1337"/>
      <c r="V793" s="1337"/>
      <c r="W793" s="1338"/>
      <c r="X793" s="1379"/>
      <c r="Y793" s="1380"/>
      <c r="Z793" s="1380"/>
      <c r="AA793" s="1380"/>
      <c r="AB793" s="1381"/>
      <c r="AC793" s="1361">
        <f t="shared" si="40"/>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6"/>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4" customFormat="1" ht="12.95" customHeight="1">
      <c r="A794"/>
      <c r="B794"/>
      <c r="C794"/>
      <c r="D794"/>
      <c r="E794"/>
      <c r="F794"/>
      <c r="G794"/>
      <c r="H794"/>
      <c r="I794"/>
      <c r="J794" s="1354"/>
      <c r="K794" s="1355"/>
      <c r="L794" s="1355"/>
      <c r="M794" s="1355"/>
      <c r="N794" s="1356"/>
      <c r="O794" s="1625"/>
      <c r="P794" s="1625"/>
      <c r="Q794" s="1625"/>
      <c r="R794" s="1625"/>
      <c r="S794" s="1625"/>
      <c r="T794" s="1336"/>
      <c r="U794" s="1337"/>
      <c r="V794" s="1337"/>
      <c r="W794" s="1338"/>
      <c r="X794" s="1379"/>
      <c r="Y794" s="1380"/>
      <c r="Z794" s="1380"/>
      <c r="AA794" s="1380"/>
      <c r="AB794" s="1381"/>
      <c r="AC794" s="1361">
        <f t="shared" si="40"/>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6"/>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4" customFormat="1" ht="12.95" customHeight="1">
      <c r="A795"/>
      <c r="B795"/>
      <c r="C795"/>
      <c r="D795"/>
      <c r="E795"/>
      <c r="F795"/>
      <c r="G795"/>
      <c r="H795"/>
      <c r="I795"/>
      <c r="J795" s="1354"/>
      <c r="K795" s="1355"/>
      <c r="L795" s="1355"/>
      <c r="M795" s="1355"/>
      <c r="N795" s="1356"/>
      <c r="O795" s="1625"/>
      <c r="P795" s="1625"/>
      <c r="Q795" s="1625"/>
      <c r="R795" s="1625"/>
      <c r="S795" s="1625"/>
      <c r="T795" s="1336"/>
      <c r="U795" s="1337"/>
      <c r="V795" s="1337"/>
      <c r="W795" s="1338"/>
      <c r="X795" s="1379"/>
      <c r="Y795" s="1380"/>
      <c r="Z795" s="1380"/>
      <c r="AA795" s="1380"/>
      <c r="AB795" s="1381"/>
      <c r="AC795" s="1361">
        <f t="shared" si="40"/>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6"/>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2.95" customHeight="1">
      <c r="A796"/>
      <c r="B796"/>
      <c r="C796"/>
      <c r="D796"/>
      <c r="E796"/>
      <c r="F796"/>
      <c r="G796"/>
      <c r="H796"/>
      <c r="I796"/>
      <c r="J796" s="1354"/>
      <c r="K796" s="1355"/>
      <c r="L796" s="1355"/>
      <c r="M796" s="1355"/>
      <c r="N796" s="1356"/>
      <c r="O796" s="1625"/>
      <c r="P796" s="1625"/>
      <c r="Q796" s="1625"/>
      <c r="R796" s="1625"/>
      <c r="S796" s="1625"/>
      <c r="T796" s="1336"/>
      <c r="U796" s="1337"/>
      <c r="V796" s="1337"/>
      <c r="W796" s="1338"/>
      <c r="X796" s="1379"/>
      <c r="Y796" s="1380"/>
      <c r="Z796" s="1380"/>
      <c r="AA796" s="1380"/>
      <c r="AB796" s="1381"/>
      <c r="AC796" s="1361">
        <f t="shared" si="40"/>
        <v>0</v>
      </c>
      <c r="AD796" s="1362"/>
      <c r="AE796" s="1362"/>
      <c r="AF796" s="1362"/>
      <c r="AG796" s="1363"/>
      <c r="AH796"/>
      <c r="AI796"/>
      <c r="AJ796"/>
      <c r="AK796"/>
      <c r="AL796"/>
      <c r="AM796"/>
      <c r="AN796"/>
      <c r="AO796"/>
      <c r="AP796"/>
      <c r="AQ796"/>
      <c r="AR796"/>
      <c r="AS796"/>
      <c r="AT796"/>
      <c r="AU796"/>
      <c r="AV796"/>
      <c r="AW796"/>
      <c r="AX796"/>
      <c r="AY796"/>
      <c r="AZ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6"/>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2.95" customHeight="1">
      <c r="A797"/>
      <c r="B797"/>
      <c r="C797"/>
      <c r="D797"/>
      <c r="E797"/>
      <c r="F797"/>
      <c r="G797"/>
      <c r="H797"/>
      <c r="I797"/>
      <c r="J797" s="1458" t="s">
        <v>125</v>
      </c>
      <c r="K797" s="1459"/>
      <c r="L797" s="1459"/>
      <c r="M797" s="1459"/>
      <c r="N797" s="1460"/>
      <c r="O797" s="1737">
        <f>SUM(O787:S796)</f>
        <v>0</v>
      </c>
      <c r="P797" s="1737"/>
      <c r="Q797" s="1737"/>
      <c r="R797" s="1737"/>
      <c r="S797" s="1737"/>
      <c r="T797"/>
      <c r="U797"/>
      <c r="V797"/>
      <c r="W797"/>
      <c r="X797" s="902" t="s">
        <v>124</v>
      </c>
      <c r="Y797" s="11"/>
      <c r="Z797" s="11"/>
      <c r="AA797" s="11"/>
      <c r="AB797" s="909"/>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CP797" s="1476">
        <f>SUM(CP787:CT796)</f>
        <v>0</v>
      </c>
      <c r="CQ797" s="1479"/>
      <c r="CR797" s="1479"/>
      <c r="CS797" s="1479"/>
      <c r="CT797" s="1477"/>
      <c r="CU797" s="1480">
        <f>SUM(CU787:CY796)</f>
        <v>0</v>
      </c>
      <c r="CV797" s="1481"/>
      <c r="CW797" s="1481"/>
      <c r="CX797" s="1481"/>
      <c r="CY797" s="1482"/>
      <c r="CZ797" s="1480">
        <f>SUM(CZ787:DD796)</f>
        <v>0</v>
      </c>
      <c r="DA797" s="1481"/>
      <c r="DB797" s="1481"/>
      <c r="DC797" s="1481"/>
      <c r="DD797" s="1482"/>
      <c r="DE797" s="1480">
        <f>SUM(DE787:DI796)</f>
        <v>0</v>
      </c>
      <c r="DF797" s="1481"/>
      <c r="DG797" s="1481"/>
      <c r="DH797" s="1481"/>
      <c r="DI797" s="1482"/>
      <c r="DJ797" s="1480">
        <f>SUM(DJ787:DN796)</f>
        <v>0</v>
      </c>
      <c r="DK797" s="1481"/>
      <c r="DL797" s="1481"/>
      <c r="DM797" s="1481"/>
      <c r="DN797" s="1482"/>
      <c r="DO797" s="1480">
        <f>SUM(DO787:DS796)</f>
        <v>0</v>
      </c>
      <c r="DP797" s="1481"/>
      <c r="DQ797" s="1481"/>
      <c r="DR797" s="1481"/>
      <c r="DS797" s="1482"/>
      <c r="DT797" s="1012"/>
      <c r="DU797" s="1476">
        <f>SUM(DU787:DY796)</f>
        <v>0</v>
      </c>
      <c r="DV797" s="1479"/>
      <c r="DW797" s="1479"/>
      <c r="DX797" s="1479"/>
      <c r="DY797" s="1477"/>
      <c r="DZ797" s="1476">
        <f>SUM(DZ787:ED796)</f>
        <v>0</v>
      </c>
      <c r="EA797" s="1479"/>
      <c r="EB797" s="1479"/>
      <c r="EC797" s="1479"/>
      <c r="ED797" s="1477"/>
      <c r="EE797" s="1476">
        <f>SUM(EE787:EI796)</f>
        <v>0</v>
      </c>
      <c r="EF797" s="1479"/>
      <c r="EG797" s="1479"/>
      <c r="EH797" s="1479"/>
      <c r="EI797" s="1477"/>
      <c r="EJ797" s="1476">
        <f>SUM(EJ787:EN796)</f>
        <v>0</v>
      </c>
      <c r="EK797" s="1479"/>
      <c r="EL797" s="1479"/>
      <c r="EM797" s="1479"/>
      <c r="EN797" s="1477"/>
      <c r="EO797" s="1476">
        <f>SUM(EO787:ES796)</f>
        <v>0</v>
      </c>
      <c r="EP797" s="1479"/>
      <c r="EQ797" s="1479"/>
      <c r="ER797" s="1479"/>
      <c r="ES797" s="1477"/>
      <c r="ET797" s="1476">
        <f>SUM(ET787:EX796)</f>
        <v>0</v>
      </c>
      <c r="EU797" s="1479"/>
      <c r="EV797" s="1479"/>
      <c r="EW797" s="1479"/>
      <c r="EX797" s="1477"/>
    </row>
    <row r="798" spans="1:154" s="4" customFormat="1" ht="12.95" customHeight="1">
      <c r="A798"/>
      <c r="B798"/>
      <c r="C798" s="1740" t="str">
        <f>IF(O797&lt;&gt;AG438,"! Total market rate units in the Unit Mix Table above does not match the number of  market rate units on row #"&amp;TEXT(ROW(D438),"#"),"")</f>
        <v/>
      </c>
      <c r="D798" s="1740"/>
      <c r="E798" s="1740"/>
      <c r="F798" s="1740"/>
      <c r="G798" s="1740"/>
      <c r="H798" s="1740"/>
      <c r="I798" s="1740"/>
      <c r="J798" s="1740"/>
      <c r="K798" s="1740"/>
      <c r="L798" s="1740"/>
      <c r="M798" s="1740"/>
      <c r="N798" s="1740"/>
      <c r="O798" s="1740"/>
      <c r="P798" s="1740"/>
      <c r="Q798" s="1740"/>
      <c r="R798" s="1740"/>
      <c r="S798" s="1740"/>
      <c r="T798" s="1740"/>
      <c r="U798" s="1740"/>
      <c r="V798" s="1740"/>
      <c r="W798" s="1740"/>
      <c r="X798" s="1740"/>
      <c r="Y798" s="1740"/>
      <c r="Z798" s="1740"/>
      <c r="AA798" s="1740"/>
      <c r="AB798" s="1740"/>
      <c r="AC798" s="1740"/>
      <c r="AD798" s="1740"/>
      <c r="AE798" s="1740"/>
      <c r="AF798" s="1740"/>
      <c r="AG798" s="1740"/>
      <c r="AH798" s="1740"/>
      <c r="AI798" s="1740"/>
      <c r="AJ798" s="1740"/>
      <c r="AK798" s="1740"/>
      <c r="AL798" s="1740"/>
      <c r="AM798" s="1740"/>
      <c r="AN798" s="1740"/>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40"/>
      <c r="D799" s="1740"/>
      <c r="E799" s="1740"/>
      <c r="F799" s="1740"/>
      <c r="G799" s="1740"/>
      <c r="H799" s="1740"/>
      <c r="I799" s="1740"/>
      <c r="J799" s="1740"/>
      <c r="K799" s="1740"/>
      <c r="L799" s="1740"/>
      <c r="M799" s="1740"/>
      <c r="N799" s="1740"/>
      <c r="O799" s="1740"/>
      <c r="P799" s="1740"/>
      <c r="Q799" s="1740"/>
      <c r="R799" s="1740"/>
      <c r="S799" s="1740"/>
      <c r="T799" s="1740"/>
      <c r="U799" s="1740"/>
      <c r="V799" s="1740"/>
      <c r="W799" s="1740"/>
      <c r="X799" s="1740"/>
      <c r="Y799" s="1740"/>
      <c r="Z799" s="1740"/>
      <c r="AA799" s="1740"/>
      <c r="AB799" s="1740"/>
      <c r="AC799" s="1740"/>
      <c r="AD799" s="1740"/>
      <c r="AE799" s="1740"/>
      <c r="AF799" s="1740"/>
      <c r="AG799" s="1740"/>
      <c r="AH799" s="1740"/>
      <c r="AI799" s="1740"/>
      <c r="AJ799" s="1740"/>
      <c r="AK799" s="1740"/>
      <c r="AL799" s="1740"/>
      <c r="AM799" s="1740"/>
      <c r="AN799" s="1740"/>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0">
        <f>SUM(DU797:EX797)</f>
        <v>0</v>
      </c>
      <c r="EU799" s="1851"/>
      <c r="EV799" s="1851"/>
      <c r="EW799" s="1851"/>
      <c r="EX799" s="185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61">
        <f>O753+AC777+AC797</f>
        <v>326340</v>
      </c>
      <c r="Z800" s="1661"/>
      <c r="AA800" s="1661"/>
      <c r="AB800" s="1661"/>
      <c r="AC800" s="166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61">
        <f>(O753+AC777+AC797)*12</f>
        <v>3916080</v>
      </c>
      <c r="Z801" s="1661"/>
      <c r="AA801" s="1661"/>
      <c r="AB801" s="1661"/>
      <c r="AC801" s="166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80">
        <f>CP753+CP777+CP797</f>
        <v>0</v>
      </c>
      <c r="CQ802" s="1481"/>
      <c r="CR802" s="1481"/>
      <c r="CS802" s="1481"/>
      <c r="CT802" s="1482"/>
      <c r="CU802" s="1480">
        <f>CU753+CU777+CU797</f>
        <v>31</v>
      </c>
      <c r="CV802" s="1481"/>
      <c r="CW802" s="1481"/>
      <c r="CX802" s="1481"/>
      <c r="CY802" s="1482"/>
      <c r="CZ802" s="1480">
        <f>CZ753+CZ777+CZ797</f>
        <v>82</v>
      </c>
      <c r="DA802" s="1481"/>
      <c r="DB802" s="1481"/>
      <c r="DC802" s="1481"/>
      <c r="DD802" s="1482"/>
      <c r="DE802" s="1480">
        <f>DE753+DE777+DE797</f>
        <v>47</v>
      </c>
      <c r="DF802" s="1481"/>
      <c r="DG802" s="1481"/>
      <c r="DH802" s="1481"/>
      <c r="DI802" s="1482"/>
      <c r="DJ802" s="1480">
        <f>DJ753+DJ777+DJ797</f>
        <v>0</v>
      </c>
      <c r="DK802" s="1481"/>
      <c r="DL802" s="1481"/>
      <c r="DM802" s="1481"/>
      <c r="DN802" s="1482"/>
      <c r="DO802" s="1452">
        <f>DO797+DO777+DO753</f>
        <v>0</v>
      </c>
      <c r="DP802" s="1486"/>
      <c r="DQ802" s="1486"/>
      <c r="DR802" s="1486"/>
      <c r="DS802" s="1453"/>
      <c r="DT802" s="3"/>
      <c r="DU802" s="861">
        <f>DU755+DU800</f>
        <v>332</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3"/>
      <c r="AA806" s="1564"/>
      <c r="AB806" s="1564"/>
      <c r="AC806" s="1564"/>
      <c r="AD806" s="1564"/>
      <c r="AE806" s="156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9"/>
      <c r="AA807" s="1564"/>
      <c r="AB807" s="1564"/>
      <c r="AC807" s="1564"/>
      <c r="AD807" s="1564"/>
      <c r="AE807" s="156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6"/>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9">
        <f>'Subsidy Contract Calculation'!J40</f>
        <v>0</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3">
        <v>87500</v>
      </c>
      <c r="AA813" s="1484"/>
      <c r="AB813" s="1484"/>
      <c r="AC813" s="1484"/>
      <c r="AD813" s="1484"/>
      <c r="AE813" s="148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3">
        <v>16500</v>
      </c>
      <c r="AA814" s="1484"/>
      <c r="AB814" s="1484"/>
      <c r="AC814" s="1484"/>
      <c r="AD814" s="1484"/>
      <c r="AE814" s="148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3"/>
      <c r="AA815" s="1484"/>
      <c r="AB815" s="1484"/>
      <c r="AC815" s="1484"/>
      <c r="AD815" s="1484"/>
      <c r="AE815" s="148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05" t="s">
        <v>333</v>
      </c>
      <c r="Q816" s="1606"/>
      <c r="R816" s="1606"/>
      <c r="S816" s="1606"/>
      <c r="T816" s="1606"/>
      <c r="U816" s="1606"/>
      <c r="V816" s="1606"/>
      <c r="W816" s="1606"/>
      <c r="X816" s="1606"/>
      <c r="Y816" s="1607"/>
      <c r="Z816" s="1483"/>
      <c r="AA816" s="1484"/>
      <c r="AB816" s="1484"/>
      <c r="AC816" s="1484"/>
      <c r="AD816" s="1484"/>
      <c r="AE816" s="148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9">
        <f>SUM(Z813:AE816)</f>
        <v>104000</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9">
        <f>Z817+Y801+Z809</f>
        <v>4020080</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97" t="s">
        <v>126</v>
      </c>
      <c r="N823" s="1597"/>
      <c r="O823" s="1597"/>
      <c r="P823" s="1668"/>
      <c r="Q823" s="1628" t="s">
        <v>289</v>
      </c>
      <c r="R823" s="1628"/>
      <c r="S823" s="1628"/>
      <c r="T823" s="1628"/>
      <c r="U823" s="1628" t="s">
        <v>290</v>
      </c>
      <c r="V823" s="1628"/>
      <c r="W823" s="1628"/>
      <c r="X823" s="1628"/>
      <c r="Y823" s="1628" t="s">
        <v>291</v>
      </c>
      <c r="Z823" s="1628"/>
      <c r="AA823" s="1628"/>
      <c r="AB823" s="1628"/>
      <c r="AC823" s="1628" t="s">
        <v>360</v>
      </c>
      <c r="AD823" s="1628"/>
      <c r="AE823" s="1628"/>
      <c r="AF823" s="1628"/>
      <c r="AG823" s="1738" t="s">
        <v>334</v>
      </c>
      <c r="AH823" s="1738"/>
      <c r="AI823" s="1738"/>
      <c r="AJ823" s="173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01"/>
      <c r="N824" s="1601"/>
      <c r="O824" s="1601"/>
      <c r="P824" s="1612"/>
      <c r="Q824" s="1628"/>
      <c r="R824" s="1628"/>
      <c r="S824" s="1628"/>
      <c r="T824" s="1628"/>
      <c r="U824" s="1628"/>
      <c r="V824" s="1628"/>
      <c r="W824" s="1628"/>
      <c r="X824" s="1628"/>
      <c r="Y824" s="1628"/>
      <c r="Z824" s="1628"/>
      <c r="AA824" s="1628"/>
      <c r="AB824" s="1628"/>
      <c r="AC824" s="1628"/>
      <c r="AD824" s="1628"/>
      <c r="AE824" s="1628"/>
      <c r="AF824" s="1628"/>
      <c r="AG824" s="1738"/>
      <c r="AH824" s="1738"/>
      <c r="AI824" s="1738"/>
      <c r="AJ824" s="173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1" t="s">
        <v>40</v>
      </c>
      <c r="D825" s="1400"/>
      <c r="E825" s="1400"/>
      <c r="F825" s="1400"/>
      <c r="G825" s="1400"/>
      <c r="H825" s="1400"/>
      <c r="I825" s="48"/>
      <c r="J825" s="48"/>
      <c r="K825" s="48"/>
      <c r="L825" s="49"/>
      <c r="M825" s="1657"/>
      <c r="N825" s="1657"/>
      <c r="O825" s="1657"/>
      <c r="P825" s="1657"/>
      <c r="Q825" s="1657">
        <v>8</v>
      </c>
      <c r="R825" s="1657"/>
      <c r="S825" s="1657"/>
      <c r="T825" s="1657"/>
      <c r="U825" s="1657">
        <v>11</v>
      </c>
      <c r="V825" s="1657"/>
      <c r="W825" s="1657"/>
      <c r="X825" s="1657"/>
      <c r="Y825" s="1657">
        <v>13</v>
      </c>
      <c r="Z825" s="1657"/>
      <c r="AA825" s="1657"/>
      <c r="AB825" s="1657"/>
      <c r="AC825" s="1468"/>
      <c r="AD825" s="1469"/>
      <c r="AE825" s="1469"/>
      <c r="AF825" s="1470"/>
      <c r="AG825" s="1468"/>
      <c r="AH825" s="1469"/>
      <c r="AI825" s="1469"/>
      <c r="AJ825" s="1470"/>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38" t="s">
        <v>41</v>
      </c>
      <c r="D826" s="1639"/>
      <c r="E826" s="1639"/>
      <c r="F826" s="1639"/>
      <c r="G826" s="1639"/>
      <c r="H826" s="1639"/>
      <c r="I826" s="5"/>
      <c r="J826" s="5"/>
      <c r="K826" s="5"/>
      <c r="L826" s="46"/>
      <c r="M826" s="1657"/>
      <c r="N826" s="1657"/>
      <c r="O826" s="1657"/>
      <c r="P826" s="1657"/>
      <c r="Q826" s="1657"/>
      <c r="R826" s="1657"/>
      <c r="S826" s="1657"/>
      <c r="T826" s="1657"/>
      <c r="U826" s="1657"/>
      <c r="V826" s="1657"/>
      <c r="W826" s="1657"/>
      <c r="X826" s="1657"/>
      <c r="Y826" s="1657"/>
      <c r="Z826" s="1657"/>
      <c r="AA826" s="1657"/>
      <c r="AB826" s="1657"/>
      <c r="AC826" s="1468"/>
      <c r="AD826" s="1469"/>
      <c r="AE826" s="1469"/>
      <c r="AF826" s="1470"/>
      <c r="AG826" s="1468"/>
      <c r="AH826" s="1469"/>
      <c r="AI826" s="1469"/>
      <c r="AJ826" s="1470"/>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38" t="s">
        <v>42</v>
      </c>
      <c r="D827" s="1639"/>
      <c r="E827" s="1639"/>
      <c r="F827" s="1639"/>
      <c r="G827" s="1639"/>
      <c r="H827" s="1639"/>
      <c r="I827" s="60"/>
      <c r="J827" s="60"/>
      <c r="K827" s="60"/>
      <c r="L827" s="61"/>
      <c r="M827" s="1657"/>
      <c r="N827" s="1657"/>
      <c r="O827" s="1657"/>
      <c r="P827" s="1657"/>
      <c r="Q827" s="1657"/>
      <c r="R827" s="1657"/>
      <c r="S827" s="1657"/>
      <c r="T827" s="1657"/>
      <c r="U827" s="1657"/>
      <c r="V827" s="1657"/>
      <c r="W827" s="1657"/>
      <c r="X827" s="1657"/>
      <c r="Y827" s="1657"/>
      <c r="Z827" s="1657"/>
      <c r="AA827" s="1657"/>
      <c r="AB827" s="1657"/>
      <c r="AC827" s="1468"/>
      <c r="AD827" s="1469"/>
      <c r="AE827" s="1469"/>
      <c r="AF827" s="1470"/>
      <c r="AG827" s="1468"/>
      <c r="AH827" s="1469"/>
      <c r="AI827" s="1469"/>
      <c r="AJ827" s="1470"/>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38" t="s">
        <v>762</v>
      </c>
      <c r="D828" s="1639"/>
      <c r="E828" s="1639"/>
      <c r="F828" s="1639"/>
      <c r="G828" s="1639"/>
      <c r="H828" s="1639"/>
      <c r="I828" s="60"/>
      <c r="J828" s="60"/>
      <c r="K828" s="60"/>
      <c r="L828" s="61"/>
      <c r="M828" s="1657"/>
      <c r="N828" s="1657"/>
      <c r="O828" s="1657"/>
      <c r="P828" s="1657"/>
      <c r="Q828" s="1657"/>
      <c r="R828" s="1657"/>
      <c r="S828" s="1657"/>
      <c r="T828" s="1657"/>
      <c r="U828" s="1657"/>
      <c r="V828" s="1657"/>
      <c r="W828" s="1657"/>
      <c r="X828" s="1657"/>
      <c r="Y828" s="1657"/>
      <c r="Z828" s="1657"/>
      <c r="AA828" s="1657"/>
      <c r="AB828" s="1657"/>
      <c r="AC828" s="1468"/>
      <c r="AD828" s="1469"/>
      <c r="AE828" s="1469"/>
      <c r="AF828" s="1470"/>
      <c r="AG828" s="1468"/>
      <c r="AH828" s="1469"/>
      <c r="AI828" s="1469"/>
      <c r="AJ828" s="1470"/>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38" t="s">
        <v>459</v>
      </c>
      <c r="D829" s="1639"/>
      <c r="E829" s="1639"/>
      <c r="F829" s="1639"/>
      <c r="G829" s="1639"/>
      <c r="H829" s="1639"/>
      <c r="I829" s="60"/>
      <c r="J829" s="60"/>
      <c r="K829" s="60"/>
      <c r="L829" s="61"/>
      <c r="M829" s="1657"/>
      <c r="N829" s="1657"/>
      <c r="O829" s="1657"/>
      <c r="P829" s="1657"/>
      <c r="Q829" s="1657">
        <v>22</v>
      </c>
      <c r="R829" s="1657"/>
      <c r="S829" s="1657"/>
      <c r="T829" s="1657"/>
      <c r="U829" s="1657">
        <v>28</v>
      </c>
      <c r="V829" s="1657"/>
      <c r="W829" s="1657"/>
      <c r="X829" s="1657"/>
      <c r="Y829" s="1657">
        <v>35</v>
      </c>
      <c r="Z829" s="1657"/>
      <c r="AA829" s="1657"/>
      <c r="AB829" s="1657"/>
      <c r="AC829" s="1468"/>
      <c r="AD829" s="1469"/>
      <c r="AE829" s="1469"/>
      <c r="AF829" s="1470"/>
      <c r="AG829" s="1468"/>
      <c r="AH829" s="1469"/>
      <c r="AI829" s="1469"/>
      <c r="AJ829" s="1470"/>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67" t="s">
        <v>783</v>
      </c>
      <c r="D830" s="1639"/>
      <c r="E830" s="1639"/>
      <c r="F830" s="1639"/>
      <c r="G830" s="1639"/>
      <c r="H830" s="1639"/>
      <c r="I830" s="60"/>
      <c r="J830" s="60"/>
      <c r="K830" s="60"/>
      <c r="L830" s="61"/>
      <c r="M830" s="1657"/>
      <c r="N830" s="1657"/>
      <c r="O830" s="1657"/>
      <c r="P830" s="1657"/>
      <c r="Q830" s="1657"/>
      <c r="R830" s="1657"/>
      <c r="S830" s="1657"/>
      <c r="T830" s="1657"/>
      <c r="U830" s="1657"/>
      <c r="V830" s="1657"/>
      <c r="W830" s="1657"/>
      <c r="X830" s="1657"/>
      <c r="Y830" s="1657"/>
      <c r="Z830" s="1657"/>
      <c r="AA830" s="1657"/>
      <c r="AB830" s="1657"/>
      <c r="AC830" s="1468"/>
      <c r="AD830" s="1469"/>
      <c r="AE830" s="1469"/>
      <c r="AF830" s="1470"/>
      <c r="AG830" s="1468"/>
      <c r="AH830" s="1469"/>
      <c r="AI830" s="1469"/>
      <c r="AJ830" s="1470"/>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05" t="s">
        <v>333</v>
      </c>
      <c r="G831" s="1606"/>
      <c r="H831" s="1606"/>
      <c r="I831" s="1606"/>
      <c r="J831" s="1606"/>
      <c r="K831" s="1606"/>
      <c r="L831" s="1606"/>
      <c r="M831" s="1657"/>
      <c r="N831" s="1657"/>
      <c r="O831" s="1657"/>
      <c r="P831" s="1657"/>
      <c r="Q831" s="1657"/>
      <c r="R831" s="1657"/>
      <c r="S831" s="1657"/>
      <c r="T831" s="1657"/>
      <c r="U831" s="1657"/>
      <c r="V831" s="1657"/>
      <c r="W831" s="1657"/>
      <c r="X831" s="1657"/>
      <c r="Y831" s="1657"/>
      <c r="Z831" s="1657"/>
      <c r="AA831" s="1657"/>
      <c r="AB831" s="1657"/>
      <c r="AC831" s="1468"/>
      <c r="AD831" s="1469"/>
      <c r="AE831" s="1469"/>
      <c r="AF831" s="1470"/>
      <c r="AG831" s="1468"/>
      <c r="AH831" s="1469"/>
      <c r="AI831" s="1469"/>
      <c r="AJ831" s="1470"/>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8" t="s">
        <v>124</v>
      </c>
      <c r="D832" s="1459"/>
      <c r="E832" s="1459"/>
      <c r="F832" s="1459"/>
      <c r="G832" s="1459"/>
      <c r="H832" s="1459"/>
      <c r="I832" s="1459"/>
      <c r="J832" s="1459"/>
      <c r="K832" s="1459"/>
      <c r="L832" s="1460"/>
      <c r="M832" s="1649">
        <f>SUM(M825:P831)</f>
        <v>0</v>
      </c>
      <c r="N832" s="1649"/>
      <c r="O832" s="1649"/>
      <c r="P832" s="1649"/>
      <c r="Q832" s="1649">
        <f>SUM(Q825:T831)</f>
        <v>30</v>
      </c>
      <c r="R832" s="1649"/>
      <c r="S832" s="1649"/>
      <c r="T832" s="1649"/>
      <c r="U832" s="1649">
        <f>SUM(U825:X831)</f>
        <v>39</v>
      </c>
      <c r="V832" s="1649"/>
      <c r="W832" s="1649"/>
      <c r="X832" s="1649"/>
      <c r="Y832" s="1649">
        <f>SUM(Y825:AB831)</f>
        <v>48</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4" t="s">
        <v>2725</v>
      </c>
      <c r="D837" s="1665"/>
      <c r="E837" s="1665"/>
      <c r="F837" s="1665"/>
      <c r="G837" s="1665"/>
      <c r="H837" s="1665"/>
      <c r="I837" s="1665"/>
      <c r="J837" s="1665"/>
      <c r="K837" s="1665"/>
      <c r="L837" s="1665"/>
      <c r="M837" s="1665"/>
      <c r="N837" s="1665"/>
      <c r="O837" s="1665"/>
      <c r="P837" s="1665"/>
      <c r="Q837" s="1665"/>
      <c r="R837" s="1665"/>
      <c r="S837" s="1665"/>
      <c r="T837" s="1665"/>
      <c r="U837" s="1665"/>
      <c r="V837" s="1665"/>
      <c r="W837" s="1665"/>
      <c r="X837" s="1665"/>
      <c r="Y837" s="1665"/>
      <c r="Z837" s="1665"/>
      <c r="AA837" s="1665"/>
      <c r="AB837" s="1665"/>
      <c r="AC837" s="1665"/>
      <c r="AD837" s="1665"/>
      <c r="AE837" s="1665"/>
      <c r="AF837" s="1665"/>
      <c r="AG837" s="1665"/>
      <c r="AH837" s="1665"/>
      <c r="AI837" s="1665"/>
      <c r="AJ837" s="166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7">
        <v>1200</v>
      </c>
      <c r="X842" s="1487"/>
      <c r="Y842" s="1487"/>
      <c r="Z842" s="1487"/>
      <c r="AA842" s="1487"/>
      <c r="AB842" s="1487"/>
      <c r="AC842" s="148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7">
        <v>7500</v>
      </c>
      <c r="X843" s="1487"/>
      <c r="Y843" s="1487"/>
      <c r="Z843" s="1487"/>
      <c r="AA843" s="1487"/>
      <c r="AB843" s="1487"/>
      <c r="AC843" s="148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7">
        <v>10000</v>
      </c>
      <c r="X844" s="1487"/>
      <c r="Y844" s="1487"/>
      <c r="Z844" s="1487"/>
      <c r="AA844" s="1487"/>
      <c r="AB844" s="1487"/>
      <c r="AC844" s="1487"/>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7">
        <v>22500</v>
      </c>
      <c r="X845" s="1487"/>
      <c r="Y845" s="1487"/>
      <c r="Z845" s="1487"/>
      <c r="AA845" s="1487"/>
      <c r="AB845" s="1487"/>
      <c r="AC845" s="1487"/>
      <c r="AZ845" s="30"/>
      <c r="BA845" s="30"/>
      <c r="BB845" s="14"/>
      <c r="BC845" s="14"/>
      <c r="BD845" s="14"/>
      <c r="BE845" s="14"/>
      <c r="BF845" s="14"/>
      <c r="BG845" s="14"/>
      <c r="BH845" s="14"/>
      <c r="BI845" s="14"/>
      <c r="BJ845" s="14"/>
      <c r="BK845" s="14"/>
      <c r="BL845" s="14"/>
    </row>
    <row r="846" spans="1:64" ht="12.95" customHeight="1">
      <c r="J846" s="45" t="s">
        <v>169</v>
      </c>
      <c r="K846" s="5"/>
      <c r="L846" s="5"/>
      <c r="M846" s="1605" t="s">
        <v>2726</v>
      </c>
      <c r="N846" s="1606"/>
      <c r="O846" s="1606"/>
      <c r="P846" s="1606"/>
      <c r="Q846" s="1606"/>
      <c r="R846" s="1606"/>
      <c r="S846" s="1606"/>
      <c r="T846" s="1606"/>
      <c r="U846" s="1606"/>
      <c r="V846" s="1607"/>
      <c r="W846" s="1487">
        <v>6200</v>
      </c>
      <c r="X846" s="1487"/>
      <c r="Y846" s="1487"/>
      <c r="Z846" s="1487"/>
      <c r="AA846" s="1487"/>
      <c r="AB846" s="1487"/>
      <c r="AC846" s="148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29">
        <f>SUM(W842:W846)</f>
        <v>47400</v>
      </c>
      <c r="X847" s="1630"/>
      <c r="Y847" s="1630"/>
      <c r="Z847" s="1630"/>
      <c r="AA847" s="1630"/>
      <c r="AB847" s="1630"/>
      <c r="AC847" s="1631"/>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1"/>
      <c r="BH848" s="1641"/>
      <c r="BI848" s="1641"/>
      <c r="BJ848" s="1641"/>
      <c r="BK848" s="1641"/>
      <c r="BL848" s="1641"/>
    </row>
    <row r="849" spans="3:55" ht="12.95" customHeight="1">
      <c r="C849" s="2" t="s">
        <v>343</v>
      </c>
      <c r="J849" s="1458" t="s">
        <v>344</v>
      </c>
      <c r="K849" s="1459"/>
      <c r="L849" s="1459"/>
      <c r="M849" s="1459"/>
      <c r="N849" s="1459"/>
      <c r="O849" s="1459"/>
      <c r="P849" s="1459"/>
      <c r="Q849" s="1459"/>
      <c r="R849" s="1459"/>
      <c r="S849" s="1459"/>
      <c r="T849" s="1459"/>
      <c r="U849" s="1459"/>
      <c r="V849" s="1460"/>
      <c r="W849" s="1483">
        <v>132720</v>
      </c>
      <c r="X849" s="1484"/>
      <c r="Y849" s="1484"/>
      <c r="Z849" s="1484"/>
      <c r="AA849" s="1484"/>
      <c r="AB849" s="1484"/>
      <c r="AC849" s="1485"/>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62"/>
      <c r="X851" s="1662"/>
      <c r="Y851" s="1662"/>
      <c r="Z851" s="1662"/>
      <c r="AA851" s="1662"/>
      <c r="AB851" s="1662"/>
      <c r="AC851" s="1662"/>
      <c r="AZ851" s="1732"/>
      <c r="BA851" s="1732"/>
      <c r="BB851" s="14"/>
      <c r="BC851" s="14"/>
    </row>
    <row r="852" spans="3:55" ht="12.95" customHeight="1">
      <c r="J852" s="45" t="s">
        <v>350</v>
      </c>
      <c r="K852" s="5"/>
      <c r="L852" s="5"/>
      <c r="M852" s="5"/>
      <c r="N852" s="5"/>
      <c r="O852" s="5"/>
      <c r="P852" s="5"/>
      <c r="Q852" s="5"/>
      <c r="R852" s="5"/>
      <c r="S852" s="5"/>
      <c r="T852" s="5"/>
      <c r="U852" s="5"/>
      <c r="V852" s="46"/>
      <c r="W852" s="1662"/>
      <c r="X852" s="1662"/>
      <c r="Y852" s="1662"/>
      <c r="Z852" s="1662"/>
      <c r="AA852" s="1662"/>
      <c r="AB852" s="1662"/>
      <c r="AC852" s="1662"/>
      <c r="AZ852" s="30"/>
      <c r="BA852" s="30"/>
      <c r="BB852" s="14"/>
      <c r="BC852" s="14"/>
    </row>
    <row r="853" spans="3:55" ht="12.95" customHeight="1">
      <c r="J853" s="45" t="s">
        <v>459</v>
      </c>
      <c r="K853" s="5"/>
      <c r="L853" s="5"/>
      <c r="M853" s="5"/>
      <c r="N853" s="5"/>
      <c r="O853" s="5"/>
      <c r="P853" s="5"/>
      <c r="Q853" s="5"/>
      <c r="R853" s="5"/>
      <c r="S853" s="5"/>
      <c r="T853" s="5"/>
      <c r="U853" s="5"/>
      <c r="V853" s="46"/>
      <c r="W853" s="1662">
        <v>145000</v>
      </c>
      <c r="X853" s="1662"/>
      <c r="Y853" s="1662"/>
      <c r="Z853" s="1662"/>
      <c r="AA853" s="1662"/>
      <c r="AB853" s="1662"/>
      <c r="AC853" s="1662"/>
      <c r="AZ853" s="30"/>
      <c r="BA853" s="30"/>
      <c r="BB853" s="14"/>
      <c r="BC853" s="14"/>
    </row>
    <row r="854" spans="3:55" ht="12.95" customHeight="1">
      <c r="J854" s="62" t="s">
        <v>620</v>
      </c>
      <c r="K854" s="5"/>
      <c r="L854" s="5"/>
      <c r="M854" s="5"/>
      <c r="N854" s="5"/>
      <c r="O854" s="5"/>
      <c r="P854" s="5"/>
      <c r="Q854" s="5"/>
      <c r="R854" s="5"/>
      <c r="S854" s="5"/>
      <c r="T854" s="5"/>
      <c r="U854" s="5"/>
      <c r="V854" s="46"/>
      <c r="W854" s="1662">
        <v>82500</v>
      </c>
      <c r="X854" s="1662"/>
      <c r="Y854" s="1662"/>
      <c r="Z854" s="1662"/>
      <c r="AA854" s="1662"/>
      <c r="AB854" s="1662"/>
      <c r="AC854" s="1662"/>
      <c r="AZ854" s="34"/>
      <c r="BA854" s="34"/>
      <c r="BB854" s="34"/>
      <c r="BC854" s="34"/>
    </row>
    <row r="855" spans="3:55" ht="12.95" customHeight="1">
      <c r="J855" s="63"/>
      <c r="K855" s="48"/>
      <c r="L855" s="48"/>
      <c r="M855" s="48"/>
      <c r="N855" s="48"/>
      <c r="O855" s="48"/>
      <c r="P855" s="48"/>
      <c r="Q855" s="48"/>
      <c r="R855" s="48"/>
      <c r="S855" s="48"/>
      <c r="T855" s="48"/>
      <c r="U855" s="48"/>
      <c r="V855" s="54" t="s">
        <v>271</v>
      </c>
      <c r="W855" s="1663">
        <f>SUM(W851:W854)</f>
        <v>227500</v>
      </c>
      <c r="X855" s="1663"/>
      <c r="Y855" s="1663"/>
      <c r="Z855" s="1663"/>
      <c r="AA855" s="1663"/>
      <c r="AB855" s="1663"/>
      <c r="AC855" s="1663"/>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43">
        <v>158500</v>
      </c>
      <c r="X857" s="1644"/>
      <c r="Y857" s="1644"/>
      <c r="Z857" s="1644"/>
      <c r="AA857" s="1644"/>
      <c r="AB857" s="1644"/>
      <c r="AC857" s="1645"/>
      <c r="AD857" s="528"/>
      <c r="AZ857" s="34"/>
      <c r="BA857" s="34"/>
      <c r="BB857" s="34"/>
      <c r="BC857" s="34"/>
    </row>
    <row r="858" spans="3:55" ht="12.95" customHeight="1">
      <c r="C858" s="2" t="s">
        <v>346</v>
      </c>
      <c r="J858" s="121" t="s">
        <v>1655</v>
      </c>
      <c r="K858" s="5"/>
      <c r="L858" s="5"/>
      <c r="M858" s="5"/>
      <c r="N858" s="5"/>
      <c r="O858" s="5"/>
      <c r="P858" s="5"/>
      <c r="Q858" s="5"/>
      <c r="R858" s="5"/>
      <c r="S858" s="5"/>
      <c r="T858" s="1723">
        <v>2</v>
      </c>
      <c r="U858" s="1692"/>
      <c r="V858" s="1724"/>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43">
        <v>62500</v>
      </c>
      <c r="X859" s="1644"/>
      <c r="Y859" s="1644"/>
      <c r="Z859" s="1644"/>
      <c r="AA859" s="1644"/>
      <c r="AB859" s="1644"/>
      <c r="AC859" s="1645"/>
      <c r="AD859" s="533"/>
      <c r="AZ859" s="34"/>
      <c r="BA859" s="34"/>
      <c r="BB859" s="34"/>
      <c r="BC859" s="34"/>
    </row>
    <row r="860" spans="3:55" ht="12.95" customHeight="1">
      <c r="C860" s="2"/>
      <c r="J860" s="121" t="s">
        <v>1656</v>
      </c>
      <c r="K860" s="5"/>
      <c r="L860" s="5"/>
      <c r="M860" s="5"/>
      <c r="N860" s="5"/>
      <c r="O860" s="5"/>
      <c r="P860" s="5"/>
      <c r="Q860" s="5"/>
      <c r="R860" s="5"/>
      <c r="S860" s="5"/>
      <c r="T860" s="1723">
        <v>2</v>
      </c>
      <c r="U860" s="1692"/>
      <c r="V860" s="1724"/>
      <c r="W860" s="874"/>
      <c r="X860" s="875"/>
      <c r="Y860" s="875"/>
      <c r="Z860" s="875"/>
      <c r="AA860" s="875"/>
      <c r="AB860" s="875"/>
      <c r="AC860" s="876"/>
      <c r="AD860" s="533"/>
      <c r="AZ860" s="34"/>
      <c r="BA860" s="34"/>
      <c r="BB860" s="34"/>
      <c r="BC860" s="34"/>
    </row>
    <row r="861" spans="3:55" ht="12.95" customHeight="1">
      <c r="J861" s="45" t="s">
        <v>169</v>
      </c>
      <c r="K861" s="5"/>
      <c r="L861" s="5"/>
      <c r="M861" s="1605" t="s">
        <v>2727</v>
      </c>
      <c r="N861" s="1606"/>
      <c r="O861" s="1606"/>
      <c r="P861" s="1606"/>
      <c r="Q861" s="1606"/>
      <c r="R861" s="1606"/>
      <c r="S861" s="1606"/>
      <c r="T861" s="1606"/>
      <c r="U861" s="1606"/>
      <c r="V861" s="1607"/>
      <c r="W861" s="1643">
        <v>39480</v>
      </c>
      <c r="X861" s="1644"/>
      <c r="Y861" s="1644"/>
      <c r="Z861" s="1644"/>
      <c r="AA861" s="1644"/>
      <c r="AB861" s="1644"/>
      <c r="AC861" s="1645"/>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25">
        <f>SUM(W857:W861)</f>
        <v>260480</v>
      </c>
      <c r="X862" s="1726"/>
      <c r="Y862" s="1726"/>
      <c r="Z862" s="1726"/>
      <c r="AA862" s="1726"/>
      <c r="AB862" s="1726"/>
      <c r="AC862" s="1727"/>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43">
        <v>160000</v>
      </c>
      <c r="X863" s="1644"/>
      <c r="Y863" s="1644"/>
      <c r="Z863" s="1644"/>
      <c r="AA863" s="1644"/>
      <c r="AB863" s="1644"/>
      <c r="AC863" s="1645"/>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7">
        <v>4800</v>
      </c>
      <c r="X865" s="1487"/>
      <c r="Y865" s="1487"/>
      <c r="Z865" s="1487"/>
      <c r="AA865" s="1487"/>
      <c r="AB865" s="1487"/>
      <c r="AC865" s="1487"/>
      <c r="AU865" s="14"/>
      <c r="AZ865" s="34"/>
      <c r="BA865" s="34"/>
      <c r="BB865" s="34"/>
      <c r="BC865" s="34"/>
    </row>
    <row r="866" spans="3:55" ht="12.95" customHeight="1">
      <c r="J866" s="45" t="s">
        <v>522</v>
      </c>
      <c r="K866" s="5"/>
      <c r="L866" s="5"/>
      <c r="M866" s="5"/>
      <c r="N866" s="5"/>
      <c r="O866" s="5"/>
      <c r="P866" s="5"/>
      <c r="Q866" s="5"/>
      <c r="R866" s="5"/>
      <c r="S866" s="5"/>
      <c r="T866" s="5"/>
      <c r="U866" s="5"/>
      <c r="V866" s="46"/>
      <c r="W866" s="1487">
        <v>28000</v>
      </c>
      <c r="X866" s="1487"/>
      <c r="Y866" s="1487"/>
      <c r="Z866" s="1487"/>
      <c r="AA866" s="1487"/>
      <c r="AB866" s="1487"/>
      <c r="AC866" s="1487"/>
      <c r="AU866" s="4"/>
      <c r="AZ866" s="34"/>
      <c r="BA866" s="34"/>
      <c r="BB866" s="34"/>
      <c r="BC866" s="34"/>
    </row>
    <row r="867" spans="3:55" ht="12.95" customHeight="1">
      <c r="J867" s="45" t="s">
        <v>521</v>
      </c>
      <c r="K867" s="5"/>
      <c r="L867" s="5"/>
      <c r="M867" s="5"/>
      <c r="N867" s="5"/>
      <c r="O867" s="5"/>
      <c r="P867" s="5"/>
      <c r="Q867" s="5"/>
      <c r="R867" s="5"/>
      <c r="S867" s="5"/>
      <c r="T867" s="5"/>
      <c r="U867" s="5"/>
      <c r="V867" s="46"/>
      <c r="W867" s="1487">
        <v>28700</v>
      </c>
      <c r="X867" s="1487"/>
      <c r="Y867" s="1487"/>
      <c r="Z867" s="1487"/>
      <c r="AA867" s="1487"/>
      <c r="AB867" s="1487"/>
      <c r="AC867" s="1487"/>
      <c r="AU867" s="4"/>
      <c r="AZ867" s="34"/>
      <c r="BA867" s="34"/>
      <c r="BB867" s="34"/>
      <c r="BC867" s="34"/>
    </row>
    <row r="868" spans="3:55" ht="12.95" customHeight="1">
      <c r="J868" s="45" t="s">
        <v>520</v>
      </c>
      <c r="K868" s="5"/>
      <c r="L868" s="5"/>
      <c r="M868" s="5"/>
      <c r="N868" s="5"/>
      <c r="O868" s="5"/>
      <c r="P868" s="5"/>
      <c r="Q868" s="5"/>
      <c r="R868" s="5"/>
      <c r="S868" s="5"/>
      <c r="T868" s="5"/>
      <c r="U868" s="5"/>
      <c r="V868" s="46"/>
      <c r="W868" s="1487">
        <v>7000</v>
      </c>
      <c r="X868" s="1487"/>
      <c r="Y868" s="1487"/>
      <c r="Z868" s="1487"/>
      <c r="AA868" s="1487"/>
      <c r="AB868" s="1487"/>
      <c r="AC868" s="1487"/>
      <c r="AU868" s="4"/>
      <c r="AZ868" s="34"/>
      <c r="BA868" s="34"/>
      <c r="BB868" s="34"/>
      <c r="BC868" s="34"/>
    </row>
    <row r="869" spans="3:55" ht="12.95" customHeight="1">
      <c r="J869" s="45" t="s">
        <v>519</v>
      </c>
      <c r="K869" s="5"/>
      <c r="L869" s="5"/>
      <c r="M869" s="5"/>
      <c r="N869" s="5"/>
      <c r="O869" s="5"/>
      <c r="P869" s="5"/>
      <c r="Q869" s="5"/>
      <c r="R869" s="5"/>
      <c r="S869" s="5"/>
      <c r="T869" s="5"/>
      <c r="U869" s="5"/>
      <c r="V869" s="46"/>
      <c r="W869" s="1487">
        <v>12000</v>
      </c>
      <c r="X869" s="1487"/>
      <c r="Y869" s="1487"/>
      <c r="Z869" s="1487"/>
      <c r="AA869" s="1487"/>
      <c r="AB869" s="1487"/>
      <c r="AC869" s="1487"/>
      <c r="AU869" s="4"/>
      <c r="AZ869" s="34"/>
      <c r="BA869" s="34"/>
      <c r="BB869" s="34"/>
      <c r="BC869" s="34"/>
    </row>
    <row r="870" spans="3:55" ht="12.95" customHeight="1">
      <c r="J870" s="45" t="s">
        <v>518</v>
      </c>
      <c r="K870" s="5"/>
      <c r="L870" s="5"/>
      <c r="M870" s="5"/>
      <c r="N870" s="5"/>
      <c r="O870" s="5"/>
      <c r="P870" s="5"/>
      <c r="Q870" s="5"/>
      <c r="R870" s="5"/>
      <c r="S870" s="5"/>
      <c r="T870" s="5"/>
      <c r="U870" s="5"/>
      <c r="V870" s="46"/>
      <c r="W870" s="1487">
        <v>7400</v>
      </c>
      <c r="X870" s="1487"/>
      <c r="Y870" s="1487"/>
      <c r="Z870" s="1487"/>
      <c r="AA870" s="1487"/>
      <c r="AB870" s="1487"/>
      <c r="AC870" s="1487"/>
      <c r="AU870" s="4"/>
      <c r="AZ870" s="34"/>
      <c r="BA870" s="34"/>
      <c r="BB870" s="34"/>
      <c r="BC870" s="34"/>
    </row>
    <row r="871" spans="3:55" ht="12.95" customHeight="1">
      <c r="J871" s="45" t="s">
        <v>169</v>
      </c>
      <c r="K871" s="5"/>
      <c r="L871" s="5"/>
      <c r="M871" s="1605" t="s">
        <v>333</v>
      </c>
      <c r="N871" s="1606"/>
      <c r="O871" s="1606"/>
      <c r="P871" s="1606"/>
      <c r="Q871" s="1606"/>
      <c r="R871" s="1606"/>
      <c r="S871" s="1606"/>
      <c r="T871" s="1606"/>
      <c r="U871" s="1606"/>
      <c r="V871" s="1607"/>
      <c r="W871" s="1487"/>
      <c r="X871" s="1487"/>
      <c r="Y871" s="1487"/>
      <c r="Z871" s="1487"/>
      <c r="AA871" s="1487"/>
      <c r="AB871" s="1487"/>
      <c r="AC871" s="148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61">
        <f>SUM(W865:W871)</f>
        <v>87900</v>
      </c>
      <c r="X872" s="1661"/>
      <c r="Y872" s="1661"/>
      <c r="Z872" s="1661"/>
      <c r="AA872" s="1661"/>
      <c r="AB872" s="1661"/>
      <c r="AC872" s="166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05" t="s">
        <v>333</v>
      </c>
      <c r="N874" s="1606"/>
      <c r="O874" s="1606"/>
      <c r="P874" s="1606"/>
      <c r="Q874" s="1606"/>
      <c r="R874" s="1606"/>
      <c r="S874" s="1606"/>
      <c r="T874" s="1606"/>
      <c r="U874" s="1606"/>
      <c r="V874" s="1607"/>
      <c r="W874" s="1483"/>
      <c r="X874" s="1484"/>
      <c r="Y874" s="1484"/>
      <c r="Z874" s="1484"/>
      <c r="AA874" s="1484"/>
      <c r="AB874" s="1484"/>
      <c r="AC874" s="1485"/>
      <c r="AD874" s="533"/>
      <c r="AV874" s="14"/>
      <c r="AW874" s="14"/>
      <c r="AX874" s="14"/>
      <c r="AY874" s="14"/>
      <c r="AZ874" s="34"/>
      <c r="BA874" s="34"/>
      <c r="BB874" s="34"/>
      <c r="BC874" s="34"/>
    </row>
    <row r="875" spans="3:55" ht="12.95" customHeight="1">
      <c r="C875" s="2" t="s">
        <v>1244</v>
      </c>
      <c r="J875" s="45" t="s">
        <v>169</v>
      </c>
      <c r="K875" s="5"/>
      <c r="L875" s="5"/>
      <c r="M875" s="1605" t="s">
        <v>333</v>
      </c>
      <c r="N875" s="1606"/>
      <c r="O875" s="1606"/>
      <c r="P875" s="1606"/>
      <c r="Q875" s="1606"/>
      <c r="R875" s="1606"/>
      <c r="S875" s="1606"/>
      <c r="T875" s="1606"/>
      <c r="U875" s="1606"/>
      <c r="V875" s="1607"/>
      <c r="W875" s="1483"/>
      <c r="X875" s="1484"/>
      <c r="Y875" s="1484"/>
      <c r="Z875" s="1484"/>
      <c r="AA875" s="1484"/>
      <c r="AB875" s="1484"/>
      <c r="AC875" s="1485"/>
      <c r="AD875" s="533"/>
      <c r="AV875" s="14"/>
      <c r="AW875" s="14"/>
      <c r="AX875" s="14"/>
      <c r="AY875" s="14"/>
      <c r="AZ875" s="34"/>
      <c r="BA875" s="34"/>
      <c r="BB875" s="34"/>
      <c r="BC875" s="34"/>
    </row>
    <row r="876" spans="3:55" ht="12.95" customHeight="1">
      <c r="J876" s="45" t="s">
        <v>169</v>
      </c>
      <c r="K876" s="5"/>
      <c r="L876" s="5"/>
      <c r="M876" s="1605" t="s">
        <v>333</v>
      </c>
      <c r="N876" s="1606"/>
      <c r="O876" s="1606"/>
      <c r="P876" s="1606"/>
      <c r="Q876" s="1606"/>
      <c r="R876" s="1606"/>
      <c r="S876" s="1606"/>
      <c r="T876" s="1606"/>
      <c r="U876" s="1606"/>
      <c r="V876" s="1607"/>
      <c r="W876" s="1483"/>
      <c r="X876" s="1484"/>
      <c r="Y876" s="1484"/>
      <c r="Z876" s="1484"/>
      <c r="AA876" s="1484"/>
      <c r="AB876" s="1484"/>
      <c r="AC876" s="1485"/>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05" t="s">
        <v>333</v>
      </c>
      <c r="N877" s="1606"/>
      <c r="O877" s="1606"/>
      <c r="P877" s="1606"/>
      <c r="Q877" s="1606"/>
      <c r="R877" s="1606"/>
      <c r="S877" s="1606"/>
      <c r="T877" s="1606"/>
      <c r="U877" s="1606"/>
      <c r="V877" s="1607"/>
      <c r="W877" s="1483"/>
      <c r="X877" s="1484"/>
      <c r="Y877" s="1484"/>
      <c r="Z877" s="1484"/>
      <c r="AA877" s="1484"/>
      <c r="AB877" s="1484"/>
      <c r="AC877" s="1485"/>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05" t="s">
        <v>333</v>
      </c>
      <c r="N878" s="1606"/>
      <c r="O878" s="1606"/>
      <c r="P878" s="1606"/>
      <c r="Q878" s="1606"/>
      <c r="R878" s="1606"/>
      <c r="S878" s="1606"/>
      <c r="T878" s="1606"/>
      <c r="U878" s="1606"/>
      <c r="V878" s="1607"/>
      <c r="W878" s="1483"/>
      <c r="X878" s="1484"/>
      <c r="Y878" s="1484"/>
      <c r="Z878" s="1484"/>
      <c r="AA878" s="1484"/>
      <c r="AB878" s="1484"/>
      <c r="AC878" s="1485"/>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29">
        <f>SUM(W874:W878)</f>
        <v>0</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30">
        <f>W847+W855+W862+W863+W872+W879+W849</f>
        <v>916000</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28">
        <f>O797+O777+G753</f>
        <v>160</v>
      </c>
      <c r="AD884" s="1728"/>
      <c r="AE884" s="1728"/>
      <c r="AF884" s="1728"/>
      <c r="AG884" s="1728"/>
      <c r="AH884" s="1729"/>
      <c r="AL884" s="4"/>
      <c r="AM884" s="4"/>
      <c r="AN884" s="4"/>
      <c r="AO884" s="4"/>
      <c r="AP884" s="4"/>
      <c r="AQ884" s="4"/>
      <c r="AR884" s="4"/>
      <c r="AS884" s="4"/>
      <c r="AT884" s="4"/>
      <c r="AZ884" s="34"/>
      <c r="BA884" s="34"/>
      <c r="BB884" s="34"/>
      <c r="BC884" s="34"/>
    </row>
    <row r="885" spans="3:55" ht="12.95" customHeight="1">
      <c r="C885" s="41"/>
      <c r="D885" s="42"/>
      <c r="E885" s="1655" t="s">
        <v>32</v>
      </c>
      <c r="F885" s="1655"/>
      <c r="G885" s="1655"/>
      <c r="H885" s="1655"/>
      <c r="I885" s="1655"/>
      <c r="J885" s="1655"/>
      <c r="K885" s="1655"/>
      <c r="L885" s="1655"/>
      <c r="M885" s="1655"/>
      <c r="N885" s="1655"/>
      <c r="O885" s="1655"/>
      <c r="P885" s="1655"/>
      <c r="Q885" s="1655"/>
      <c r="R885" s="1655"/>
      <c r="S885" s="1655"/>
      <c r="T885" s="1655"/>
      <c r="U885" s="1655"/>
      <c r="V885" s="1655"/>
      <c r="W885" s="1655"/>
      <c r="X885" s="1655"/>
      <c r="Y885" s="1655"/>
      <c r="Z885" s="1655"/>
      <c r="AA885" s="1655"/>
      <c r="AB885" s="1656"/>
      <c r="AC885" s="1661">
        <f>IF(ISERROR((ROUNDDOWN(AC883/AC884,0))),0,(ROUNDDOWN(AC883/AC884,0)))</f>
        <v>5725</v>
      </c>
      <c r="AD885" s="1661"/>
      <c r="AE885" s="1661"/>
      <c r="AF885" s="1661"/>
      <c r="AG885" s="1661"/>
      <c r="AH885" s="166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30"/>
      <c r="AD886" s="1731"/>
      <c r="AE886" s="1731"/>
      <c r="AF886" s="1731"/>
      <c r="AG886" s="1731"/>
      <c r="AH886" s="173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85"/>
      <c r="AD887" s="1487"/>
      <c r="AE887" s="1487"/>
      <c r="AF887" s="1487"/>
      <c r="AG887" s="1487"/>
      <c r="AH887" s="148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84">
        <v>31800</v>
      </c>
      <c r="AD888" s="1484"/>
      <c r="AE888" s="1484"/>
      <c r="AF888" s="1484"/>
      <c r="AG888" s="1484"/>
      <c r="AH888" s="1485"/>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84">
        <v>40000</v>
      </c>
      <c r="AD889" s="1484"/>
      <c r="AE889" s="1484"/>
      <c r="AF889" s="1484"/>
      <c r="AG889" s="1484"/>
      <c r="AH889" s="1485"/>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68"/>
      <c r="AD890" s="1469"/>
      <c r="AE890" s="1469"/>
      <c r="AF890" s="1469"/>
      <c r="AG890" s="1469"/>
      <c r="AH890" s="1470"/>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84">
        <v>10000</v>
      </c>
      <c r="AD891" s="1484"/>
      <c r="AE891" s="1484"/>
      <c r="AF891" s="1484"/>
      <c r="AG891" s="1484"/>
      <c r="AH891" s="1485"/>
      <c r="AZ891" s="34"/>
      <c r="BA891" s="34"/>
      <c r="BB891" s="34"/>
      <c r="BC891" s="34"/>
    </row>
    <row r="892" spans="3:55" ht="12.95" hidden="1" customHeight="1">
      <c r="C892" s="1458" t="s">
        <v>2232</v>
      </c>
      <c r="D892" s="1459"/>
      <c r="E892" s="1459"/>
      <c r="F892" s="1459"/>
      <c r="G892" s="1459"/>
      <c r="H892" s="1459"/>
      <c r="I892" s="1459"/>
      <c r="J892" s="1459"/>
      <c r="K892" s="1459"/>
      <c r="L892" s="1459"/>
      <c r="M892" s="1459"/>
      <c r="N892" s="1459"/>
      <c r="O892" s="1459"/>
      <c r="P892" s="1459"/>
      <c r="Q892" s="1459"/>
      <c r="R892" s="1459"/>
      <c r="S892" s="1459"/>
      <c r="T892" s="1459"/>
      <c r="U892" s="1459"/>
      <c r="V892" s="1459"/>
      <c r="W892" s="1459"/>
      <c r="X892" s="1459"/>
      <c r="Y892" s="1459"/>
      <c r="Z892" s="1459"/>
      <c r="AA892" s="1459"/>
      <c r="AB892" s="1460"/>
      <c r="AC892" s="1484"/>
      <c r="AD892" s="1484"/>
      <c r="AE892" s="1484"/>
      <c r="AF892" s="1484"/>
      <c r="AG892" s="1484"/>
      <c r="AH892" s="1485"/>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84"/>
      <c r="AD893" s="1484"/>
      <c r="AE893" s="1484"/>
      <c r="AF893" s="1484"/>
      <c r="AG893" s="1484"/>
      <c r="AH893" s="1485"/>
      <c r="AZ893" s="34"/>
      <c r="BA893" s="34"/>
      <c r="BB893" s="34"/>
      <c r="BC893" s="34"/>
    </row>
    <row r="894" spans="3:55" ht="12.95" customHeight="1">
      <c r="C894" s="1646" t="s">
        <v>956</v>
      </c>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487"/>
      <c r="AD894" s="1487"/>
      <c r="AE894" s="1487"/>
      <c r="AF894" s="1487"/>
      <c r="AG894" s="1487"/>
      <c r="AH894" s="1487"/>
      <c r="AZ894" s="34"/>
      <c r="BA894" s="34"/>
      <c r="BB894" s="34"/>
      <c r="BC894" s="34"/>
    </row>
    <row r="895" spans="3:55" ht="12.95" customHeight="1">
      <c r="C895" s="1646" t="s">
        <v>956</v>
      </c>
      <c r="D895" s="1647"/>
      <c r="E895" s="1647"/>
      <c r="F895" s="1647"/>
      <c r="G895" s="1647"/>
      <c r="H895" s="1647"/>
      <c r="I895" s="1647"/>
      <c r="J895" s="1647"/>
      <c r="K895" s="1647"/>
      <c r="L895" s="1647"/>
      <c r="M895" s="1647"/>
      <c r="N895" s="1647"/>
      <c r="O895" s="1647"/>
      <c r="P895" s="1647"/>
      <c r="Q895" s="1647"/>
      <c r="R895" s="1647"/>
      <c r="S895" s="1647"/>
      <c r="T895" s="1647"/>
      <c r="U895" s="1647"/>
      <c r="V895" s="1647"/>
      <c r="W895" s="1647"/>
      <c r="X895" s="1647"/>
      <c r="Y895" s="1647"/>
      <c r="Z895" s="1647"/>
      <c r="AA895" s="1647"/>
      <c r="AB895" s="1648"/>
      <c r="AC895" s="1487"/>
      <c r="AD895" s="1487"/>
      <c r="AE895" s="1487"/>
      <c r="AF895" s="1487"/>
      <c r="AG895" s="1487"/>
      <c r="AH895" s="148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83"/>
      <c r="AA899" s="1484"/>
      <c r="AB899" s="1484"/>
      <c r="AC899" s="1484"/>
      <c r="AD899" s="1484"/>
      <c r="AE899" s="1485"/>
      <c r="AF899" s="533"/>
      <c r="AZ899" s="34"/>
      <c r="BB899" s="30"/>
      <c r="BC899" s="816"/>
      <c r="BD899" s="1642"/>
      <c r="BE899" s="1642"/>
      <c r="BF899" s="14"/>
    </row>
    <row r="900" spans="1:58" ht="12.95" customHeight="1">
      <c r="H900" s="121" t="s">
        <v>238</v>
      </c>
      <c r="I900" s="5"/>
      <c r="J900" s="5"/>
      <c r="K900" s="5"/>
      <c r="L900" s="5"/>
      <c r="M900" s="5"/>
      <c r="N900" s="5"/>
      <c r="O900" s="5"/>
      <c r="P900" s="5"/>
      <c r="Q900" s="5"/>
      <c r="R900" s="5"/>
      <c r="S900" s="5"/>
      <c r="T900" s="5"/>
      <c r="U900" s="5"/>
      <c r="V900" s="5"/>
      <c r="W900" s="5"/>
      <c r="X900" s="5"/>
      <c r="Y900" s="5"/>
      <c r="Z900" s="1483"/>
      <c r="AA900" s="1484"/>
      <c r="AB900" s="1484"/>
      <c r="AC900" s="1484"/>
      <c r="AD900" s="1484"/>
      <c r="AE900" s="1485"/>
      <c r="AZ900" s="34"/>
      <c r="BB900" s="30"/>
      <c r="BC900" s="816"/>
      <c r="BD900" s="1642"/>
      <c r="BE900" s="1642"/>
      <c r="BF900" s="14"/>
    </row>
    <row r="901" spans="1:58" ht="12.95" customHeight="1">
      <c r="H901" s="121" t="s">
        <v>239</v>
      </c>
      <c r="I901" s="5"/>
      <c r="J901" s="5"/>
      <c r="K901" s="5"/>
      <c r="L901" s="5"/>
      <c r="M901" s="5"/>
      <c r="N901" s="5"/>
      <c r="O901" s="5"/>
      <c r="P901" s="5"/>
      <c r="Q901" s="5"/>
      <c r="R901" s="5"/>
      <c r="S901" s="5"/>
      <c r="T901" s="5"/>
      <c r="U901" s="5"/>
      <c r="V901" s="5"/>
      <c r="W901" s="5"/>
      <c r="X901" s="5"/>
      <c r="Y901" s="5"/>
      <c r="Z901" s="1483"/>
      <c r="AA901" s="1484"/>
      <c r="AB901" s="1484"/>
      <c r="AC901" s="1484"/>
      <c r="AD901" s="1484"/>
      <c r="AE901" s="1485"/>
      <c r="AZ901" s="34"/>
      <c r="BB901" s="30"/>
      <c r="BC901" s="816"/>
      <c r="BD901" s="1641"/>
      <c r="BE901" s="1641"/>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29">
        <f>Z899-(Z900+Z901)</f>
        <v>0</v>
      </c>
      <c r="AA902" s="1630"/>
      <c r="AB902" s="1630"/>
      <c r="AC902" s="1630"/>
      <c r="AD902" s="1630"/>
      <c r="AE902" s="1631"/>
      <c r="AZ902" s="34"/>
      <c r="BB902" s="30"/>
      <c r="BC902" s="816"/>
      <c r="BD902" s="1641"/>
      <c r="BE902" s="164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22"/>
      <c r="BE905" s="1722"/>
      <c r="BF905" s="1722"/>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9"/>
      <c r="BE906" s="1669"/>
      <c r="BF906" s="1669"/>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2.95" customHeight="1">
      <c r="AZ909" s="34"/>
      <c r="BB909" s="30"/>
      <c r="BC909" s="816"/>
    </row>
    <row r="910" spans="1:58" ht="12.95" customHeight="1">
      <c r="A910" s="1419" t="s">
        <v>96</v>
      </c>
      <c r="B910" s="1419"/>
      <c r="C910" s="1419"/>
      <c r="D910" s="1419"/>
      <c r="E910" s="1419"/>
      <c r="F910" s="1419"/>
      <c r="G910" s="1419"/>
      <c r="H910" s="1419"/>
      <c r="I910" s="1419"/>
      <c r="J910" s="1419"/>
      <c r="K910" s="1419"/>
      <c r="L910" s="1419"/>
      <c r="M910" s="1419"/>
      <c r="N910" s="1419"/>
      <c r="O910" s="1419"/>
      <c r="P910" s="1419"/>
      <c r="Q910" s="1419"/>
      <c r="R910" s="1419"/>
      <c r="S910" s="1419"/>
      <c r="T910" s="1419"/>
      <c r="U910" s="1419"/>
      <c r="V910" s="1419"/>
      <c r="W910" s="1419"/>
      <c r="X910" s="1419"/>
      <c r="Y910" s="1419"/>
      <c r="Z910" s="1419"/>
      <c r="AA910" s="1419"/>
      <c r="AB910" s="1419"/>
      <c r="AC910" s="1419"/>
      <c r="AD910" s="1419"/>
      <c r="AE910" s="1419"/>
      <c r="AF910" s="1419"/>
      <c r="AG910" s="1419"/>
      <c r="AH910" s="1419"/>
      <c r="AI910" s="1419"/>
      <c r="AJ910" s="1419"/>
      <c r="AK910" s="1419"/>
      <c r="AL910" s="1419"/>
      <c r="AM910" s="1419"/>
      <c r="AN910" s="1419"/>
      <c r="AO910" s="1419"/>
      <c r="AP910" s="1419"/>
      <c r="AQ910" s="1419"/>
      <c r="AR910" s="1419"/>
      <c r="AS910" s="1419"/>
      <c r="AT910" s="1419"/>
      <c r="AZ910" s="34"/>
      <c r="BA910" s="34"/>
      <c r="BB910" s="30"/>
      <c r="BC910" s="30"/>
      <c r="BD910" s="1642"/>
      <c r="BE910" s="1641"/>
      <c r="BF910" s="911"/>
    </row>
    <row r="911" spans="1:58" ht="12.95" customHeight="1">
      <c r="A911" s="1419"/>
      <c r="B911" s="1419"/>
      <c r="C911" s="1419"/>
      <c r="D911" s="1419"/>
      <c r="E911" s="1419"/>
      <c r="F911" s="1419"/>
      <c r="G911" s="1419"/>
      <c r="H911" s="1419"/>
      <c r="I911" s="1419"/>
      <c r="J911" s="1419"/>
      <c r="K911" s="1419"/>
      <c r="L911" s="1419"/>
      <c r="M911" s="1419"/>
      <c r="N911" s="1419"/>
      <c r="O911" s="1419"/>
      <c r="P911" s="1419"/>
      <c r="Q911" s="1419"/>
      <c r="R911" s="1419"/>
      <c r="S911" s="1419"/>
      <c r="T911" s="1419"/>
      <c r="U911" s="1419"/>
      <c r="V911" s="1419"/>
      <c r="W911" s="1419"/>
      <c r="X911" s="1419"/>
      <c r="Y911" s="1419"/>
      <c r="Z911" s="1419"/>
      <c r="AA911" s="1419"/>
      <c r="AB911" s="1419"/>
      <c r="AC911" s="1419"/>
      <c r="AD911" s="1419"/>
      <c r="AE911" s="1419"/>
      <c r="AF911" s="1419"/>
      <c r="AG911" s="1419"/>
      <c r="AH911" s="1419"/>
      <c r="AI911" s="1419"/>
      <c r="AJ911" s="1419"/>
      <c r="AK911" s="1419"/>
      <c r="AL911" s="1419"/>
      <c r="AM911" s="1419"/>
      <c r="AN911" s="1419"/>
      <c r="AO911" s="1419"/>
      <c r="AP911" s="1419"/>
      <c r="AQ911" s="1419"/>
      <c r="AR911" s="1419"/>
      <c r="AS911" s="1419"/>
      <c r="AT911" s="141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8" t="s">
        <v>792</v>
      </c>
      <c r="G915" s="1659"/>
      <c r="H915" s="1659"/>
      <c r="I915" s="1659"/>
      <c r="J915" s="1659"/>
      <c r="K915" s="1659"/>
      <c r="L915" s="1659"/>
      <c r="M915" s="1659"/>
      <c r="N915" s="1659"/>
      <c r="O915" s="1659"/>
      <c r="P915" s="1659"/>
      <c r="Q915" s="1659"/>
      <c r="R915" s="1659"/>
      <c r="S915" s="1659"/>
      <c r="T915" s="1660"/>
      <c r="U915" s="1596" t="s">
        <v>31</v>
      </c>
      <c r="V915" s="1597"/>
      <c r="W915" s="1597"/>
      <c r="X915" s="1597"/>
      <c r="Y915" s="1597"/>
      <c r="Z915" s="1597"/>
      <c r="AA915" s="43"/>
      <c r="AB915" s="105"/>
      <c r="AC915" s="105"/>
      <c r="AD915" s="105"/>
      <c r="AE915" s="105"/>
      <c r="AF915" s="106"/>
      <c r="AZ915" s="34"/>
      <c r="BA915" s="34"/>
      <c r="BB915" s="34"/>
      <c r="BC915" s="34"/>
    </row>
    <row r="916" spans="1:58" ht="12.95" customHeight="1">
      <c r="B916" s="2"/>
      <c r="F916" s="1598" t="s">
        <v>818</v>
      </c>
      <c r="G916" s="1599"/>
      <c r="H916" s="1599"/>
      <c r="I916" s="1599"/>
      <c r="J916" s="1599"/>
      <c r="K916" s="1599"/>
      <c r="L916" s="1599"/>
      <c r="M916" s="1599"/>
      <c r="N916" s="1599"/>
      <c r="O916" s="1599"/>
      <c r="P916" s="1599"/>
      <c r="Q916" s="1599"/>
      <c r="R916" s="1599"/>
      <c r="S916" s="1599"/>
      <c r="T916" s="1611"/>
      <c r="U916" s="1598"/>
      <c r="V916" s="1599"/>
      <c r="W916" s="1599"/>
      <c r="X916" s="1599"/>
      <c r="Y916" s="1599"/>
      <c r="Z916" s="1599"/>
      <c r="AA916" s="44"/>
      <c r="AB916" s="4"/>
      <c r="AC916" s="4"/>
      <c r="AD916" s="4"/>
      <c r="AE916" s="4"/>
      <c r="AF916" s="107"/>
      <c r="AZ916" s="34"/>
      <c r="BA916" s="34"/>
      <c r="BB916" s="34"/>
      <c r="BC916" s="34"/>
    </row>
    <row r="917" spans="1:58" ht="12.95" customHeight="1">
      <c r="B917" s="2"/>
      <c r="F917" s="1600"/>
      <c r="G917" s="1601"/>
      <c r="H917" s="1601"/>
      <c r="I917" s="1601"/>
      <c r="J917" s="1601"/>
      <c r="K917" s="1601"/>
      <c r="L917" s="1601"/>
      <c r="M917" s="1601"/>
      <c r="N917" s="1601"/>
      <c r="O917" s="1601"/>
      <c r="P917" s="1601"/>
      <c r="Q917" s="1601"/>
      <c r="R917" s="1601"/>
      <c r="S917" s="1601"/>
      <c r="T917" s="1612"/>
      <c r="U917" s="1600"/>
      <c r="V917" s="1601"/>
      <c r="W917" s="1601"/>
      <c r="X917" s="1601"/>
      <c r="Y917" s="1601"/>
      <c r="Z917" s="1601"/>
      <c r="AA917" s="108"/>
      <c r="AB917" s="1650" t="s">
        <v>390</v>
      </c>
      <c r="AC917" s="1650"/>
      <c r="AD917" s="1650"/>
      <c r="AE917" s="1650"/>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397" t="s">
        <v>545</v>
      </c>
      <c r="V918" s="1398"/>
      <c r="W918" s="1398"/>
      <c r="X918" s="1398"/>
      <c r="Y918" s="1398"/>
      <c r="Z918" s="1399"/>
      <c r="AA918" s="1572">
        <v>22500000</v>
      </c>
      <c r="AB918" s="1573"/>
      <c r="AC918" s="1573"/>
      <c r="AD918" s="1573"/>
      <c r="AE918" s="1573"/>
      <c r="AF918" s="1574"/>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397" t="s">
        <v>545</v>
      </c>
      <c r="V919" s="1398"/>
      <c r="W919" s="1398"/>
      <c r="X919" s="1398"/>
      <c r="Y919" s="1398"/>
      <c r="Z919" s="1399"/>
      <c r="AA919" s="1572">
        <v>40500000</v>
      </c>
      <c r="AB919" s="1573"/>
      <c r="AC919" s="1573"/>
      <c r="AD919" s="1573"/>
      <c r="AE919" s="1573"/>
      <c r="AF919" s="1574"/>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397" t="s">
        <v>591</v>
      </c>
      <c r="V920" s="1398"/>
      <c r="W920" s="1398"/>
      <c r="X920" s="1398"/>
      <c r="Y920" s="1398"/>
      <c r="Z920" s="1399"/>
      <c r="AA920" s="1572"/>
      <c r="AB920" s="1573"/>
      <c r="AC920" s="1573"/>
      <c r="AD920" s="1573"/>
      <c r="AE920" s="1573"/>
      <c r="AF920" s="1574"/>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397" t="s">
        <v>591</v>
      </c>
      <c r="V921" s="1398"/>
      <c r="W921" s="1398"/>
      <c r="X921" s="1398"/>
      <c r="Y921" s="1398"/>
      <c r="Z921" s="1399"/>
      <c r="AA921" s="1572"/>
      <c r="AB921" s="1573"/>
      <c r="AC921" s="1573"/>
      <c r="AD921" s="1573"/>
      <c r="AE921" s="1573"/>
      <c r="AF921" s="1574"/>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397" t="s">
        <v>591</v>
      </c>
      <c r="V922" s="1398"/>
      <c r="W922" s="1398"/>
      <c r="X922" s="1398"/>
      <c r="Y922" s="1398"/>
      <c r="Z922" s="1399"/>
      <c r="AA922" s="1572"/>
      <c r="AB922" s="1573"/>
      <c r="AC922" s="1573"/>
      <c r="AD922" s="1573"/>
      <c r="AE922" s="1573"/>
      <c r="AF922" s="1574"/>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397" t="s">
        <v>591</v>
      </c>
      <c r="V923" s="1398"/>
      <c r="W923" s="1398"/>
      <c r="X923" s="1398"/>
      <c r="Y923" s="1398"/>
      <c r="Z923" s="1399"/>
      <c r="AA923" s="1572"/>
      <c r="AB923" s="1573"/>
      <c r="AC923" s="1573"/>
      <c r="AD923" s="1573"/>
      <c r="AE923" s="1573"/>
      <c r="AF923" s="1574"/>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397" t="s">
        <v>591</v>
      </c>
      <c r="V924" s="1398"/>
      <c r="W924" s="1398"/>
      <c r="X924" s="1398"/>
      <c r="Y924" s="1398"/>
      <c r="Z924" s="1399"/>
      <c r="AA924" s="1572"/>
      <c r="AB924" s="1573"/>
      <c r="AC924" s="1573"/>
      <c r="AD924" s="1573"/>
      <c r="AE924" s="1573"/>
      <c r="AF924" s="1574"/>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397" t="s">
        <v>591</v>
      </c>
      <c r="V925" s="1398"/>
      <c r="W925" s="1398"/>
      <c r="X925" s="1398"/>
      <c r="Y925" s="1398"/>
      <c r="Z925" s="1399"/>
      <c r="AA925" s="1572"/>
      <c r="AB925" s="1573"/>
      <c r="AC925" s="1573"/>
      <c r="AD925" s="1573"/>
      <c r="AE925" s="1573"/>
      <c r="AF925" s="1574"/>
      <c r="AZ925" s="34"/>
      <c r="BA925" s="34"/>
      <c r="BB925" s="34"/>
      <c r="BC925" s="34"/>
    </row>
    <row r="926" spans="1:58" ht="12.95" customHeight="1">
      <c r="F926" s="1613" t="s">
        <v>2192</v>
      </c>
      <c r="G926" s="1614"/>
      <c r="H926" s="1614"/>
      <c r="I926" s="1614"/>
      <c r="J926" s="1614"/>
      <c r="K926" s="1614"/>
      <c r="L926" s="1614"/>
      <c r="M926" s="1614"/>
      <c r="N926" s="1614"/>
      <c r="O926" s="1614"/>
      <c r="P926" s="1614"/>
      <c r="Q926" s="1614"/>
      <c r="R926" s="1614"/>
      <c r="S926" s="1614"/>
      <c r="T926" s="1615"/>
      <c r="U926" s="1397" t="s">
        <v>591</v>
      </c>
      <c r="V926" s="1398"/>
      <c r="W926" s="1398"/>
      <c r="X926" s="1398"/>
      <c r="Y926" s="1398"/>
      <c r="Z926" s="1399"/>
      <c r="AA926" s="1572"/>
      <c r="AB926" s="1573"/>
      <c r="AC926" s="1573"/>
      <c r="AD926" s="1573"/>
      <c r="AE926" s="1573"/>
      <c r="AF926" s="1574"/>
      <c r="AZ926" s="34"/>
      <c r="BA926" s="34"/>
      <c r="BB926" s="34"/>
      <c r="BC926" s="34"/>
    </row>
    <row r="927" spans="1:58" ht="12.95" customHeight="1">
      <c r="F927" s="1613" t="s">
        <v>679</v>
      </c>
      <c r="G927" s="1614"/>
      <c r="H927" s="1614"/>
      <c r="I927" s="1614"/>
      <c r="J927" s="1614"/>
      <c r="K927" s="1614"/>
      <c r="L927" s="1614"/>
      <c r="M927" s="1614"/>
      <c r="N927" s="1614"/>
      <c r="O927" s="1614"/>
      <c r="P927" s="1614"/>
      <c r="Q927" s="1614"/>
      <c r="R927" s="1614"/>
      <c r="S927" s="1614"/>
      <c r="T927" s="1615"/>
      <c r="U927" s="1397" t="s">
        <v>591</v>
      </c>
      <c r="V927" s="1398"/>
      <c r="W927" s="1398"/>
      <c r="X927" s="1398"/>
      <c r="Y927" s="1398"/>
      <c r="Z927" s="1399"/>
      <c r="AA927" s="1572"/>
      <c r="AB927" s="1573"/>
      <c r="AC927" s="1573"/>
      <c r="AD927" s="1573"/>
      <c r="AE927" s="1573"/>
      <c r="AF927" s="1574"/>
      <c r="AU927" s="2"/>
      <c r="AZ927" s="34"/>
      <c r="BA927" s="34"/>
      <c r="BB927" s="34"/>
      <c r="BC927" s="34"/>
    </row>
    <row r="928" spans="1:58" ht="12.95" customHeight="1">
      <c r="F928" s="1613" t="s">
        <v>2193</v>
      </c>
      <c r="G928" s="1614"/>
      <c r="H928" s="1614"/>
      <c r="I928" s="1614"/>
      <c r="J928" s="1614"/>
      <c r="K928" s="1614"/>
      <c r="L928" s="1614"/>
      <c r="M928" s="1614"/>
      <c r="N928" s="1614"/>
      <c r="O928" s="1614"/>
      <c r="P928" s="1614"/>
      <c r="Q928" s="1614"/>
      <c r="R928" s="1614"/>
      <c r="S928" s="1614"/>
      <c r="T928" s="1615"/>
      <c r="U928" s="1397" t="s">
        <v>591</v>
      </c>
      <c r="V928" s="1398"/>
      <c r="W928" s="1398"/>
      <c r="X928" s="1398"/>
      <c r="Y928" s="1398"/>
      <c r="Z928" s="1399"/>
      <c r="AA928" s="1572"/>
      <c r="AB928" s="1573"/>
      <c r="AC928" s="1573"/>
      <c r="AD928" s="1573"/>
      <c r="AE928" s="1573"/>
      <c r="AF928" s="1574"/>
      <c r="AU928" s="2"/>
      <c r="AZ928" s="34"/>
      <c r="BA928" s="34"/>
      <c r="BB928" s="34"/>
      <c r="BC928" s="34"/>
    </row>
    <row r="929" spans="6:55" ht="12.95" customHeight="1">
      <c r="F929" s="1613" t="s">
        <v>2194</v>
      </c>
      <c r="G929" s="1614"/>
      <c r="H929" s="1614"/>
      <c r="I929" s="1614"/>
      <c r="J929" s="1614"/>
      <c r="K929" s="1614"/>
      <c r="L929" s="1614"/>
      <c r="M929" s="1614"/>
      <c r="N929" s="1614"/>
      <c r="O929" s="1614"/>
      <c r="P929" s="1614"/>
      <c r="Q929" s="1614"/>
      <c r="R929" s="1614"/>
      <c r="S929" s="1614"/>
      <c r="T929" s="1615"/>
      <c r="U929" s="1397" t="s">
        <v>591</v>
      </c>
      <c r="V929" s="1398"/>
      <c r="W929" s="1398"/>
      <c r="X929" s="1398"/>
      <c r="Y929" s="1398"/>
      <c r="Z929" s="1399"/>
      <c r="AA929" s="1572"/>
      <c r="AB929" s="1573"/>
      <c r="AC929" s="1573"/>
      <c r="AD929" s="1573"/>
      <c r="AE929" s="1573"/>
      <c r="AF929" s="1574"/>
      <c r="AU929" s="2"/>
      <c r="AZ929" s="34"/>
      <c r="BA929" s="34"/>
      <c r="BB929" s="34"/>
      <c r="BC929" s="34"/>
    </row>
    <row r="930" spans="6:55" ht="12.95" customHeight="1">
      <c r="F930" s="1613" t="s">
        <v>2195</v>
      </c>
      <c r="G930" s="1614"/>
      <c r="H930" s="1614"/>
      <c r="I930" s="1614"/>
      <c r="J930" s="1614"/>
      <c r="K930" s="1614"/>
      <c r="L930" s="1614"/>
      <c r="M930" s="1614"/>
      <c r="N930" s="1614"/>
      <c r="O930" s="1614"/>
      <c r="P930" s="1614"/>
      <c r="Q930" s="1614"/>
      <c r="R930" s="1614"/>
      <c r="S930" s="1614"/>
      <c r="T930" s="1615"/>
      <c r="U930" s="1397" t="s">
        <v>591</v>
      </c>
      <c r="V930" s="1398"/>
      <c r="W930" s="1398"/>
      <c r="X930" s="1398"/>
      <c r="Y930" s="1398"/>
      <c r="Z930" s="1399"/>
      <c r="AA930" s="1572"/>
      <c r="AB930" s="1573"/>
      <c r="AC930" s="1573"/>
      <c r="AD930" s="1573"/>
      <c r="AE930" s="1573"/>
      <c r="AF930" s="1574"/>
      <c r="AU930" s="2"/>
      <c r="AZ930" s="34"/>
      <c r="BA930" s="34"/>
      <c r="BB930" s="34"/>
      <c r="BC930" s="34"/>
    </row>
    <row r="931" spans="6:55" ht="12.95" customHeight="1">
      <c r="F931" s="1613" t="s">
        <v>2196</v>
      </c>
      <c r="G931" s="1614"/>
      <c r="H931" s="1614"/>
      <c r="I931" s="1614"/>
      <c r="J931" s="1614"/>
      <c r="K931" s="1614"/>
      <c r="L931" s="1614"/>
      <c r="M931" s="1614"/>
      <c r="N931" s="1614"/>
      <c r="O931" s="1614"/>
      <c r="P931" s="1614"/>
      <c r="Q931" s="1614"/>
      <c r="R931" s="1614"/>
      <c r="S931" s="1614"/>
      <c r="T931" s="1615"/>
      <c r="U931" s="1397" t="s">
        <v>591</v>
      </c>
      <c r="V931" s="1398"/>
      <c r="W931" s="1398"/>
      <c r="X931" s="1398"/>
      <c r="Y931" s="1398"/>
      <c r="Z931" s="1399"/>
      <c r="AA931" s="1572"/>
      <c r="AB931" s="1573"/>
      <c r="AC931" s="1573"/>
      <c r="AD931" s="1573"/>
      <c r="AE931" s="1573"/>
      <c r="AF931" s="1574"/>
      <c r="AU931" s="2"/>
      <c r="AZ931" s="34"/>
      <c r="BA931" s="34"/>
      <c r="BB931" s="34"/>
      <c r="BC931" s="34"/>
    </row>
    <row r="932" spans="6:55" ht="12.95" customHeight="1">
      <c r="F932" s="1613" t="s">
        <v>2197</v>
      </c>
      <c r="G932" s="1614"/>
      <c r="H932" s="1614"/>
      <c r="I932" s="1614"/>
      <c r="J932" s="1614"/>
      <c r="K932" s="1614"/>
      <c r="L932" s="1614"/>
      <c r="M932" s="1614"/>
      <c r="N932" s="1614"/>
      <c r="O932" s="1614"/>
      <c r="P932" s="1614"/>
      <c r="Q932" s="1614"/>
      <c r="R932" s="1614"/>
      <c r="S932" s="1614"/>
      <c r="T932" s="1615"/>
      <c r="U932" s="1397" t="s">
        <v>591</v>
      </c>
      <c r="V932" s="1398"/>
      <c r="W932" s="1398"/>
      <c r="X932" s="1398"/>
      <c r="Y932" s="1398"/>
      <c r="Z932" s="1399"/>
      <c r="AA932" s="1572"/>
      <c r="AB932" s="1573"/>
      <c r="AC932" s="1573"/>
      <c r="AD932" s="1573"/>
      <c r="AE932" s="1573"/>
      <c r="AF932" s="1574"/>
      <c r="AZ932" s="30"/>
      <c r="BA932" s="30"/>
    </row>
    <row r="933" spans="6:55" ht="12.95" customHeight="1">
      <c r="F933" s="178" t="s">
        <v>676</v>
      </c>
      <c r="G933" s="5"/>
      <c r="H933" s="5"/>
      <c r="I933" s="5"/>
      <c r="J933" s="5"/>
      <c r="K933" s="5"/>
      <c r="L933" s="5"/>
      <c r="M933" s="5"/>
      <c r="N933" s="5"/>
      <c r="O933" s="5"/>
      <c r="P933" s="5"/>
      <c r="Q933" s="5"/>
      <c r="R933" s="5"/>
      <c r="S933" s="5"/>
      <c r="T933" s="46"/>
      <c r="U933" s="1397" t="s">
        <v>591</v>
      </c>
      <c r="V933" s="1398"/>
      <c r="W933" s="1398"/>
      <c r="X933" s="1398"/>
      <c r="Y933" s="1398"/>
      <c r="Z933" s="1399"/>
      <c r="AA933" s="1572"/>
      <c r="AB933" s="1573"/>
      <c r="AC933" s="1573"/>
      <c r="AD933" s="1573"/>
      <c r="AE933" s="1573"/>
      <c r="AF933" s="1574"/>
    </row>
    <row r="934" spans="6:55" ht="12.95" customHeight="1">
      <c r="F934" s="121" t="s">
        <v>1277</v>
      </c>
      <c r="G934" s="5"/>
      <c r="H934" s="5"/>
      <c r="I934" s="5"/>
      <c r="J934" s="5"/>
      <c r="K934" s="5"/>
      <c r="L934" s="5"/>
      <c r="M934" s="5"/>
      <c r="N934" s="5"/>
      <c r="O934" s="5"/>
      <c r="P934" s="5"/>
      <c r="Q934" s="5"/>
      <c r="R934" s="5"/>
      <c r="S934" s="5"/>
      <c r="T934" s="46"/>
      <c r="U934" s="1397" t="s">
        <v>591</v>
      </c>
      <c r="V934" s="1398"/>
      <c r="W934" s="1398"/>
      <c r="X934" s="1398"/>
      <c r="Y934" s="1398"/>
      <c r="Z934" s="1399"/>
      <c r="AA934" s="1572"/>
      <c r="AB934" s="1573"/>
      <c r="AC934" s="1573"/>
      <c r="AD934" s="1573"/>
      <c r="AE934" s="1573"/>
      <c r="AF934" s="1574"/>
      <c r="AZ934" s="30"/>
      <c r="BA934" s="14"/>
    </row>
    <row r="935" spans="6:55" ht="12.95" customHeight="1">
      <c r="F935" s="66" t="s">
        <v>802</v>
      </c>
      <c r="G935" s="5"/>
      <c r="H935" s="5"/>
      <c r="I935" s="5"/>
      <c r="J935" s="5"/>
      <c r="K935" s="5"/>
      <c r="L935" s="5"/>
      <c r="M935" s="5"/>
      <c r="N935" s="5"/>
      <c r="O935" s="5"/>
      <c r="P935" s="5"/>
      <c r="Q935" s="5"/>
      <c r="R935" s="5"/>
      <c r="S935" s="5"/>
      <c r="T935" s="46"/>
      <c r="U935" s="1397" t="s">
        <v>591</v>
      </c>
      <c r="V935" s="1398"/>
      <c r="W935" s="1398"/>
      <c r="X935" s="1398"/>
      <c r="Y935" s="1398"/>
      <c r="Z935" s="1399"/>
      <c r="AA935" s="1572"/>
      <c r="AB935" s="1573"/>
      <c r="AC935" s="1573"/>
      <c r="AD935" s="1573"/>
      <c r="AE935" s="1573"/>
      <c r="AF935" s="1574"/>
      <c r="AZ935" s="30"/>
      <c r="BA935" s="14"/>
    </row>
    <row r="936" spans="6:55" ht="12.95" customHeight="1">
      <c r="F936" s="1652" t="s">
        <v>2201</v>
      </c>
      <c r="G936" s="1653"/>
      <c r="H936" s="1653"/>
      <c r="I936" s="1653"/>
      <c r="J936" s="1653"/>
      <c r="K936" s="1653"/>
      <c r="L936" s="1653"/>
      <c r="M936" s="1653"/>
      <c r="N936" s="1653"/>
      <c r="O936" s="1653"/>
      <c r="P936" s="1653"/>
      <c r="Q936" s="1653"/>
      <c r="R936" s="1653"/>
      <c r="S936" s="1653"/>
      <c r="T936" s="1654"/>
      <c r="U936" s="1397" t="s">
        <v>591</v>
      </c>
      <c r="V936" s="1398"/>
      <c r="W936" s="1398"/>
      <c r="X936" s="1398"/>
      <c r="Y936" s="1398"/>
      <c r="Z936" s="1399"/>
      <c r="AA936" s="1572"/>
      <c r="AB936" s="1573"/>
      <c r="AC936" s="1573"/>
      <c r="AD936" s="1573"/>
      <c r="AE936" s="1573"/>
      <c r="AF936" s="1574"/>
      <c r="AZ936" s="30"/>
      <c r="BA936" s="14"/>
    </row>
    <row r="937" spans="6:55" ht="12.95" customHeight="1">
      <c r="F937" s="1652" t="s">
        <v>2202</v>
      </c>
      <c r="G937" s="1653"/>
      <c r="H937" s="1653"/>
      <c r="I937" s="1653"/>
      <c r="J937" s="1653"/>
      <c r="K937" s="1653"/>
      <c r="L937" s="1653"/>
      <c r="M937" s="1653"/>
      <c r="N937" s="1653"/>
      <c r="O937" s="1653"/>
      <c r="P937" s="1653"/>
      <c r="Q937" s="1653"/>
      <c r="R937" s="1653"/>
      <c r="S937" s="1653"/>
      <c r="T937" s="1654"/>
      <c r="U937" s="1397" t="s">
        <v>591</v>
      </c>
      <c r="V937" s="1398"/>
      <c r="W937" s="1398"/>
      <c r="X937" s="1398"/>
      <c r="Y937" s="1398"/>
      <c r="Z937" s="1399"/>
      <c r="AA937" s="1572"/>
      <c r="AB937" s="1573"/>
      <c r="AC937" s="1573"/>
      <c r="AD937" s="1573"/>
      <c r="AE937" s="1573"/>
      <c r="AF937" s="1574"/>
      <c r="AZ937" s="30"/>
      <c r="BA937" s="30"/>
    </row>
    <row r="938" spans="6:55" ht="12.95" customHeight="1">
      <c r="F938" s="1613" t="s">
        <v>2198</v>
      </c>
      <c r="G938" s="1614"/>
      <c r="H938" s="1614"/>
      <c r="I938" s="1614"/>
      <c r="J938" s="1614"/>
      <c r="K938" s="1614"/>
      <c r="L938" s="1614"/>
      <c r="M938" s="1614"/>
      <c r="N938" s="1614"/>
      <c r="O938" s="1614"/>
      <c r="P938" s="1614"/>
      <c r="Q938" s="1614"/>
      <c r="R938" s="1614"/>
      <c r="S938" s="1614"/>
      <c r="T938" s="1615"/>
      <c r="U938" s="1397" t="s">
        <v>591</v>
      </c>
      <c r="V938" s="1398"/>
      <c r="W938" s="1398"/>
      <c r="X938" s="1398"/>
      <c r="Y938" s="1398"/>
      <c r="Z938" s="1399"/>
      <c r="AA938" s="1572"/>
      <c r="AB938" s="1573"/>
      <c r="AC938" s="1573"/>
      <c r="AD938" s="1573"/>
      <c r="AE938" s="1573"/>
      <c r="AF938" s="1574"/>
      <c r="AZ938" s="30"/>
      <c r="BA938" s="30"/>
    </row>
    <row r="939" spans="6:55" ht="12.95" customHeight="1">
      <c r="F939" s="1613" t="s">
        <v>2199</v>
      </c>
      <c r="G939" s="1614"/>
      <c r="H939" s="1614"/>
      <c r="I939" s="1614"/>
      <c r="J939" s="1614"/>
      <c r="K939" s="1614"/>
      <c r="L939" s="1614"/>
      <c r="M939" s="1614"/>
      <c r="N939" s="1614"/>
      <c r="O939" s="1614"/>
      <c r="P939" s="1614"/>
      <c r="Q939" s="1614"/>
      <c r="R939" s="1614"/>
      <c r="S939" s="1614"/>
      <c r="T939" s="1615"/>
      <c r="U939" s="1397" t="s">
        <v>591</v>
      </c>
      <c r="V939" s="1398"/>
      <c r="W939" s="1398"/>
      <c r="X939" s="1398"/>
      <c r="Y939" s="1398"/>
      <c r="Z939" s="1399"/>
      <c r="AA939" s="1572"/>
      <c r="AB939" s="1573"/>
      <c r="AC939" s="1573"/>
      <c r="AD939" s="1573"/>
      <c r="AE939" s="1573"/>
      <c r="AF939" s="1574"/>
      <c r="AZ939" s="30"/>
      <c r="BA939" s="30"/>
    </row>
    <row r="940" spans="6:55" ht="12.95" customHeight="1">
      <c r="F940" s="1613" t="s">
        <v>2200</v>
      </c>
      <c r="G940" s="1614"/>
      <c r="H940" s="1614"/>
      <c r="I940" s="1614"/>
      <c r="J940" s="1614"/>
      <c r="K940" s="1614"/>
      <c r="L940" s="1614"/>
      <c r="M940" s="1614"/>
      <c r="N940" s="1614"/>
      <c r="O940" s="1614"/>
      <c r="P940" s="1614"/>
      <c r="Q940" s="1614"/>
      <c r="R940" s="1614"/>
      <c r="S940" s="1614"/>
      <c r="T940" s="1615"/>
      <c r="U940" s="1397" t="s">
        <v>591</v>
      </c>
      <c r="V940" s="1398"/>
      <c r="W940" s="1398"/>
      <c r="X940" s="1398"/>
      <c r="Y940" s="1398"/>
      <c r="Z940" s="1399"/>
      <c r="AA940" s="1572"/>
      <c r="AB940" s="1573"/>
      <c r="AC940" s="1573"/>
      <c r="AD940" s="1573"/>
      <c r="AE940" s="1573"/>
      <c r="AF940" s="1574"/>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397" t="s">
        <v>591</v>
      </c>
      <c r="V941" s="1398"/>
      <c r="W941" s="1398"/>
      <c r="X941" s="1398"/>
      <c r="Y941" s="1398"/>
      <c r="Z941" s="1399"/>
      <c r="AA941" s="1572"/>
      <c r="AB941" s="1573"/>
      <c r="AC941" s="1573"/>
      <c r="AD941" s="1573"/>
      <c r="AE941" s="1573"/>
      <c r="AF941" s="1574"/>
      <c r="AZ941" s="34"/>
      <c r="BA941" s="34"/>
      <c r="BB941" s="14"/>
      <c r="BC941" s="14"/>
    </row>
    <row r="942" spans="6:55" ht="12.95" customHeight="1">
      <c r="F942" s="1652" t="s">
        <v>2203</v>
      </c>
      <c r="G942" s="1653"/>
      <c r="H942" s="1653"/>
      <c r="I942" s="1653"/>
      <c r="J942" s="1653"/>
      <c r="K942" s="1653"/>
      <c r="L942" s="1653"/>
      <c r="M942" s="1653"/>
      <c r="N942" s="1653"/>
      <c r="O942" s="1653"/>
      <c r="P942" s="1653"/>
      <c r="Q942" s="1653"/>
      <c r="R942" s="1653"/>
      <c r="S942" s="1653"/>
      <c r="T942" s="1654"/>
      <c r="U942" s="1397" t="s">
        <v>591</v>
      </c>
      <c r="V942" s="1398"/>
      <c r="W942" s="1398"/>
      <c r="X942" s="1398"/>
      <c r="Y942" s="1398"/>
      <c r="Z942" s="1399"/>
      <c r="AA942" s="1572"/>
      <c r="AB942" s="1573"/>
      <c r="AC942" s="1573"/>
      <c r="AD942" s="1573"/>
      <c r="AE942" s="1573"/>
      <c r="AF942" s="1574"/>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397" t="s">
        <v>591</v>
      </c>
      <c r="V943" s="1398"/>
      <c r="W943" s="1398"/>
      <c r="X943" s="1398"/>
      <c r="Y943" s="1398"/>
      <c r="Z943" s="1399"/>
      <c r="AA943" s="1572"/>
      <c r="AB943" s="1573"/>
      <c r="AC943" s="1573"/>
      <c r="AD943" s="1573"/>
      <c r="AE943" s="1573"/>
      <c r="AF943" s="1574"/>
      <c r="AZ943" s="34"/>
      <c r="BA943" s="34"/>
      <c r="BB943" s="34"/>
      <c r="BC943" s="34"/>
    </row>
    <row r="944" spans="6:55" ht="12.95" customHeight="1">
      <c r="F944" s="1652" t="s">
        <v>2204</v>
      </c>
      <c r="G944" s="1653"/>
      <c r="H944" s="1653"/>
      <c r="I944" s="1653"/>
      <c r="J944" s="1653"/>
      <c r="K944" s="1653"/>
      <c r="L944" s="1653"/>
      <c r="M944" s="1653"/>
      <c r="N944" s="1653"/>
      <c r="O944" s="1653"/>
      <c r="P944" s="1653"/>
      <c r="Q944" s="1653"/>
      <c r="R944" s="1653"/>
      <c r="S944" s="1653"/>
      <c r="T944" s="1654"/>
      <c r="U944" s="1397" t="s">
        <v>591</v>
      </c>
      <c r="V944" s="1398"/>
      <c r="W944" s="1398"/>
      <c r="X944" s="1398"/>
      <c r="Y944" s="1398"/>
      <c r="Z944" s="1399"/>
      <c r="AA944" s="1572"/>
      <c r="AB944" s="1573"/>
      <c r="AC944" s="1573"/>
      <c r="AD944" s="1573"/>
      <c r="AE944" s="1573"/>
      <c r="AF944" s="1574"/>
      <c r="AZ944" s="34"/>
      <c r="BA944" s="34"/>
      <c r="BB944" s="34"/>
      <c r="BC944" s="34"/>
    </row>
    <row r="945" spans="1:55" ht="12.95" customHeight="1">
      <c r="F945" s="45" t="s">
        <v>806</v>
      </c>
      <c r="G945" s="5"/>
      <c r="H945" s="5"/>
      <c r="I945" s="5"/>
      <c r="J945" s="5"/>
      <c r="K945" s="5"/>
      <c r="L945" s="5"/>
      <c r="M945" s="5"/>
      <c r="N945" s="5"/>
      <c r="O945" s="5"/>
      <c r="P945" s="1397" t="s">
        <v>669</v>
      </c>
      <c r="Q945" s="1398"/>
      <c r="R945" s="1398"/>
      <c r="S945" s="1398"/>
      <c r="T945" s="1399"/>
      <c r="U945" s="1397" t="s">
        <v>591</v>
      </c>
      <c r="V945" s="1398"/>
      <c r="W945" s="1398"/>
      <c r="X945" s="1398"/>
      <c r="Y945" s="1398"/>
      <c r="Z945" s="1399"/>
      <c r="AA945" s="1572"/>
      <c r="AB945" s="1573"/>
      <c r="AC945" s="1573"/>
      <c r="AD945" s="1573"/>
      <c r="AE945" s="1573"/>
      <c r="AF945" s="1574"/>
      <c r="AZ945" s="34"/>
      <c r="BA945" s="34"/>
      <c r="BB945" s="34"/>
      <c r="BC945" s="34"/>
    </row>
    <row r="946" spans="1:55" ht="12.95" customHeight="1">
      <c r="F946" s="1613" t="s">
        <v>2191</v>
      </c>
      <c r="G946" s="1614"/>
      <c r="H946" s="1615"/>
      <c r="I946" s="1605" t="s">
        <v>333</v>
      </c>
      <c r="J946" s="1606"/>
      <c r="K946" s="1606"/>
      <c r="L946" s="1606"/>
      <c r="M946" s="1606"/>
      <c r="N946" s="1606"/>
      <c r="O946" s="1606"/>
      <c r="P946" s="1606"/>
      <c r="Q946" s="1606"/>
      <c r="R946" s="1606"/>
      <c r="S946" s="1606"/>
      <c r="T946" s="1607"/>
      <c r="U946" s="1397" t="s">
        <v>591</v>
      </c>
      <c r="V946" s="1398"/>
      <c r="W946" s="1398"/>
      <c r="X946" s="1398"/>
      <c r="Y946" s="1398"/>
      <c r="Z946" s="1399"/>
      <c r="AA946" s="1572"/>
      <c r="AB946" s="1573"/>
      <c r="AC946" s="1573"/>
      <c r="AD946" s="1573"/>
      <c r="AE946" s="1573"/>
      <c r="AF946" s="1574"/>
      <c r="AZ946" s="34"/>
      <c r="BA946" s="34"/>
      <c r="BB946" s="34"/>
      <c r="BC946" s="34"/>
    </row>
    <row r="947" spans="1:55" ht="12.95" customHeight="1">
      <c r="F947" s="45" t="s">
        <v>86</v>
      </c>
      <c r="G947" s="48"/>
      <c r="H947" s="48"/>
      <c r="I947" s="1605" t="s">
        <v>333</v>
      </c>
      <c r="J947" s="1606"/>
      <c r="K947" s="1606"/>
      <c r="L947" s="1606"/>
      <c r="M947" s="1606"/>
      <c r="N947" s="1606"/>
      <c r="O947" s="1606"/>
      <c r="P947" s="1606"/>
      <c r="Q947" s="1606"/>
      <c r="R947" s="1606"/>
      <c r="S947" s="1606"/>
      <c r="T947" s="1607"/>
      <c r="U947" s="1397" t="s">
        <v>591</v>
      </c>
      <c r="V947" s="1398"/>
      <c r="W947" s="1398"/>
      <c r="X947" s="1398"/>
      <c r="Y947" s="1398"/>
      <c r="Z947" s="1399"/>
      <c r="AA947" s="1572"/>
      <c r="AB947" s="1573"/>
      <c r="AC947" s="1573"/>
      <c r="AD947" s="1573"/>
      <c r="AE947" s="1573"/>
      <c r="AF947" s="1574"/>
      <c r="AZ947" s="34"/>
      <c r="BA947" s="34"/>
      <c r="BB947" s="34"/>
      <c r="BC947" s="34"/>
    </row>
    <row r="948" spans="1:55" ht="12.95" customHeight="1">
      <c r="F948" s="45" t="s">
        <v>10</v>
      </c>
      <c r="G948" s="48"/>
      <c r="H948" s="48"/>
      <c r="I948" s="1539" t="s">
        <v>333</v>
      </c>
      <c r="J948" s="1540"/>
      <c r="K948" s="1540"/>
      <c r="L948" s="1540"/>
      <c r="M948" s="1540"/>
      <c r="N948" s="1540"/>
      <c r="O948" s="1540"/>
      <c r="P948" s="1540"/>
      <c r="Q948" s="1540"/>
      <c r="R948" s="1540"/>
      <c r="S948" s="1540"/>
      <c r="T948" s="1541"/>
      <c r="U948" s="1397" t="s">
        <v>591</v>
      </c>
      <c r="V948" s="1398"/>
      <c r="W948" s="1398"/>
      <c r="X948" s="1398"/>
      <c r="Y948" s="1398"/>
      <c r="Z948" s="1399"/>
      <c r="AA948" s="1572"/>
      <c r="AB948" s="1573"/>
      <c r="AC948" s="1573"/>
      <c r="AD948" s="1573"/>
      <c r="AE948" s="1573"/>
      <c r="AF948" s="1574"/>
      <c r="AV948" s="2"/>
      <c r="AW948" s="2"/>
      <c r="AX948" s="2"/>
      <c r="AY948" s="2"/>
      <c r="AZ948" s="34"/>
      <c r="BA948" s="34"/>
      <c r="BB948" s="34"/>
      <c r="BC948" s="34"/>
    </row>
    <row r="949" spans="1:55" ht="12.95" customHeight="1">
      <c r="F949" s="47" t="s">
        <v>169</v>
      </c>
      <c r="G949" s="48"/>
      <c r="H949" s="48"/>
      <c r="I949" s="1605" t="s">
        <v>2728</v>
      </c>
      <c r="J949" s="1540"/>
      <c r="K949" s="1540"/>
      <c r="L949" s="1540"/>
      <c r="M949" s="1540"/>
      <c r="N949" s="1540"/>
      <c r="O949" s="1540"/>
      <c r="P949" s="1540"/>
      <c r="Q949" s="1540"/>
      <c r="R949" s="1540"/>
      <c r="S949" s="1540"/>
      <c r="T949" s="1541"/>
      <c r="U949" s="1397" t="s">
        <v>545</v>
      </c>
      <c r="V949" s="1398"/>
      <c r="W949" s="1398"/>
      <c r="X949" s="1398"/>
      <c r="Y949" s="1398"/>
      <c r="Z949" s="1399"/>
      <c r="AA949" s="1572">
        <v>12000000</v>
      </c>
      <c r="AB949" s="1573"/>
      <c r="AC949" s="1573"/>
      <c r="AD949" s="1573"/>
      <c r="AE949" s="1573"/>
      <c r="AF949" s="1574"/>
      <c r="AU949" s="2"/>
      <c r="AZ949" s="34"/>
      <c r="BA949" s="34"/>
      <c r="BB949" s="34"/>
      <c r="BC949" s="34"/>
    </row>
    <row r="950" spans="1:55" ht="12.95" customHeight="1">
      <c r="F950" s="47" t="s">
        <v>169</v>
      </c>
      <c r="G950" s="48"/>
      <c r="H950" s="48"/>
      <c r="I950" s="1539" t="s">
        <v>333</v>
      </c>
      <c r="J950" s="1540"/>
      <c r="K950" s="1540"/>
      <c r="L950" s="1540"/>
      <c r="M950" s="1540"/>
      <c r="N950" s="1540"/>
      <c r="O950" s="1540"/>
      <c r="P950" s="1540"/>
      <c r="Q950" s="1540"/>
      <c r="R950" s="1540"/>
      <c r="S950" s="1540"/>
      <c r="T950" s="1541"/>
      <c r="U950" s="1397" t="s">
        <v>591</v>
      </c>
      <c r="V950" s="1398"/>
      <c r="W950" s="1398"/>
      <c r="X950" s="1398"/>
      <c r="Y950" s="1398"/>
      <c r="Z950" s="1399"/>
      <c r="AA950" s="1572"/>
      <c r="AB950" s="1573"/>
      <c r="AC950" s="1573"/>
      <c r="AD950" s="1573"/>
      <c r="AE950" s="1573"/>
      <c r="AF950" s="1574"/>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6"/>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2.95" customHeight="1">
      <c r="C956" s="66" t="s">
        <v>12</v>
      </c>
      <c r="D956" s="5"/>
      <c r="E956" s="5"/>
      <c r="F956" s="5"/>
      <c r="G956" s="5"/>
      <c r="H956" s="5"/>
      <c r="I956" s="5"/>
      <c r="J956" s="5"/>
      <c r="K956" s="5"/>
      <c r="L956" s="46"/>
      <c r="M956" s="1548"/>
      <c r="N956" s="1549"/>
      <c r="O956" s="1549"/>
      <c r="P956" s="1549"/>
      <c r="Q956" s="1549"/>
      <c r="R956" s="1549"/>
      <c r="S956" s="1550"/>
      <c r="U956" s="66" t="s">
        <v>12</v>
      </c>
      <c r="V956" s="5"/>
      <c r="W956" s="5"/>
      <c r="X956" s="5"/>
      <c r="Y956" s="5"/>
      <c r="Z956" s="5"/>
      <c r="AA956" s="5"/>
      <c r="AB956" s="5"/>
      <c r="AC956" s="5"/>
      <c r="AD956" s="46"/>
      <c r="AE956" s="1548"/>
      <c r="AF956" s="1549"/>
      <c r="AG956" s="1549"/>
      <c r="AH956" s="1549"/>
      <c r="AI956" s="1549"/>
      <c r="AJ956" s="1549"/>
      <c r="AK956" s="1550"/>
      <c r="AZ956" s="34"/>
      <c r="BA956" s="34"/>
      <c r="BB956" s="34"/>
      <c r="BC956" s="34"/>
    </row>
    <row r="957" spans="1:55" ht="12.95" customHeight="1">
      <c r="C957" s="66" t="s">
        <v>880</v>
      </c>
      <c r="D957" s="5"/>
      <c r="E957" s="5"/>
      <c r="J957" s="1556" t="s">
        <v>306</v>
      </c>
      <c r="K957" s="1557"/>
      <c r="L957" s="1557"/>
      <c r="M957" s="1557"/>
      <c r="N957" s="1557"/>
      <c r="O957" s="1557"/>
      <c r="P957" s="1557"/>
      <c r="Q957" s="1557"/>
      <c r="R957" s="1557"/>
      <c r="S957" s="1558"/>
      <c r="U957" s="66" t="s">
        <v>880</v>
      </c>
      <c r="V957" s="5"/>
      <c r="W957" s="5"/>
      <c r="AB957" s="1556" t="s">
        <v>306</v>
      </c>
      <c r="AC957" s="1557"/>
      <c r="AD957" s="1557"/>
      <c r="AE957" s="1557"/>
      <c r="AF957" s="1557"/>
      <c r="AG957" s="1557"/>
      <c r="AH957" s="1557"/>
      <c r="AI957" s="1557"/>
      <c r="AJ957" s="1557"/>
      <c r="AK957" s="1558"/>
      <c r="AZ957" s="34"/>
      <c r="BA957" s="34"/>
      <c r="BB957" s="34"/>
      <c r="BC957" s="34"/>
    </row>
    <row r="958" spans="1:55" ht="12.95" customHeight="1">
      <c r="C958" s="66" t="s">
        <v>13</v>
      </c>
      <c r="D958" s="5"/>
      <c r="E958" s="5"/>
      <c r="F958" s="5"/>
      <c r="G958" s="5"/>
      <c r="H958" s="5"/>
      <c r="I958" s="5"/>
      <c r="J958" s="5"/>
      <c r="K958" s="5"/>
      <c r="L958" s="46"/>
      <c r="M958" s="1651"/>
      <c r="N958" s="1609"/>
      <c r="O958" s="1609"/>
      <c r="P958" s="1609"/>
      <c r="Q958" s="1609"/>
      <c r="R958" s="1609"/>
      <c r="S958" s="1610"/>
      <c r="U958" s="66" t="s">
        <v>13</v>
      </c>
      <c r="V958" s="5"/>
      <c r="W958" s="5"/>
      <c r="X958" s="5"/>
      <c r="Y958" s="5"/>
      <c r="Z958" s="5"/>
      <c r="AA958" s="5"/>
      <c r="AB958" s="5"/>
      <c r="AC958" s="5"/>
      <c r="AD958" s="46"/>
      <c r="AE958" s="1608"/>
      <c r="AF958" s="1609"/>
      <c r="AG958" s="1609"/>
      <c r="AH958" s="1609"/>
      <c r="AI958" s="1609"/>
      <c r="AJ958" s="1609"/>
      <c r="AK958" s="1610"/>
      <c r="AZ958" s="34"/>
      <c r="BA958" s="34"/>
      <c r="BB958" s="34"/>
      <c r="BC958" s="34"/>
    </row>
    <row r="959" spans="1:55" ht="12.95" customHeight="1">
      <c r="C959" s="66" t="s">
        <v>14</v>
      </c>
      <c r="D959" s="5"/>
      <c r="E959" s="5"/>
      <c r="F959" s="5"/>
      <c r="G959" s="5"/>
      <c r="H959" s="5"/>
      <c r="I959" s="5"/>
      <c r="J959" s="5"/>
      <c r="K959" s="5"/>
      <c r="L959" s="46"/>
      <c r="M959" s="1563"/>
      <c r="N959" s="1564"/>
      <c r="O959" s="1564"/>
      <c r="P959" s="1564"/>
      <c r="Q959" s="1564"/>
      <c r="R959" s="1564"/>
      <c r="S959" s="1565"/>
      <c r="U959" s="66" t="s">
        <v>14</v>
      </c>
      <c r="V959" s="5"/>
      <c r="W959" s="5"/>
      <c r="X959" s="5"/>
      <c r="Y959" s="5"/>
      <c r="Z959" s="5"/>
      <c r="AA959" s="5"/>
      <c r="AB959" s="5"/>
      <c r="AC959" s="5"/>
      <c r="AD959" s="46"/>
      <c r="AE959" s="1563"/>
      <c r="AF959" s="1564"/>
      <c r="AG959" s="1564"/>
      <c r="AH959" s="1564"/>
      <c r="AI959" s="1564"/>
      <c r="AJ959" s="1564"/>
      <c r="AK959" s="1565"/>
      <c r="AV959" s="2"/>
      <c r="AW959" s="2"/>
      <c r="AX959" s="2"/>
      <c r="AY959" s="2"/>
      <c r="AZ959" s="34"/>
      <c r="BA959" s="34"/>
      <c r="BB959" s="34"/>
      <c r="BC959" s="34"/>
    </row>
    <row r="960" spans="1:55" ht="12.95" customHeight="1">
      <c r="C960" s="66" t="s">
        <v>15</v>
      </c>
      <c r="D960" s="5"/>
      <c r="E960" s="5"/>
      <c r="F960" s="5"/>
      <c r="G960" s="5"/>
      <c r="H960" s="5"/>
      <c r="I960" s="5"/>
      <c r="J960" s="5"/>
      <c r="K960" s="5"/>
      <c r="L960" s="46"/>
      <c r="M960" s="1572"/>
      <c r="N960" s="1573"/>
      <c r="O960" s="1573"/>
      <c r="P960" s="1573"/>
      <c r="Q960" s="1573"/>
      <c r="R960" s="1573"/>
      <c r="S960" s="1574"/>
      <c r="U960" s="66" t="s">
        <v>15</v>
      </c>
      <c r="V960" s="5"/>
      <c r="W960" s="5"/>
      <c r="X960" s="5"/>
      <c r="Y960" s="5"/>
      <c r="Z960" s="5"/>
      <c r="AA960" s="5"/>
      <c r="AB960" s="5"/>
      <c r="AC960" s="5"/>
      <c r="AD960" s="46"/>
      <c r="AE960" s="1572"/>
      <c r="AF960" s="1573"/>
      <c r="AG960" s="1573"/>
      <c r="AH960" s="1573"/>
      <c r="AI960" s="1573"/>
      <c r="AJ960" s="1573"/>
      <c r="AK960" s="1574"/>
      <c r="AV960" s="2"/>
      <c r="AW960" s="2"/>
      <c r="AX960" s="2"/>
      <c r="AY960" s="2"/>
      <c r="AZ960" s="34"/>
      <c r="BA960" s="34"/>
      <c r="BB960" s="34"/>
      <c r="BC960" s="34"/>
    </row>
    <row r="961" spans="1:64" ht="12.95" customHeight="1">
      <c r="C961" s="66" t="s">
        <v>16</v>
      </c>
      <c r="D961" s="5"/>
      <c r="E961" s="5"/>
      <c r="F961" s="5"/>
      <c r="G961" s="5"/>
      <c r="H961" s="5"/>
      <c r="I961" s="5"/>
      <c r="J961" s="5"/>
      <c r="K961" s="5"/>
      <c r="L961" s="46"/>
      <c r="M961" s="1572"/>
      <c r="N961" s="1573"/>
      <c r="O961" s="1573"/>
      <c r="P961" s="1573"/>
      <c r="Q961" s="1573"/>
      <c r="R961" s="1573"/>
      <c r="S961" s="1574"/>
      <c r="U961" s="66" t="s">
        <v>16</v>
      </c>
      <c r="V961" s="5"/>
      <c r="W961" s="5"/>
      <c r="X961" s="5"/>
      <c r="Y961" s="5"/>
      <c r="Z961" s="5"/>
      <c r="AA961" s="5"/>
      <c r="AB961" s="5"/>
      <c r="AC961" s="5"/>
      <c r="AD961" s="46"/>
      <c r="AE961" s="1572"/>
      <c r="AF961" s="1573"/>
      <c r="AG961" s="1573"/>
      <c r="AH961" s="1573"/>
      <c r="AI961" s="1573"/>
      <c r="AJ961" s="1573"/>
      <c r="AK961" s="1574"/>
      <c r="AV961" s="2"/>
      <c r="AW961" s="2"/>
      <c r="AX961" s="2"/>
      <c r="AY961" s="2"/>
      <c r="AZ961" s="34"/>
      <c r="BB961" s="34"/>
      <c r="BC961" s="34"/>
    </row>
    <row r="962" spans="1:64" ht="12.95" customHeight="1">
      <c r="C962" s="121" t="s">
        <v>1661</v>
      </c>
      <c r="D962" s="5"/>
      <c r="E962" s="5"/>
      <c r="F962" s="5"/>
      <c r="G962" s="5"/>
      <c r="H962" s="5"/>
      <c r="I962" s="5"/>
      <c r="J962" s="5"/>
      <c r="K962" s="5"/>
      <c r="L962" s="46"/>
      <c r="M962" s="1569"/>
      <c r="N962" s="1570"/>
      <c r="O962" s="1570"/>
      <c r="P962" s="1570"/>
      <c r="Q962" s="1570"/>
      <c r="R962" s="1570"/>
      <c r="S962" s="1571"/>
      <c r="U962" s="121" t="s">
        <v>1661</v>
      </c>
      <c r="V962" s="5"/>
      <c r="W962" s="5"/>
      <c r="X962" s="5"/>
      <c r="Y962" s="5"/>
      <c r="Z962" s="5"/>
      <c r="AA962" s="5"/>
      <c r="AB962" s="5"/>
      <c r="AC962" s="5"/>
      <c r="AD962" s="46"/>
      <c r="AE962" s="1569"/>
      <c r="AF962" s="1570"/>
      <c r="AG962" s="1570"/>
      <c r="AH962" s="1570"/>
      <c r="AI962" s="1570"/>
      <c r="AJ962" s="1570"/>
      <c r="AK962" s="157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3"/>
      <c r="N967" s="1534"/>
      <c r="O967" s="1534"/>
      <c r="P967" s="1534"/>
      <c r="Q967" s="1534"/>
      <c r="R967" s="1534"/>
      <c r="S967" s="1535"/>
      <c r="T967" s="66" t="s">
        <v>790</v>
      </c>
      <c r="U967" s="5"/>
      <c r="V967" s="5"/>
      <c r="W967" s="5"/>
      <c r="X967" s="5"/>
      <c r="Y967" s="5"/>
      <c r="Z967" s="46"/>
      <c r="AA967" s="1533"/>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3"/>
      <c r="N968" s="1534"/>
      <c r="O968" s="1534"/>
      <c r="P968" s="1534"/>
      <c r="Q968" s="1534"/>
      <c r="R968" s="1534"/>
      <c r="S968" s="1535"/>
      <c r="T968" s="66" t="s">
        <v>789</v>
      </c>
      <c r="U968" s="5"/>
      <c r="V968" s="5"/>
      <c r="W968" s="5"/>
      <c r="X968" s="5"/>
      <c r="Y968" s="5"/>
      <c r="Z968" s="46"/>
      <c r="AA968" s="1533"/>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575" t="s">
        <v>591</v>
      </c>
      <c r="N969" s="1576"/>
      <c r="O969" s="1576"/>
      <c r="P969" s="1576"/>
      <c r="Q969" s="1576"/>
      <c r="R969" s="1576"/>
      <c r="S969" s="1577"/>
      <c r="T969" s="45" t="s">
        <v>336</v>
      </c>
      <c r="U969" s="5"/>
      <c r="V969" s="5"/>
      <c r="W969" s="5"/>
      <c r="X969" s="5"/>
      <c r="Y969" s="5"/>
      <c r="Z969" s="46"/>
      <c r="AA969" s="1533"/>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3"/>
      <c r="N970" s="1534"/>
      <c r="O970" s="1534"/>
      <c r="P970" s="1534"/>
      <c r="Q970" s="1534"/>
      <c r="R970" s="1534"/>
      <c r="S970" s="1535"/>
      <c r="T970" s="45" t="s">
        <v>337</v>
      </c>
      <c r="U970" s="5"/>
      <c r="V970" s="5"/>
      <c r="W970" s="5"/>
      <c r="X970" s="5"/>
      <c r="Y970" s="5"/>
      <c r="Z970" s="46"/>
      <c r="AA970" s="1533"/>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3"/>
      <c r="N971" s="1534"/>
      <c r="O971" s="1534"/>
      <c r="P971" s="1534"/>
      <c r="Q971" s="1534"/>
      <c r="R971" s="1534"/>
      <c r="S971" s="1535"/>
      <c r="T971" s="45" t="s">
        <v>375</v>
      </c>
      <c r="U971" s="5"/>
      <c r="V971" s="5"/>
      <c r="W971" s="5"/>
      <c r="X971" s="5"/>
      <c r="Y971" s="5"/>
      <c r="Z971" s="46"/>
      <c r="AA971" s="1533"/>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6" t="s">
        <v>306</v>
      </c>
      <c r="N972" s="1557"/>
      <c r="O972" s="1557"/>
      <c r="P972" s="1557"/>
      <c r="Q972" s="1557"/>
      <c r="R972" s="1557"/>
      <c r="S972" s="1558"/>
      <c r="T972" s="1560"/>
      <c r="U972" s="1561"/>
      <c r="V972" s="1561"/>
      <c r="W972" s="1561"/>
      <c r="X972" s="1561"/>
      <c r="Y972" s="1561"/>
      <c r="Z972" s="1562"/>
      <c r="AA972" s="1533"/>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3"/>
      <c r="N973" s="1534"/>
      <c r="O973" s="1534"/>
      <c r="P973" s="1534"/>
      <c r="Q973" s="1534"/>
      <c r="R973" s="1534"/>
      <c r="S973" s="1535"/>
      <c r="T973" s="1560"/>
      <c r="U973" s="1561"/>
      <c r="V973" s="1561"/>
      <c r="W973" s="1561"/>
      <c r="X973" s="1561"/>
      <c r="Y973" s="1561"/>
      <c r="Z973" s="1562"/>
      <c r="AA973" s="1533"/>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89" t="s">
        <v>669</v>
      </c>
      <c r="P974" s="1590"/>
      <c r="Q974" s="92"/>
      <c r="R974" s="92"/>
      <c r="S974" s="93"/>
      <c r="T974" s="41" t="s">
        <v>169</v>
      </c>
      <c r="U974" s="42"/>
      <c r="V974" s="42"/>
      <c r="W974" s="1566" t="s">
        <v>333</v>
      </c>
      <c r="X974" s="1567"/>
      <c r="Y974" s="1567"/>
      <c r="Z974" s="1567"/>
      <c r="AA974" s="1567"/>
      <c r="AB974" s="1567"/>
      <c r="AC974" s="1567"/>
      <c r="AD974" s="1567"/>
      <c r="AE974" s="1567"/>
      <c r="AF974" s="1567"/>
      <c r="AG974" s="1568"/>
      <c r="AU974" s="68"/>
      <c r="AV974" s="95"/>
      <c r="AW974" s="95"/>
      <c r="AX974" s="95"/>
      <c r="AY974" s="95"/>
      <c r="AZ974" s="34"/>
      <c r="BB974" s="34"/>
      <c r="BC974" s="34"/>
      <c r="BD974" s="34"/>
      <c r="BE974" s="34"/>
      <c r="BF974" s="34"/>
      <c r="BG974" s="34"/>
      <c r="BH974" s="34"/>
      <c r="BI974" s="34"/>
      <c r="BJ974" s="34"/>
      <c r="BK974" s="34"/>
      <c r="BL974" s="34"/>
    </row>
    <row r="975" spans="1:64" ht="12.95" customHeight="1">
      <c r="F975" s="1551" t="s">
        <v>33</v>
      </c>
      <c r="G975" s="1400"/>
      <c r="H975" s="1400"/>
      <c r="I975" s="1400"/>
      <c r="J975" s="1400"/>
      <c r="K975" s="1400"/>
      <c r="L975" s="1400"/>
      <c r="M975" s="1533"/>
      <c r="N975" s="1534"/>
      <c r="O975" s="1534"/>
      <c r="P975" s="1534"/>
      <c r="Q975" s="1534"/>
      <c r="R975" s="1534"/>
      <c r="S975" s="1535"/>
      <c r="T975" s="47"/>
      <c r="U975" s="48"/>
      <c r="V975" s="48"/>
      <c r="W975" s="48"/>
      <c r="X975" s="48"/>
      <c r="Y975" s="48"/>
      <c r="Z975" s="124" t="s">
        <v>134</v>
      </c>
      <c r="AA975" s="1602"/>
      <c r="AB975" s="1603"/>
      <c r="AC975" s="1603"/>
      <c r="AD975" s="1603"/>
      <c r="AE975" s="1603"/>
      <c r="AF975" s="1603"/>
      <c r="AG975" s="160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19" t="s">
        <v>548</v>
      </c>
      <c r="B979" s="1419"/>
      <c r="C979" s="1419"/>
      <c r="D979" s="1419"/>
      <c r="E979" s="1419"/>
      <c r="F979" s="1419"/>
      <c r="G979" s="1419"/>
      <c r="H979" s="1419"/>
      <c r="I979" s="1419"/>
      <c r="J979" s="1419"/>
      <c r="K979" s="1419"/>
      <c r="L979" s="1419"/>
      <c r="M979" s="1419"/>
      <c r="N979" s="1419"/>
      <c r="O979" s="1419"/>
      <c r="P979" s="1419"/>
      <c r="Q979" s="1419"/>
      <c r="R979" s="1419"/>
      <c r="S979" s="1419"/>
      <c r="T979" s="1419"/>
      <c r="U979" s="1419"/>
      <c r="V979" s="1419"/>
      <c r="W979" s="1419"/>
      <c r="X979" s="1419"/>
      <c r="Y979" s="1419"/>
      <c r="Z979" s="1419"/>
      <c r="AA979" s="1419"/>
      <c r="AB979" s="1419"/>
      <c r="AC979" s="1419"/>
      <c r="AD979" s="1419"/>
      <c r="AE979" s="1419"/>
      <c r="AF979" s="1419"/>
      <c r="AG979" s="1419"/>
      <c r="AH979" s="1419"/>
      <c r="AI979" s="1419"/>
      <c r="AJ979" s="1419"/>
      <c r="AK979" s="1419"/>
      <c r="AL979" s="1419"/>
      <c r="AM979" s="1419"/>
      <c r="AN979" s="1419"/>
      <c r="AO979" s="1419"/>
      <c r="AP979" s="1419"/>
      <c r="AQ979" s="1419"/>
      <c r="AR979" s="1419"/>
      <c r="AS979" s="1419"/>
      <c r="AT979" s="1419"/>
      <c r="AU979" s="68"/>
      <c r="AV979" s="68"/>
      <c r="AW979" s="68"/>
      <c r="AX979" s="68"/>
      <c r="AY979" s="68"/>
      <c r="AZ979" s="14"/>
      <c r="BA979" s="14"/>
      <c r="BB979" s="912"/>
      <c r="BC979" s="912"/>
    </row>
    <row r="980" spans="1:64" ht="12.95" customHeight="1">
      <c r="A980" s="1419"/>
      <c r="B980" s="1419"/>
      <c r="C980" s="1419"/>
      <c r="D980" s="1419"/>
      <c r="E980" s="1419"/>
      <c r="F980" s="1419"/>
      <c r="G980" s="1419"/>
      <c r="H980" s="1419"/>
      <c r="I980" s="1419"/>
      <c r="J980" s="1419"/>
      <c r="K980" s="1419"/>
      <c r="L980" s="1419"/>
      <c r="M980" s="1419"/>
      <c r="N980" s="1419"/>
      <c r="O980" s="1419"/>
      <c r="P980" s="1419"/>
      <c r="Q980" s="1419"/>
      <c r="R980" s="1419"/>
      <c r="S980" s="1419"/>
      <c r="T980" s="1419"/>
      <c r="U980" s="1419"/>
      <c r="V980" s="1419"/>
      <c r="W980" s="1419"/>
      <c r="X980" s="1419"/>
      <c r="Y980" s="1419"/>
      <c r="Z980" s="1419"/>
      <c r="AA980" s="1419"/>
      <c r="AB980" s="1419"/>
      <c r="AC980" s="1419"/>
      <c r="AD980" s="1419"/>
      <c r="AE980" s="1419"/>
      <c r="AF980" s="1419"/>
      <c r="AG980" s="1419"/>
      <c r="AH980" s="1419"/>
      <c r="AI980" s="1419"/>
      <c r="AJ980" s="1419"/>
      <c r="AK980" s="1419"/>
      <c r="AL980" s="1419"/>
      <c r="AM980" s="1419"/>
      <c r="AN980" s="1419"/>
      <c r="AO980" s="1419"/>
      <c r="AP980" s="1419"/>
      <c r="AQ980" s="1419"/>
      <c r="AR980" s="1419"/>
      <c r="AS980" s="1419"/>
      <c r="AT980" s="1419"/>
      <c r="AU980" s="68"/>
      <c r="AV980" s="68"/>
      <c r="AW980" s="68"/>
      <c r="AX980" s="68"/>
      <c r="AY980" s="68"/>
      <c r="AZ980" s="30"/>
      <c r="BA980" s="14"/>
      <c r="BB980" s="14"/>
      <c r="BC980" s="14"/>
    </row>
    <row r="981" spans="1:64" ht="12.95" customHeight="1">
      <c r="A981" s="1419"/>
      <c r="B981" s="1419"/>
      <c r="C981" s="1419"/>
      <c r="D981" s="1419"/>
      <c r="E981" s="1419"/>
      <c r="F981" s="1419"/>
      <c r="G981" s="1419"/>
      <c r="H981" s="1419"/>
      <c r="I981" s="1419"/>
      <c r="J981" s="1419"/>
      <c r="K981" s="1419"/>
      <c r="L981" s="1419"/>
      <c r="M981" s="1419"/>
      <c r="N981" s="1419"/>
      <c r="O981" s="1419"/>
      <c r="P981" s="1419"/>
      <c r="Q981" s="1419"/>
      <c r="R981" s="1419"/>
      <c r="S981" s="1419"/>
      <c r="T981" s="1419"/>
      <c r="U981" s="1419"/>
      <c r="V981" s="1419"/>
      <c r="W981" s="1419"/>
      <c r="X981" s="1419"/>
      <c r="Y981" s="1419"/>
      <c r="Z981" s="1419"/>
      <c r="AA981" s="1419"/>
      <c r="AB981" s="1419"/>
      <c r="AC981" s="1419"/>
      <c r="AD981" s="1419"/>
      <c r="AE981" s="1419"/>
      <c r="AF981" s="1419"/>
      <c r="AG981" s="1419"/>
      <c r="AH981" s="1419"/>
      <c r="AI981" s="1419"/>
      <c r="AJ981" s="1419"/>
      <c r="AK981" s="1419"/>
      <c r="AL981" s="1419"/>
      <c r="AM981" s="1419"/>
      <c r="AN981" s="1419"/>
      <c r="AO981" s="1419"/>
      <c r="AP981" s="1419"/>
      <c r="AQ981" s="1419"/>
      <c r="AR981" s="1419"/>
      <c r="AS981" s="1419"/>
      <c r="AT981" s="141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2" t="s">
        <v>638</v>
      </c>
      <c r="E985" s="1553"/>
      <c r="F985" s="1553"/>
      <c r="G985" s="1553"/>
      <c r="H985" s="1553"/>
      <c r="I985" s="1553"/>
      <c r="J985" s="1553"/>
      <c r="K985" s="1553"/>
      <c r="L985" s="1553"/>
      <c r="M985" s="1553"/>
      <c r="N985" s="1553"/>
      <c r="O985" s="1553"/>
      <c r="P985" s="1553"/>
      <c r="Q985" s="1554"/>
      <c r="R985" s="1552" t="s">
        <v>639</v>
      </c>
      <c r="S985" s="1553"/>
      <c r="T985" s="1553"/>
      <c r="U985" s="1553"/>
      <c r="V985" s="1553"/>
      <c r="W985" s="1553"/>
      <c r="X985" s="1553"/>
      <c r="Y985" s="1553"/>
      <c r="Z985" s="1553"/>
      <c r="AA985" s="1554"/>
      <c r="AB985" s="1552" t="s">
        <v>640</v>
      </c>
      <c r="AC985" s="1553"/>
      <c r="AD985" s="1553"/>
      <c r="AE985" s="1553"/>
      <c r="AF985" s="1553"/>
      <c r="AG985" s="1553"/>
      <c r="AH985" s="1553"/>
      <c r="AI985" s="1554"/>
      <c r="AJ985" s="1552" t="s">
        <v>641</v>
      </c>
      <c r="AK985" s="1553"/>
      <c r="AL985" s="1553"/>
      <c r="AM985" s="1553"/>
      <c r="AN985" s="1553"/>
      <c r="AO985" s="1553"/>
      <c r="AP985" s="1553"/>
      <c r="AQ985" s="1554"/>
      <c r="AR985" s="68"/>
      <c r="AS985" s="68"/>
      <c r="AT985" s="68"/>
      <c r="AU985" s="68"/>
      <c r="AV985" s="68"/>
      <c r="AW985" s="68"/>
      <c r="AX985" s="68"/>
      <c r="AY985" s="68"/>
      <c r="AZ985" s="30"/>
      <c r="BB985" s="14"/>
      <c r="BC985" s="14"/>
    </row>
    <row r="986" spans="1:64" ht="12.95" customHeight="1">
      <c r="A986" s="14"/>
      <c r="B986" s="73"/>
      <c r="C986" s="929"/>
      <c r="D986" s="1382" t="s">
        <v>633</v>
      </c>
      <c r="E986" s="1383"/>
      <c r="F986" s="1383"/>
      <c r="G986" s="1383"/>
      <c r="H986" s="1383"/>
      <c r="I986" s="1383"/>
      <c r="J986" s="1383"/>
      <c r="K986" s="1383"/>
      <c r="L986" s="1383"/>
      <c r="M986" s="1383"/>
      <c r="N986" s="1383"/>
      <c r="O986" s="1383"/>
      <c r="P986" s="1383"/>
      <c r="Q986" s="1384"/>
      <c r="R986" s="1555">
        <f>IF(ISNA(IF($CU$122="4%",(INDEX($CS$160:$CW$217,MATCH($DG$122,$CR$160:$CR$217,0),MATCH(D986,$CS$159:$CW$159,0))),(INDEX($CZ$160:$DD$217,MATCH($DG$122,$CY$160:$CY$217,0),MATCH(D986,$CZ$159:$DD$159,0))))),0,IF($CU$122="4%",(INDEX($CS$160:$CW$217,MATCH($DG$122,$CR$160:$CR$217,0),MATCH(D986,$CS$159:$CW$159,0))),(INDEX($CZ$160:$DD$217,MATCH($DG$122,$CY$160:$CY$217,0),MATCH(D986,$CZ$159:$DD$159,0)))))</f>
        <v>437727</v>
      </c>
      <c r="S986" s="1555"/>
      <c r="T986" s="1555"/>
      <c r="U986" s="1555"/>
      <c r="V986" s="1555"/>
      <c r="W986" s="1555"/>
      <c r="X986" s="1555"/>
      <c r="Y986" s="1555"/>
      <c r="Z986" s="1555"/>
      <c r="AA986" s="1555"/>
      <c r="AB986" s="1385">
        <f>CP802</f>
        <v>0</v>
      </c>
      <c r="AC986" s="1386"/>
      <c r="AD986" s="1386"/>
      <c r="AE986" s="1386"/>
      <c r="AF986" s="1386"/>
      <c r="AG986" s="1386"/>
      <c r="AH986" s="1386"/>
      <c r="AI986" s="1387"/>
      <c r="AJ986" s="1491">
        <f>IF(ISERROR((R986*AB986)),0,(R986*AB986))</f>
        <v>0</v>
      </c>
      <c r="AK986" s="1492"/>
      <c r="AL986" s="1492"/>
      <c r="AM986" s="1492"/>
      <c r="AN986" s="1492"/>
      <c r="AO986" s="1492"/>
      <c r="AP986" s="1492"/>
      <c r="AQ986" s="1493"/>
      <c r="AR986" s="68"/>
      <c r="AS986" s="68"/>
      <c r="AT986" s="68"/>
      <c r="AU986" s="68"/>
      <c r="AV986" s="68"/>
      <c r="AW986" s="68"/>
      <c r="AX986" s="68"/>
      <c r="AY986" s="68"/>
      <c r="AZ986" s="30"/>
      <c r="BB986" s="14"/>
      <c r="BC986" s="14"/>
    </row>
    <row r="987" spans="1:64" ht="12.95" customHeight="1">
      <c r="A987" s="14"/>
      <c r="B987" s="73"/>
      <c r="C987" s="83"/>
      <c r="D987" s="1382" t="s">
        <v>324</v>
      </c>
      <c r="E987" s="1383"/>
      <c r="F987" s="1383"/>
      <c r="G987" s="1383"/>
      <c r="H987" s="1383"/>
      <c r="I987" s="1383"/>
      <c r="J987" s="1383"/>
      <c r="K987" s="1383"/>
      <c r="L987" s="1383"/>
      <c r="M987" s="1383"/>
      <c r="N987" s="1383"/>
      <c r="O987" s="1383"/>
      <c r="P987" s="1383"/>
      <c r="Q987" s="1384"/>
      <c r="R987" s="1555">
        <f>IF(ISNA(IF($CU$122="4%",(INDEX($CS$160:$CW$217,MATCH($DG$122,$CR$160:$CR$217,0),MATCH(D987,$CS$159:$CW$159,0))),(INDEX($CZ$160:$DD$217,MATCH($DG$122,$CY$160:$CY$217,0),MATCH(D987,$CZ$159:$DD$159,0))))),0,IF($CU$122="4%",(INDEX($CS$160:$CW$217,MATCH($DG$122,$CR$160:$CR$217,0),MATCH(D987,$CS$159:$CW$159,0))),(INDEX($CZ$160:$DD$217,MATCH($DG$122,$CY$160:$CY$217,0),MATCH(D987,$CZ$159:$DD$159,0)))))</f>
        <v>504695</v>
      </c>
      <c r="S987" s="1555"/>
      <c r="T987" s="1555"/>
      <c r="U987" s="1555"/>
      <c r="V987" s="1555"/>
      <c r="W987" s="1555"/>
      <c r="X987" s="1555"/>
      <c r="Y987" s="1555"/>
      <c r="Z987" s="1555"/>
      <c r="AA987" s="1555"/>
      <c r="AB987" s="1385">
        <f>CU802</f>
        <v>31</v>
      </c>
      <c r="AC987" s="1386"/>
      <c r="AD987" s="1386"/>
      <c r="AE987" s="1386"/>
      <c r="AF987" s="1386"/>
      <c r="AG987" s="1386"/>
      <c r="AH987" s="1386"/>
      <c r="AI987" s="1387"/>
      <c r="AJ987" s="1491">
        <f>IF(ISERROR((R987*AB987)),0,(R987*AB987))</f>
        <v>15645545</v>
      </c>
      <c r="AK987" s="1492"/>
      <c r="AL987" s="1492"/>
      <c r="AM987" s="1492"/>
      <c r="AN987" s="1492"/>
      <c r="AO987" s="1492"/>
      <c r="AP987" s="1492"/>
      <c r="AQ987" s="1493"/>
      <c r="AR987" s="68"/>
      <c r="AS987" s="68"/>
      <c r="AT987" s="68"/>
      <c r="AU987" s="68"/>
      <c r="AV987" s="68"/>
      <c r="AW987" s="68"/>
      <c r="AX987" s="68"/>
      <c r="AY987" s="68"/>
      <c r="AZ987" s="30"/>
      <c r="BB987" s="14"/>
      <c r="BC987" s="14"/>
    </row>
    <row r="988" spans="1:64" ht="12.95" customHeight="1">
      <c r="A988" s="14"/>
      <c r="B988" s="73"/>
      <c r="C988" s="83"/>
      <c r="D988" s="1382" t="s">
        <v>163</v>
      </c>
      <c r="E988" s="1383"/>
      <c r="F988" s="1383"/>
      <c r="G988" s="1383"/>
      <c r="H988" s="1383"/>
      <c r="I988" s="1383"/>
      <c r="J988" s="1383"/>
      <c r="K988" s="1383"/>
      <c r="L988" s="1383"/>
      <c r="M988" s="1383"/>
      <c r="N988" s="1383"/>
      <c r="O988" s="1383"/>
      <c r="P988" s="1383"/>
      <c r="Q988" s="1384"/>
      <c r="R988" s="1555">
        <f>IF(ISNA(IF($CU$122="4%",(INDEX($CS$160:$CW$217,MATCH($DG$122,$CR$160:$CR$217,0),MATCH(D988,$CS$159:$CW$159,0))),(INDEX($CZ$160:$DD$217,MATCH($DG$122,$CY$160:$CY$217,0),MATCH(D988,$CZ$159:$DD$159,0))))),0,IF($CU$122="4%",(INDEX($CS$160:$CW$217,MATCH($DG$122,$CR$160:$CR$217,0),MATCH(D988,$CS$159:$CW$159,0))),(INDEX($CZ$160:$DD$217,MATCH($DG$122,$CY$160:$CY$217,0),MATCH(D988,$CZ$159:$DD$159,0)))))</f>
        <v>608800</v>
      </c>
      <c r="S988" s="1555"/>
      <c r="T988" s="1555"/>
      <c r="U988" s="1555"/>
      <c r="V988" s="1555"/>
      <c r="W988" s="1555"/>
      <c r="X988" s="1555"/>
      <c r="Y988" s="1555"/>
      <c r="Z988" s="1555"/>
      <c r="AA988" s="1555"/>
      <c r="AB988" s="1385">
        <f>CZ802</f>
        <v>82</v>
      </c>
      <c r="AC988" s="1386"/>
      <c r="AD988" s="1386"/>
      <c r="AE988" s="1386"/>
      <c r="AF988" s="1386"/>
      <c r="AG988" s="1386"/>
      <c r="AH988" s="1386"/>
      <c r="AI988" s="1387"/>
      <c r="AJ988" s="1491">
        <f>IF(ISERROR((R988*AB988)),0,(R988*AB988))</f>
        <v>49921600</v>
      </c>
      <c r="AK988" s="1492"/>
      <c r="AL988" s="1492"/>
      <c r="AM988" s="1492"/>
      <c r="AN988" s="1492"/>
      <c r="AO988" s="1492"/>
      <c r="AP988" s="1492"/>
      <c r="AQ988" s="1493"/>
      <c r="AR988" s="68"/>
      <c r="AS988" s="68"/>
      <c r="AT988" s="68"/>
      <c r="AU988" s="68"/>
      <c r="AV988" s="68"/>
      <c r="AW988" s="68"/>
      <c r="AX988" s="68"/>
      <c r="AY988" s="68"/>
      <c r="AZ988" s="30"/>
      <c r="BB988" s="14"/>
      <c r="BC988" s="14"/>
    </row>
    <row r="989" spans="1:64" ht="12.95" customHeight="1">
      <c r="A989" s="14"/>
      <c r="B989" s="73"/>
      <c r="C989" s="83"/>
      <c r="D989" s="1382" t="s">
        <v>164</v>
      </c>
      <c r="E989" s="1383"/>
      <c r="F989" s="1383"/>
      <c r="G989" s="1383"/>
      <c r="H989" s="1383"/>
      <c r="I989" s="1383"/>
      <c r="J989" s="1383"/>
      <c r="K989" s="1383"/>
      <c r="L989" s="1383"/>
      <c r="M989" s="1383"/>
      <c r="N989" s="1383"/>
      <c r="O989" s="1383"/>
      <c r="P989" s="1383"/>
      <c r="Q989" s="1384"/>
      <c r="R989" s="1555">
        <f>IF(ISNA(IF($CU$122="4%",(INDEX($CS$160:$CW$217,MATCH($DG$122,$CR$160:$CR$217,0),MATCH(D989,$CS$159:$CW$159,0))),(INDEX($CZ$160:$DD$217,MATCH($DG$122,$CY$160:$CY$217,0),MATCH(D989,$CZ$159:$DD$159,0))))),0,IF($CU$122="4%",(INDEX($CS$160:$CW$217,MATCH($DG$122,$CR$160:$CR$217,0),MATCH(D989,$CS$159:$CW$159,0))),(INDEX($CZ$160:$DD$217,MATCH($DG$122,$CY$160:$CY$217,0),MATCH(D989,$CZ$159:$DD$159,0)))))</f>
        <v>779264</v>
      </c>
      <c r="S989" s="1555"/>
      <c r="T989" s="1555"/>
      <c r="U989" s="1555"/>
      <c r="V989" s="1555"/>
      <c r="W989" s="1555"/>
      <c r="X989" s="1555"/>
      <c r="Y989" s="1555"/>
      <c r="Z989" s="1555"/>
      <c r="AA989" s="1555"/>
      <c r="AB989" s="1385">
        <f>DE802</f>
        <v>47</v>
      </c>
      <c r="AC989" s="1386"/>
      <c r="AD989" s="1386"/>
      <c r="AE989" s="1386"/>
      <c r="AF989" s="1386"/>
      <c r="AG989" s="1386"/>
      <c r="AH989" s="1386"/>
      <c r="AI989" s="1387"/>
      <c r="AJ989" s="1491">
        <f>IF(ISERROR((R989*AB989)),0,(R989*AB989))</f>
        <v>36625408</v>
      </c>
      <c r="AK989" s="1492"/>
      <c r="AL989" s="1492"/>
      <c r="AM989" s="1492"/>
      <c r="AN989" s="1492"/>
      <c r="AO989" s="1492"/>
      <c r="AP989" s="1492"/>
      <c r="AQ989" s="1493"/>
      <c r="AR989" s="68"/>
      <c r="AS989" s="68"/>
      <c r="AT989" s="68"/>
      <c r="AU989" s="68"/>
      <c r="AV989" s="68"/>
      <c r="AW989" s="68"/>
      <c r="AX989" s="68"/>
      <c r="AY989" s="68"/>
      <c r="AZ989" s="30"/>
      <c r="BA989" s="34"/>
      <c r="BB989" s="14"/>
      <c r="BC989" s="14"/>
    </row>
    <row r="990" spans="1:64" ht="12.95" customHeight="1">
      <c r="A990" s="14"/>
      <c r="B990" s="47"/>
      <c r="C990" s="78"/>
      <c r="D990" s="1382" t="s">
        <v>460</v>
      </c>
      <c r="E990" s="1383"/>
      <c r="F990" s="1383"/>
      <c r="G990" s="1383"/>
      <c r="H990" s="1383"/>
      <c r="I990" s="1383"/>
      <c r="J990" s="1383"/>
      <c r="K990" s="1383"/>
      <c r="L990" s="1383"/>
      <c r="M990" s="1383"/>
      <c r="N990" s="1383"/>
      <c r="O990" s="1383"/>
      <c r="P990" s="1383"/>
      <c r="Q990" s="1384"/>
      <c r="R990" s="1555">
        <f>IF(ISNA(IF($CU$122="4%",(INDEX($CS$160:$CW$217,MATCH($DG$122,$CR$160:$CR$217,0),MATCH(D990,$CS$159:$CW$159,0))),(INDEX($CZ$160:$DD$217,MATCH($DG$122,$CY$160:$CY$217,0),MATCH(D990,$CZ$159:$DD$159,0))))),0,IF($CU$122="4%",(INDEX($CS$160:$CW$217,MATCH($DG$122,$CR$160:$CR$217,0),MATCH(D990,$CS$159:$CW$159,0))),(INDEX($CZ$160:$DD$217,MATCH($DG$122,$CY$160:$CY$217,0),MATCH(D990,$CZ$159:$DD$159,0)))))</f>
        <v>868149</v>
      </c>
      <c r="S990" s="1555"/>
      <c r="T990" s="1555"/>
      <c r="U990" s="1555"/>
      <c r="V990" s="1555"/>
      <c r="W990" s="1555"/>
      <c r="X990" s="1555"/>
      <c r="Y990" s="1555"/>
      <c r="Z990" s="1555"/>
      <c r="AA990" s="1555"/>
      <c r="AB990" s="1385">
        <f>DO802+DJ802</f>
        <v>0</v>
      </c>
      <c r="AC990" s="1386"/>
      <c r="AD990" s="1386"/>
      <c r="AE990" s="1386"/>
      <c r="AF990" s="1386"/>
      <c r="AG990" s="1386"/>
      <c r="AH990" s="1386"/>
      <c r="AI990" s="1387"/>
      <c r="AJ990" s="1491">
        <f>IF(ISERROR((R990*AB990)),0,(R990*AB990))</f>
        <v>0</v>
      </c>
      <c r="AK990" s="1492"/>
      <c r="AL990" s="1492"/>
      <c r="AM990" s="1492"/>
      <c r="AN990" s="1492"/>
      <c r="AO990" s="1492"/>
      <c r="AP990" s="1492"/>
      <c r="AQ990" s="1493"/>
      <c r="AR990" s="68"/>
      <c r="AS990" s="68"/>
      <c r="AT990" s="68"/>
      <c r="AU990" s="68"/>
      <c r="AV990" s="68"/>
      <c r="AW990" s="68"/>
      <c r="AX990" s="68"/>
      <c r="AY990" s="68"/>
      <c r="AZ990" s="30"/>
      <c r="BB990" s="14"/>
      <c r="BC990" s="14"/>
    </row>
    <row r="991" spans="1:64" ht="12.95" customHeight="1">
      <c r="A991" s="14"/>
      <c r="B991" s="1619" t="s">
        <v>791</v>
      </c>
      <c r="C991" s="1620"/>
      <c r="D991" s="1620"/>
      <c r="E991" s="1620"/>
      <c r="F991" s="1620"/>
      <c r="G991" s="1620"/>
      <c r="H991" s="1620"/>
      <c r="I991" s="1620"/>
      <c r="J991" s="1620"/>
      <c r="K991" s="1620"/>
      <c r="L991" s="1620"/>
      <c r="M991" s="1620"/>
      <c r="N991" s="1620"/>
      <c r="O991" s="1620"/>
      <c r="P991" s="1620"/>
      <c r="Q991" s="1620"/>
      <c r="R991" s="1620"/>
      <c r="S991" s="1620"/>
      <c r="T991" s="1620"/>
      <c r="U991" s="1620"/>
      <c r="V991" s="1620"/>
      <c r="W991" s="1620"/>
      <c r="X991" s="1620"/>
      <c r="Y991" s="1620"/>
      <c r="Z991" s="1620"/>
      <c r="AA991" s="1621"/>
      <c r="AB991" s="1385">
        <f>SUM(AB986:AI990)</f>
        <v>160</v>
      </c>
      <c r="AC991" s="1386"/>
      <c r="AD991" s="1386"/>
      <c r="AE991" s="1386"/>
      <c r="AF991" s="1386"/>
      <c r="AG991" s="1386"/>
      <c r="AH991" s="1386"/>
      <c r="AI991" s="1387"/>
      <c r="AJ991" s="1491"/>
      <c r="AK991" s="1492"/>
      <c r="AL991" s="1492"/>
      <c r="AM991" s="1492"/>
      <c r="AN991" s="1492"/>
      <c r="AO991" s="1492"/>
      <c r="AP991" s="1492"/>
      <c r="AQ991" s="1493"/>
      <c r="AR991" s="68"/>
      <c r="AS991" s="68"/>
      <c r="AT991" s="68"/>
      <c r="AU991" s="68"/>
      <c r="AV991" s="68"/>
      <c r="AW991" s="68"/>
      <c r="AX991" s="68"/>
      <c r="AY991" s="68"/>
      <c r="AZ991" s="34"/>
      <c r="BA991" s="34"/>
      <c r="BB991" s="14"/>
      <c r="BC991" s="14"/>
    </row>
    <row r="992" spans="1:64" ht="12.95" customHeight="1">
      <c r="A992" s="14"/>
      <c r="B992" s="1586" t="s">
        <v>512</v>
      </c>
      <c r="C992" s="1587"/>
      <c r="D992" s="1587"/>
      <c r="E992" s="1587"/>
      <c r="F992" s="1587"/>
      <c r="G992" s="1587"/>
      <c r="H992" s="1587"/>
      <c r="I992" s="1587"/>
      <c r="J992" s="1587"/>
      <c r="K992" s="1587"/>
      <c r="L992" s="1587"/>
      <c r="M992" s="1587"/>
      <c r="N992" s="1587"/>
      <c r="O992" s="1587"/>
      <c r="P992" s="1587"/>
      <c r="Q992" s="1587"/>
      <c r="R992" s="1587"/>
      <c r="S992" s="1587"/>
      <c r="T992" s="1587"/>
      <c r="U992" s="1587"/>
      <c r="V992" s="1587"/>
      <c r="W992" s="1587"/>
      <c r="X992" s="1587"/>
      <c r="Y992" s="1587"/>
      <c r="Z992" s="1587"/>
      <c r="AA992" s="1587"/>
      <c r="AB992" s="1587"/>
      <c r="AC992" s="1587"/>
      <c r="AD992" s="1587"/>
      <c r="AE992" s="1587"/>
      <c r="AF992" s="1587"/>
      <c r="AG992" s="1587"/>
      <c r="AH992" s="1587"/>
      <c r="AI992" s="1588"/>
      <c r="AJ992" s="1491">
        <f>SUM(AJ986:AQ990)</f>
        <v>102192553</v>
      </c>
      <c r="AK992" s="1492"/>
      <c r="AL992" s="1492"/>
      <c r="AM992" s="1492"/>
      <c r="AN992" s="1492"/>
      <c r="AO992" s="1492"/>
      <c r="AP992" s="1492"/>
      <c r="AQ992" s="1493"/>
      <c r="AR992" s="68"/>
      <c r="AS992" s="68"/>
      <c r="AT992" s="68"/>
      <c r="AU992" s="68"/>
      <c r="AV992" s="68"/>
      <c r="AW992" s="68"/>
      <c r="AX992" s="68"/>
      <c r="AY992" s="68"/>
      <c r="AZ992" s="34"/>
      <c r="BB992" s="34"/>
      <c r="BC992" s="34"/>
    </row>
    <row r="993" spans="1:55" ht="12.95" customHeight="1">
      <c r="A993" s="14"/>
      <c r="B993" s="1494"/>
      <c r="C993" s="1495"/>
      <c r="D993" s="1495"/>
      <c r="E993" s="1495"/>
      <c r="F993" s="1495"/>
      <c r="G993" s="1495"/>
      <c r="H993" s="1495"/>
      <c r="I993" s="1495"/>
      <c r="J993" s="1495"/>
      <c r="K993" s="1495"/>
      <c r="L993" s="1495"/>
      <c r="M993" s="1495"/>
      <c r="N993" s="1495"/>
      <c r="O993" s="1495"/>
      <c r="P993" s="1495"/>
      <c r="Q993" s="1495"/>
      <c r="R993" s="1495"/>
      <c r="S993" s="1495"/>
      <c r="T993" s="1495"/>
      <c r="U993" s="1495"/>
      <c r="V993" s="1495"/>
      <c r="W993" s="1495"/>
      <c r="X993" s="1495"/>
      <c r="Y993" s="1495"/>
      <c r="Z993" s="1495"/>
      <c r="AA993" s="1495"/>
      <c r="AB993" s="1495"/>
      <c r="AC993" s="1495"/>
      <c r="AD993" s="1495"/>
      <c r="AE993" s="1496"/>
      <c r="AF993" s="1500" t="s">
        <v>666</v>
      </c>
      <c r="AG993" s="1501"/>
      <c r="AH993" s="1501"/>
      <c r="AI993" s="1502"/>
      <c r="AJ993" s="1494"/>
      <c r="AK993" s="1495"/>
      <c r="AL993" s="1495"/>
      <c r="AM993" s="1495"/>
      <c r="AN993" s="1495"/>
      <c r="AO993" s="1495"/>
      <c r="AP993" s="1495"/>
      <c r="AQ993" s="1496"/>
      <c r="AR993" s="68"/>
      <c r="AS993" s="68"/>
      <c r="AT993" s="68"/>
      <c r="AU993" s="68"/>
      <c r="AV993" s="68"/>
      <c r="AW993" s="68"/>
      <c r="AX993" s="68"/>
      <c r="AY993" s="68"/>
      <c r="AZ993" s="34"/>
      <c r="BA993" s="34"/>
      <c r="BB993" s="34"/>
      <c r="BC993" s="34"/>
    </row>
    <row r="994" spans="1:55" ht="12.95" customHeight="1">
      <c r="A994" s="14"/>
      <c r="B994" s="73"/>
      <c r="C994" s="927" t="s">
        <v>668</v>
      </c>
      <c r="D994" s="1507" t="s">
        <v>1220</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3" t="s">
        <v>669</v>
      </c>
      <c r="AH994" s="1504"/>
      <c r="AI994" s="87"/>
      <c r="AJ994" s="1388">
        <f>ROUND(IF(AND(AG994="yes",D1000&gt;0),AJ992*0.2,0),0)</f>
        <v>0</v>
      </c>
      <c r="AK994" s="1389"/>
      <c r="AL994" s="1389"/>
      <c r="AM994" s="1389"/>
      <c r="AN994" s="1389"/>
      <c r="AO994" s="1389"/>
      <c r="AP994" s="1389"/>
      <c r="AQ994" s="1390"/>
      <c r="AR994" s="68"/>
      <c r="AS994" s="68"/>
      <c r="AT994" s="68"/>
      <c r="AU994" s="68"/>
      <c r="AV994" s="68"/>
      <c r="AW994" s="68"/>
      <c r="AX994" s="68"/>
      <c r="AY994" s="68"/>
      <c r="AZ994" s="34"/>
      <c r="BA994" s="34"/>
      <c r="BB994" s="34"/>
      <c r="BC994" s="34"/>
    </row>
    <row r="995" spans="1:55" ht="12.95" customHeight="1">
      <c r="A995" s="14"/>
      <c r="B995" s="257"/>
      <c r="C995" s="256"/>
      <c r="D995" s="1542" t="s">
        <v>2234</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1"/>
      <c r="AK995" s="1392"/>
      <c r="AL995" s="1392"/>
      <c r="AM995" s="1392"/>
      <c r="AN995" s="1392"/>
      <c r="AO995" s="1392"/>
      <c r="AP995" s="1392"/>
      <c r="AQ995" s="1393"/>
      <c r="AR995" s="68"/>
      <c r="AS995" s="68"/>
      <c r="AT995" s="68"/>
      <c r="AU995" s="68"/>
      <c r="AV995" s="68"/>
      <c r="AW995" s="68"/>
      <c r="AX995" s="68"/>
      <c r="AY995" s="68"/>
      <c r="AZ995" s="34"/>
      <c r="BA995" s="34"/>
      <c r="BB995" s="34"/>
      <c r="BC995" s="34"/>
    </row>
    <row r="996" spans="1:55" ht="12.95" customHeight="1">
      <c r="A996" s="14"/>
      <c r="B996" s="257"/>
      <c r="C996" s="256"/>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1"/>
      <c r="AK996" s="1392"/>
      <c r="AL996" s="1392"/>
      <c r="AM996" s="1392"/>
      <c r="AN996" s="1392"/>
      <c r="AO996" s="1392"/>
      <c r="AP996" s="1392"/>
      <c r="AQ996" s="1393"/>
      <c r="AR996" s="68"/>
      <c r="AS996" s="68"/>
      <c r="AT996" s="68"/>
      <c r="AU996" s="68"/>
      <c r="AV996" s="68"/>
      <c r="AW996" s="68"/>
      <c r="AX996" s="68"/>
      <c r="AY996" s="68"/>
      <c r="AZ996" s="34"/>
      <c r="BA996" s="34"/>
      <c r="BB996" s="34"/>
      <c r="BC996" s="34"/>
    </row>
    <row r="997" spans="1:55" ht="12.95" customHeight="1">
      <c r="A997" s="14"/>
      <c r="B997" s="257"/>
      <c r="C997" s="256"/>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1"/>
      <c r="AK997" s="1392"/>
      <c r="AL997" s="1392"/>
      <c r="AM997" s="1392"/>
      <c r="AN997" s="1392"/>
      <c r="AO997" s="1392"/>
      <c r="AP997" s="1392"/>
      <c r="AQ997" s="1393"/>
      <c r="AR997" s="68"/>
      <c r="AS997" s="68"/>
      <c r="AT997" s="68"/>
      <c r="AU997" s="68"/>
      <c r="AV997" s="68"/>
      <c r="AW997" s="68"/>
      <c r="AX997" s="68"/>
      <c r="AY997" s="68"/>
      <c r="AZ997" s="34"/>
      <c r="BA997" s="34"/>
      <c r="BB997" s="34"/>
      <c r="BC997" s="34"/>
    </row>
    <row r="998" spans="1:55" ht="12.95" customHeight="1">
      <c r="A998" s="14"/>
      <c r="B998" s="257"/>
      <c r="C998" s="256"/>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1"/>
      <c r="AK998" s="1392"/>
      <c r="AL998" s="1392"/>
      <c r="AM998" s="1392"/>
      <c r="AN998" s="1392"/>
      <c r="AO998" s="1392"/>
      <c r="AP998" s="1392"/>
      <c r="AQ998" s="1393"/>
      <c r="AR998" s="68"/>
      <c r="AS998" s="68"/>
      <c r="AT998" s="68"/>
      <c r="AU998" s="68"/>
      <c r="AV998" s="68"/>
      <c r="AW998" s="68"/>
      <c r="AX998" s="68"/>
      <c r="AY998" s="68"/>
      <c r="AZ998" s="34"/>
      <c r="BA998" s="34"/>
      <c r="BB998" s="34"/>
      <c r="BC998" s="34"/>
    </row>
    <row r="999" spans="1:55" ht="12.95" customHeight="1">
      <c r="A999" s="14"/>
      <c r="B999" s="257"/>
      <c r="C999" s="256"/>
      <c r="D999" s="1545" t="s">
        <v>2205</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1"/>
      <c r="AK999" s="1392"/>
      <c r="AL999" s="1392"/>
      <c r="AM999" s="1392"/>
      <c r="AN999" s="1392"/>
      <c r="AO999" s="1392"/>
      <c r="AP999" s="1392"/>
      <c r="AQ999" s="1393"/>
      <c r="AR999" s="68"/>
      <c r="AS999" s="68"/>
      <c r="AT999" s="68"/>
      <c r="AU999" s="68"/>
      <c r="AV999" s="68"/>
      <c r="AW999" s="68"/>
      <c r="AX999" s="68"/>
      <c r="AY999" s="68"/>
      <c r="AZ999" s="34"/>
      <c r="BA999" s="34"/>
      <c r="BB999" s="34"/>
      <c r="BC999" s="34"/>
    </row>
    <row r="1000" spans="1:55" ht="12.95" customHeight="1">
      <c r="A1000" s="14"/>
      <c r="B1000" s="257"/>
      <c r="C1000" s="256"/>
      <c r="D1000" s="1622"/>
      <c r="E1000" s="1623"/>
      <c r="F1000" s="1623"/>
      <c r="G1000" s="1623"/>
      <c r="H1000" s="1623"/>
      <c r="I1000" s="1623"/>
      <c r="J1000" s="1623"/>
      <c r="K1000" s="1623"/>
      <c r="L1000" s="1623"/>
      <c r="M1000" s="1623"/>
      <c r="N1000" s="1623"/>
      <c r="O1000" s="1623"/>
      <c r="P1000" s="1623"/>
      <c r="Q1000" s="1623"/>
      <c r="R1000" s="1623"/>
      <c r="S1000" s="1623"/>
      <c r="T1000" s="1623"/>
      <c r="U1000" s="1623"/>
      <c r="V1000" s="1623"/>
      <c r="W1000" s="1623"/>
      <c r="X1000" s="1623"/>
      <c r="Y1000" s="1623"/>
      <c r="Z1000" s="1623"/>
      <c r="AA1000" s="1623"/>
      <c r="AB1000" s="1623"/>
      <c r="AC1000" s="1623"/>
      <c r="AD1000" s="1623"/>
      <c r="AE1000" s="1624"/>
      <c r="AF1000" s="77"/>
      <c r="AG1000" s="7"/>
      <c r="AH1000" s="7"/>
      <c r="AI1000" s="78"/>
      <c r="AJ1000" s="1394"/>
      <c r="AK1000" s="1395"/>
      <c r="AL1000" s="1395"/>
      <c r="AM1000" s="1395"/>
      <c r="AN1000" s="1395"/>
      <c r="AO1000" s="1395"/>
      <c r="AP1000" s="1395"/>
      <c r="AQ1000" s="1396"/>
      <c r="AR1000" s="68"/>
      <c r="AS1000" s="68"/>
      <c r="AT1000" s="68"/>
      <c r="AU1000" s="68"/>
      <c r="AV1000" s="68"/>
      <c r="AW1000" s="68"/>
      <c r="AX1000" s="68"/>
      <c r="AY1000" s="68"/>
      <c r="AZ1000" s="34"/>
      <c r="BA1000" s="34"/>
      <c r="BB1000" s="34"/>
      <c r="BC1000" s="34"/>
    </row>
    <row r="1001" spans="1:55" ht="12.95" customHeight="1">
      <c r="A1001" s="14"/>
      <c r="B1001" s="255"/>
      <c r="C1001" s="318"/>
      <c r="D1001" s="1497" t="s">
        <v>1286</v>
      </c>
      <c r="E1001" s="1498"/>
      <c r="F1001" s="1498"/>
      <c r="G1001" s="1498"/>
      <c r="H1001" s="1498"/>
      <c r="I1001" s="1498"/>
      <c r="J1001" s="1498"/>
      <c r="K1001" s="1498"/>
      <c r="L1001" s="1498"/>
      <c r="M1001" s="1498"/>
      <c r="N1001" s="1498"/>
      <c r="O1001" s="1498"/>
      <c r="P1001" s="1498"/>
      <c r="Q1001" s="1498"/>
      <c r="R1001" s="1498"/>
      <c r="S1001" s="1498"/>
      <c r="T1001" s="1498"/>
      <c r="U1001" s="1498"/>
      <c r="V1001" s="1498"/>
      <c r="W1001" s="1498"/>
      <c r="X1001" s="1498"/>
      <c r="Y1001" s="1498"/>
      <c r="Z1001" s="1498"/>
      <c r="AA1001" s="1498"/>
      <c r="AB1001" s="1498"/>
      <c r="AC1001" s="1498"/>
      <c r="AD1001" s="1498"/>
      <c r="AE1001" s="1499"/>
      <c r="AF1001" s="79"/>
      <c r="AG1001" s="1505" t="s">
        <v>669</v>
      </c>
      <c r="AH1001" s="1506"/>
      <c r="AI1001" s="87"/>
      <c r="AJ1001" s="1388">
        <f>ROUND(IF(AG1001="yes",AJ992*0.05,0),0)</f>
        <v>0</v>
      </c>
      <c r="AK1001" s="1389"/>
      <c r="AL1001" s="1389"/>
      <c r="AM1001" s="1389"/>
      <c r="AN1001" s="1389"/>
      <c r="AO1001" s="1389"/>
      <c r="AP1001" s="1389"/>
      <c r="AQ1001" s="1390"/>
      <c r="AR1001" s="68"/>
      <c r="AS1001" s="68"/>
      <c r="AT1001" s="68"/>
      <c r="AU1001" s="68"/>
      <c r="AV1001" s="68"/>
      <c r="AW1001" s="68"/>
      <c r="AX1001" s="68"/>
      <c r="AY1001" s="68"/>
      <c r="AZ1001" s="34"/>
      <c r="BA1001" s="34"/>
      <c r="BB1001" s="34"/>
      <c r="BC1001" s="34"/>
    </row>
    <row r="1002" spans="1:55" ht="12.95" customHeight="1">
      <c r="A1002" s="14"/>
      <c r="B1002" s="257"/>
      <c r="C1002" s="82"/>
      <c r="D1002" s="1542" t="s">
        <v>1284</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1"/>
      <c r="AK1002" s="1392"/>
      <c r="AL1002" s="1392"/>
      <c r="AM1002" s="1392"/>
      <c r="AN1002" s="1392"/>
      <c r="AO1002" s="1392"/>
      <c r="AP1002" s="1392"/>
      <c r="AQ1002" s="1393"/>
      <c r="AR1002" s="68"/>
      <c r="AS1002" s="68"/>
      <c r="AT1002" s="68"/>
      <c r="AU1002" s="68"/>
      <c r="AV1002" s="68"/>
      <c r="AW1002" s="68"/>
      <c r="AX1002" s="68"/>
      <c r="AY1002" s="34"/>
      <c r="AZ1002" s="34"/>
      <c r="BB1002" s="34"/>
    </row>
    <row r="1003" spans="1:55" ht="12.95" customHeight="1">
      <c r="A1003" s="14"/>
      <c r="B1003" s="257"/>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1"/>
      <c r="AK1003" s="1392"/>
      <c r="AL1003" s="1392"/>
      <c r="AM1003" s="1392"/>
      <c r="AN1003" s="1392"/>
      <c r="AO1003" s="1392"/>
      <c r="AP1003" s="1392"/>
      <c r="AQ1003" s="1393"/>
      <c r="AR1003" s="68"/>
      <c r="AS1003" s="68"/>
      <c r="AT1003" s="68"/>
      <c r="AU1003" s="68"/>
      <c r="AV1003" s="68"/>
      <c r="AW1003" s="68"/>
      <c r="AX1003" s="68"/>
      <c r="AY1003" s="914">
        <f>G753+O797</f>
        <v>158</v>
      </c>
      <c r="AZ1003" s="34"/>
      <c r="BB1003" s="34"/>
    </row>
    <row r="1004" spans="1:55" ht="12.95" customHeight="1">
      <c r="A1004" s="14"/>
      <c r="B1004" s="257"/>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1"/>
      <c r="AK1004" s="1392"/>
      <c r="AL1004" s="1392"/>
      <c r="AM1004" s="1392"/>
      <c r="AN1004" s="1392"/>
      <c r="AO1004" s="1392"/>
      <c r="AP1004" s="1392"/>
      <c r="AQ1004" s="1393"/>
      <c r="AR1004" s="68"/>
      <c r="AS1004" s="68"/>
      <c r="AT1004" s="68"/>
      <c r="AU1004" s="68"/>
      <c r="AV1004" s="68"/>
      <c r="AW1004" s="68"/>
      <c r="AX1004" s="68"/>
      <c r="AY1004" s="14"/>
      <c r="AZ1004" s="34"/>
      <c r="BB1004" s="34"/>
    </row>
    <row r="1005" spans="1:55" ht="12.95" customHeight="1">
      <c r="A1005" s="14"/>
      <c r="B1005" s="257"/>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1"/>
      <c r="AK1005" s="1392"/>
      <c r="AL1005" s="1392"/>
      <c r="AM1005" s="1392"/>
      <c r="AN1005" s="1392"/>
      <c r="AO1005" s="1392"/>
      <c r="AP1005" s="1392"/>
      <c r="AQ1005" s="1393"/>
      <c r="AR1005" s="68"/>
      <c r="AS1005" s="68"/>
      <c r="AT1005" s="68"/>
      <c r="AU1005" s="68"/>
      <c r="AV1005" s="68"/>
      <c r="AW1005" s="68"/>
      <c r="AX1005" s="68"/>
      <c r="AY1005" s="913">
        <f>ROUNDDOWN(X1048/I1048,2)</f>
        <v>0</v>
      </c>
      <c r="AZ1005" s="34"/>
      <c r="BB1005" s="34"/>
    </row>
    <row r="1006" spans="1:55" ht="12.95"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394"/>
      <c r="AK1006" s="1395"/>
      <c r="AL1006" s="1395"/>
      <c r="AM1006" s="1395"/>
      <c r="AN1006" s="1395"/>
      <c r="AO1006" s="1395"/>
      <c r="AP1006" s="1395"/>
      <c r="AQ1006" s="1396"/>
      <c r="AR1006" s="68"/>
      <c r="AS1006" s="68"/>
      <c r="AT1006" s="68"/>
      <c r="AU1006" s="68"/>
      <c r="AV1006" s="68"/>
      <c r="AW1006" s="68"/>
      <c r="AX1006" s="68"/>
      <c r="AY1006" s="913">
        <f>ROUNDDOWN(X1052/I1052,2)</f>
        <v>0.22</v>
      </c>
      <c r="AZ1006" s="34"/>
      <c r="BB1006" s="34"/>
    </row>
    <row r="1007" spans="1:55" ht="12.95" customHeight="1">
      <c r="A1007" s="14"/>
      <c r="B1007" s="255"/>
      <c r="C1007" s="80" t="s">
        <v>672</v>
      </c>
      <c r="D1007" s="1497" t="s">
        <v>1683</v>
      </c>
      <c r="E1007" s="1498"/>
      <c r="F1007" s="1498"/>
      <c r="G1007" s="1498"/>
      <c r="H1007" s="1498"/>
      <c r="I1007" s="1498"/>
      <c r="J1007" s="1498"/>
      <c r="K1007" s="1498"/>
      <c r="L1007" s="1498"/>
      <c r="M1007" s="1498"/>
      <c r="N1007" s="1498"/>
      <c r="O1007" s="1498"/>
      <c r="P1007" s="1498"/>
      <c r="Q1007" s="1498"/>
      <c r="R1007" s="1498"/>
      <c r="S1007" s="1498"/>
      <c r="T1007" s="1498"/>
      <c r="U1007" s="1498"/>
      <c r="V1007" s="1498"/>
      <c r="W1007" s="1498"/>
      <c r="X1007" s="1498"/>
      <c r="Y1007" s="1498"/>
      <c r="Z1007" s="1498"/>
      <c r="AA1007" s="1498"/>
      <c r="AB1007" s="1498"/>
      <c r="AC1007" s="1498"/>
      <c r="AD1007" s="1498"/>
      <c r="AE1007" s="1499"/>
      <c r="AF1007" s="86"/>
      <c r="AG1007" s="1505" t="s">
        <v>545</v>
      </c>
      <c r="AH1007" s="1506"/>
      <c r="AI1007" s="87"/>
      <c r="AJ1007" s="1388">
        <f>ROUND(IF(AG1007="yes",AJ992*0.1,0),0)</f>
        <v>10219255</v>
      </c>
      <c r="AK1007" s="1389"/>
      <c r="AL1007" s="1389"/>
      <c r="AM1007" s="1389"/>
      <c r="AN1007" s="1389"/>
      <c r="AO1007" s="1389"/>
      <c r="AP1007" s="1389"/>
      <c r="AQ1007" s="1390"/>
      <c r="AR1007" s="68"/>
      <c r="AS1007" s="68"/>
      <c r="AT1007" s="68"/>
      <c r="AU1007" s="68"/>
      <c r="AV1007" s="68"/>
      <c r="AW1007" s="68"/>
      <c r="AX1007" s="68"/>
      <c r="BB1007" s="34"/>
    </row>
    <row r="1008" spans="1:55" ht="12.95" customHeight="1">
      <c r="A1008" s="14"/>
      <c r="B1008" s="73"/>
      <c r="C1008" s="74"/>
      <c r="D1008" s="1510" t="s">
        <v>1285</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1"/>
      <c r="AK1008" s="1392"/>
      <c r="AL1008" s="1392"/>
      <c r="AM1008" s="1392"/>
      <c r="AN1008" s="1392"/>
      <c r="AO1008" s="1392"/>
      <c r="AP1008" s="1392"/>
      <c r="AQ1008" s="1393"/>
      <c r="AR1008" s="68"/>
      <c r="AS1008" s="68"/>
      <c r="AT1008" s="68"/>
      <c r="AU1008" s="68"/>
      <c r="AV1008" s="68"/>
      <c r="AW1008" s="68"/>
      <c r="AX1008" s="68"/>
    </row>
    <row r="1009" spans="1:52" ht="12.95"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1"/>
      <c r="AK1009" s="1392"/>
      <c r="AL1009" s="1392"/>
      <c r="AM1009" s="1392"/>
      <c r="AN1009" s="1392"/>
      <c r="AO1009" s="1392"/>
      <c r="AP1009" s="1392"/>
      <c r="AQ1009" s="1393"/>
      <c r="AR1009" s="68"/>
      <c r="AS1009" s="68"/>
      <c r="AT1009" s="68"/>
      <c r="AU1009" s="68"/>
      <c r="AV1009" s="68"/>
      <c r="AW1009" s="68"/>
      <c r="AX1009" s="68"/>
    </row>
    <row r="1010" spans="1:52" ht="12.95"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394"/>
      <c r="AK1010" s="1395"/>
      <c r="AL1010" s="1395"/>
      <c r="AM1010" s="1395"/>
      <c r="AN1010" s="1395"/>
      <c r="AO1010" s="1395"/>
      <c r="AP1010" s="1395"/>
      <c r="AQ1010" s="1396"/>
      <c r="AR1010" s="68"/>
      <c r="AS1010" s="68"/>
      <c r="AT1010" s="68"/>
      <c r="AU1010" s="68"/>
      <c r="AV1010" s="68"/>
      <c r="AW1010" s="68"/>
      <c r="AX1010" s="68"/>
    </row>
    <row r="1011" spans="1:52" ht="12.95" customHeight="1">
      <c r="A1011" s="14"/>
      <c r="B1011" s="79"/>
      <c r="C1011" s="80" t="s">
        <v>211</v>
      </c>
      <c r="D1011" s="1497" t="s">
        <v>1287</v>
      </c>
      <c r="E1011" s="1498"/>
      <c r="F1011" s="1498"/>
      <c r="G1011" s="1498"/>
      <c r="H1011" s="1498"/>
      <c r="I1011" s="1498"/>
      <c r="J1011" s="1498"/>
      <c r="K1011" s="1498"/>
      <c r="L1011" s="1498"/>
      <c r="M1011" s="1498"/>
      <c r="N1011" s="1498"/>
      <c r="O1011" s="1498"/>
      <c r="P1011" s="1498"/>
      <c r="Q1011" s="1498"/>
      <c r="R1011" s="1498"/>
      <c r="S1011" s="1498"/>
      <c r="T1011" s="1498"/>
      <c r="U1011" s="1498"/>
      <c r="V1011" s="1498"/>
      <c r="W1011" s="1498"/>
      <c r="X1011" s="1498"/>
      <c r="Y1011" s="1498"/>
      <c r="Z1011" s="1498"/>
      <c r="AA1011" s="1498"/>
      <c r="AB1011" s="1498"/>
      <c r="AC1011" s="1498"/>
      <c r="AD1011" s="1498"/>
      <c r="AE1011" s="1499"/>
      <c r="AF1011" s="79"/>
      <c r="AG1011" s="1505" t="s">
        <v>669</v>
      </c>
      <c r="AH1011" s="1506"/>
      <c r="AI1011" s="87"/>
      <c r="AJ1011" s="1388">
        <f>ROUND(IF(AG1011="yes",AJ992*0.02,0),0)</f>
        <v>0</v>
      </c>
      <c r="AK1011" s="1389"/>
      <c r="AL1011" s="1389"/>
      <c r="AM1011" s="1389"/>
      <c r="AN1011" s="1389"/>
      <c r="AO1011" s="1389"/>
      <c r="AP1011" s="1389"/>
      <c r="AQ1011" s="1390"/>
      <c r="AR1011" s="68"/>
      <c r="AS1011" s="68"/>
      <c r="AT1011" s="68"/>
      <c r="AU1011" s="68"/>
      <c r="AV1011" s="68"/>
      <c r="AW1011" s="68"/>
      <c r="AX1011" s="68"/>
    </row>
    <row r="1012" spans="1:52" ht="14.25" customHeight="1">
      <c r="A1012" s="14"/>
      <c r="B1012" s="73"/>
      <c r="C1012" s="74"/>
      <c r="D1012" s="1513" t="s">
        <v>1288</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394"/>
      <c r="AK1012" s="1395"/>
      <c r="AL1012" s="1395"/>
      <c r="AM1012" s="1395"/>
      <c r="AN1012" s="1395"/>
      <c r="AO1012" s="1395"/>
      <c r="AP1012" s="1395"/>
      <c r="AQ1012" s="1396"/>
      <c r="AR1012" s="68"/>
      <c r="AS1012" s="68"/>
      <c r="AT1012" s="68"/>
      <c r="AU1012" s="68"/>
      <c r="AV1012" s="68"/>
      <c r="AW1012" s="68"/>
      <c r="AX1012" s="3" t="s">
        <v>1841</v>
      </c>
      <c r="AZ1012" s="3" t="s">
        <v>2606</v>
      </c>
    </row>
    <row r="1013" spans="1:52" ht="12.95" customHeight="1">
      <c r="A1013" s="14"/>
      <c r="B1013" s="79"/>
      <c r="C1013" s="80" t="s">
        <v>214</v>
      </c>
      <c r="D1013" s="1497" t="s">
        <v>1289</v>
      </c>
      <c r="E1013" s="1498"/>
      <c r="F1013" s="1498"/>
      <c r="G1013" s="1498"/>
      <c r="H1013" s="1498"/>
      <c r="I1013" s="1498"/>
      <c r="J1013" s="1498"/>
      <c r="K1013" s="1498"/>
      <c r="L1013" s="1498"/>
      <c r="M1013" s="1498"/>
      <c r="N1013" s="1498"/>
      <c r="O1013" s="1498"/>
      <c r="P1013" s="1498"/>
      <c r="Q1013" s="1498"/>
      <c r="R1013" s="1498"/>
      <c r="S1013" s="1498"/>
      <c r="T1013" s="1498"/>
      <c r="U1013" s="1498"/>
      <c r="V1013" s="1498"/>
      <c r="W1013" s="1498"/>
      <c r="X1013" s="1498"/>
      <c r="Y1013" s="1498"/>
      <c r="Z1013" s="1498"/>
      <c r="AA1013" s="1498"/>
      <c r="AB1013" s="1498"/>
      <c r="AC1013" s="1498"/>
      <c r="AD1013" s="1498"/>
      <c r="AE1013" s="1499"/>
      <c r="AF1013" s="79"/>
      <c r="AG1013" s="1505" t="s">
        <v>669</v>
      </c>
      <c r="AH1013" s="1506"/>
      <c r="AI1013" s="79"/>
      <c r="AJ1013" s="1388">
        <f>ROUND(IF(AG1013="yes",AJ992*0.02,0),0)</f>
        <v>0</v>
      </c>
      <c r="AK1013" s="1389"/>
      <c r="AL1013" s="1389"/>
      <c r="AM1013" s="1389"/>
      <c r="AN1013" s="1389"/>
      <c r="AO1013" s="1389"/>
      <c r="AP1013" s="1389"/>
      <c r="AQ1013" s="1390"/>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10" t="s">
        <v>1290</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72" t="str">
        <f>IF(AND(AG1013="yes",T212&lt;&gt;1),"The project may not be eligible for this boost","")</f>
        <v/>
      </c>
      <c r="AG1014" s="1373"/>
      <c r="AH1014" s="1373"/>
      <c r="AI1014" s="1374"/>
      <c r="AJ1014" s="1391"/>
      <c r="AK1014" s="1392"/>
      <c r="AL1014" s="1392"/>
      <c r="AM1014" s="1392"/>
      <c r="AN1014" s="1392"/>
      <c r="AO1014" s="1392"/>
      <c r="AP1014" s="1392"/>
      <c r="AQ1014" s="1393"/>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75"/>
      <c r="AG1015" s="1376"/>
      <c r="AH1015" s="1376"/>
      <c r="AI1015" s="1377"/>
      <c r="AJ1015" s="1394"/>
      <c r="AK1015" s="1395"/>
      <c r="AL1015" s="1395"/>
      <c r="AM1015" s="1395"/>
      <c r="AN1015" s="1395"/>
      <c r="AO1015" s="1395"/>
      <c r="AP1015" s="1395"/>
      <c r="AQ1015" s="1396"/>
      <c r="AR1015" s="68"/>
      <c r="AS1015" s="68"/>
      <c r="AT1015" s="68"/>
      <c r="AU1015" s="68"/>
      <c r="AV1015" s="68"/>
      <c r="AW1015" s="68"/>
      <c r="AX1015" s="3">
        <v>3</v>
      </c>
      <c r="AY1015" s="200">
        <f t="shared" si="53"/>
        <v>0</v>
      </c>
      <c r="AZ1015" s="1255">
        <v>0.05</v>
      </c>
    </row>
    <row r="1016" spans="1:52" ht="12.95" customHeight="1">
      <c r="A1016" s="14"/>
      <c r="B1016" s="79"/>
      <c r="C1016" s="80" t="s">
        <v>217</v>
      </c>
      <c r="D1016" s="1507" t="s">
        <v>2235</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5" t="s">
        <v>669</v>
      </c>
      <c r="AH1016" s="1506"/>
      <c r="AI1016" s="87"/>
      <c r="AJ1016" s="1388">
        <f>IF(AG1016="yes",AJ992*AY1024,0)</f>
        <v>0</v>
      </c>
      <c r="AK1016" s="1389"/>
      <c r="AL1016" s="1389"/>
      <c r="AM1016" s="1389"/>
      <c r="AN1016" s="1389"/>
      <c r="AO1016" s="1389"/>
      <c r="AP1016" s="1389"/>
      <c r="AQ1016" s="1390"/>
      <c r="AR1016" s="68"/>
      <c r="AS1016" s="68"/>
      <c r="AT1016" s="68"/>
      <c r="AU1016" s="68"/>
      <c r="AV1016" s="68"/>
      <c r="AW1016" s="68"/>
      <c r="AX1016" s="3">
        <v>4</v>
      </c>
      <c r="AY1016" s="200">
        <f t="shared" si="53"/>
        <v>0</v>
      </c>
      <c r="AZ1016" s="1255">
        <v>0.02</v>
      </c>
    </row>
    <row r="1017" spans="1:52" ht="12.95" customHeight="1">
      <c r="A1017" s="14"/>
      <c r="B1017" s="73"/>
      <c r="C1017" s="74"/>
      <c r="D1017" s="1510" t="s">
        <v>1291</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66" t="str">
        <f>IF(AND(AG1016="Yes",AY1024=0),AY1027,"")</f>
        <v/>
      </c>
      <c r="AG1017" s="1367"/>
      <c r="AH1017" s="1367"/>
      <c r="AI1017" s="1368"/>
      <c r="AJ1017" s="1391"/>
      <c r="AK1017" s="1392"/>
      <c r="AL1017" s="1392"/>
      <c r="AM1017" s="1392"/>
      <c r="AN1017" s="1392"/>
      <c r="AO1017" s="1392"/>
      <c r="AP1017" s="1392"/>
      <c r="AQ1017" s="1393"/>
      <c r="AR1017" s="68"/>
      <c r="AS1017" s="68"/>
      <c r="AT1017" s="68"/>
      <c r="AU1017" s="68"/>
      <c r="AV1017" s="68"/>
      <c r="AW1017" s="68"/>
      <c r="AX1017" s="3">
        <v>5</v>
      </c>
      <c r="AY1017" s="200">
        <f t="shared" si="53"/>
        <v>0</v>
      </c>
      <c r="AZ1017" s="1255">
        <v>0.04</v>
      </c>
    </row>
    <row r="1018" spans="1:52" ht="12.95"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66"/>
      <c r="AG1018" s="1367"/>
      <c r="AH1018" s="1367"/>
      <c r="AI1018" s="1368"/>
      <c r="AJ1018" s="1391"/>
      <c r="AK1018" s="1392"/>
      <c r="AL1018" s="1392"/>
      <c r="AM1018" s="1392"/>
      <c r="AN1018" s="1392"/>
      <c r="AO1018" s="1392"/>
      <c r="AP1018" s="1392"/>
      <c r="AQ1018" s="1393"/>
      <c r="AR1018" s="68"/>
      <c r="AS1018" s="68"/>
      <c r="AT1018" s="68"/>
      <c r="AU1018" s="68"/>
      <c r="AV1018" s="68"/>
      <c r="AW1018" s="68"/>
      <c r="AX1018" s="3">
        <v>6</v>
      </c>
      <c r="AY1018" s="200">
        <f t="shared" si="53"/>
        <v>0</v>
      </c>
      <c r="AZ1018" s="1255">
        <v>0.04</v>
      </c>
    </row>
    <row r="1019" spans="1:52" ht="12.95"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69"/>
      <c r="AG1019" s="1370"/>
      <c r="AH1019" s="1370"/>
      <c r="AI1019" s="1371"/>
      <c r="AJ1019" s="1394"/>
      <c r="AK1019" s="1395"/>
      <c r="AL1019" s="1395"/>
      <c r="AM1019" s="1395"/>
      <c r="AN1019" s="1395"/>
      <c r="AO1019" s="1395"/>
      <c r="AP1019" s="1395"/>
      <c r="AQ1019" s="1396"/>
      <c r="AR1019" s="68"/>
      <c r="AS1019" s="68"/>
      <c r="AT1019" s="68"/>
      <c r="AU1019" s="68"/>
      <c r="AV1019" s="68"/>
      <c r="AW1019" s="68"/>
      <c r="AX1019" s="3">
        <v>7</v>
      </c>
      <c r="AY1019" s="200">
        <f t="shared" si="53"/>
        <v>0</v>
      </c>
      <c r="AZ1019" s="1255">
        <v>0.01</v>
      </c>
    </row>
    <row r="1020" spans="1:52" ht="12.95" customHeight="1">
      <c r="A1020" s="14"/>
      <c r="B1020" s="79"/>
      <c r="C1020" s="80" t="s">
        <v>222</v>
      </c>
      <c r="D1020" s="1524" t="s">
        <v>1292</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5" t="s">
        <v>669</v>
      </c>
      <c r="AH1020" s="1506"/>
      <c r="AI1020" s="87"/>
      <c r="AJ1020" s="1388">
        <f>ROUND(IF(AND(AG1020="Yes",J1024&lt;&gt;"N/A",AF1023&lt;&gt;""),MIN(AF1023,(0.15*AJ992)),0),0)</f>
        <v>0</v>
      </c>
      <c r="AK1020" s="1389"/>
      <c r="AL1020" s="1389"/>
      <c r="AM1020" s="1389"/>
      <c r="AN1020" s="1389"/>
      <c r="AO1020" s="1389"/>
      <c r="AP1020" s="1389"/>
      <c r="AQ1020" s="1390"/>
      <c r="AR1020" s="68"/>
      <c r="AS1020" s="68"/>
      <c r="AT1020" s="68"/>
      <c r="AU1020" s="68"/>
      <c r="AV1020" s="68"/>
      <c r="AW1020" s="68"/>
      <c r="AX1020" s="3">
        <v>8</v>
      </c>
      <c r="AY1020" s="200">
        <f t="shared" si="53"/>
        <v>0</v>
      </c>
      <c r="AZ1020" s="1255">
        <v>0.01</v>
      </c>
    </row>
    <row r="1021" spans="1:52" ht="12.95"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1"/>
      <c r="AK1021" s="1392"/>
      <c r="AL1021" s="1392"/>
      <c r="AM1021" s="1392"/>
      <c r="AN1021" s="1392"/>
      <c r="AO1021" s="1392"/>
      <c r="AP1021" s="1392"/>
      <c r="AQ1021" s="1393"/>
      <c r="AR1021" s="68"/>
      <c r="AS1021" s="68"/>
      <c r="AT1021" s="68"/>
      <c r="AU1021" s="68"/>
      <c r="AV1021" s="68"/>
      <c r="AW1021" s="68"/>
      <c r="AX1021" s="3">
        <v>9</v>
      </c>
      <c r="AY1021" s="200">
        <f t="shared" si="53"/>
        <v>0</v>
      </c>
      <c r="AZ1021" s="1255">
        <v>0.01</v>
      </c>
    </row>
    <row r="1022" spans="1:52" ht="12.95" customHeight="1">
      <c r="A1022" s="14"/>
      <c r="B1022" s="81"/>
      <c r="C1022" s="84"/>
      <c r="D1022" s="1510" t="s">
        <v>1293</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1"/>
      <c r="AK1022" s="1392"/>
      <c r="AL1022" s="1392"/>
      <c r="AM1022" s="1392"/>
      <c r="AN1022" s="1392"/>
      <c r="AO1022" s="1392"/>
      <c r="AP1022" s="1392"/>
      <c r="AQ1022" s="1393"/>
      <c r="AR1022" s="68"/>
      <c r="AS1022" s="68"/>
      <c r="AT1022" s="68"/>
      <c r="AU1022" s="68"/>
      <c r="AV1022" s="68"/>
      <c r="AW1022" s="68"/>
      <c r="AX1022" s="3">
        <v>10</v>
      </c>
      <c r="AY1022" s="200">
        <f t="shared" si="53"/>
        <v>0</v>
      </c>
      <c r="AZ1022" s="1255">
        <v>0.02</v>
      </c>
    </row>
    <row r="1023" spans="1:52" ht="12.95"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9"/>
      <c r="AG1023" s="1559"/>
      <c r="AH1023" s="1559"/>
      <c r="AI1023" s="1559"/>
      <c r="AJ1023" s="1391"/>
      <c r="AK1023" s="1392"/>
      <c r="AL1023" s="1392"/>
      <c r="AM1023" s="1392"/>
      <c r="AN1023" s="1392"/>
      <c r="AO1023" s="1392"/>
      <c r="AP1023" s="1392"/>
      <c r="AQ1023" s="1393"/>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8" t="s">
        <v>591</v>
      </c>
      <c r="K1024" s="1489"/>
      <c r="L1024" s="1489"/>
      <c r="M1024" s="1489"/>
      <c r="N1024" s="1489"/>
      <c r="O1024" s="1489"/>
      <c r="P1024" s="1489"/>
      <c r="Q1024" s="1489"/>
      <c r="R1024" s="1489"/>
      <c r="S1024" s="1489"/>
      <c r="T1024" s="1489"/>
      <c r="U1024" s="1489"/>
      <c r="V1024" s="1489"/>
      <c r="W1024" s="1489"/>
      <c r="X1024" s="1489"/>
      <c r="Y1024" s="1489"/>
      <c r="Z1024" s="1489"/>
      <c r="AA1024" s="1489"/>
      <c r="AB1024" s="1489"/>
      <c r="AC1024" s="1489"/>
      <c r="AD1024" s="1489"/>
      <c r="AE1024" s="1490"/>
      <c r="AF1024" s="1559"/>
      <c r="AG1024" s="1559"/>
      <c r="AH1024" s="1559"/>
      <c r="AI1024" s="1559"/>
      <c r="AJ1024" s="1394"/>
      <c r="AK1024" s="1395"/>
      <c r="AL1024" s="1395"/>
      <c r="AM1024" s="1395"/>
      <c r="AN1024" s="1395"/>
      <c r="AO1024" s="1395"/>
      <c r="AP1024" s="1395"/>
      <c r="AQ1024" s="1396"/>
      <c r="AR1024" s="68"/>
      <c r="AS1024" s="68"/>
      <c r="AT1024" s="68"/>
      <c r="AU1024" s="68"/>
      <c r="AV1024" s="68"/>
      <c r="AW1024" s="68"/>
      <c r="AX1024" s="1032" t="s">
        <v>2605</v>
      </c>
      <c r="AY1024" s="201">
        <f>IF(SUM(AY1013:AY1023)&lt;=0.2,SUM(AY1013:AY1023),0.2)</f>
        <v>0</v>
      </c>
    </row>
    <row r="1025" spans="1:57" ht="12.95" customHeight="1">
      <c r="A1025" s="14"/>
      <c r="B1025" s="79"/>
      <c r="C1025" s="80" t="s">
        <v>228</v>
      </c>
      <c r="D1025" s="1497" t="s">
        <v>1294</v>
      </c>
      <c r="E1025" s="1498"/>
      <c r="F1025" s="1498"/>
      <c r="G1025" s="1498"/>
      <c r="H1025" s="1498"/>
      <c r="I1025" s="1498"/>
      <c r="J1025" s="1498"/>
      <c r="K1025" s="1498"/>
      <c r="L1025" s="1498"/>
      <c r="M1025" s="1498"/>
      <c r="N1025" s="1498"/>
      <c r="O1025" s="1498"/>
      <c r="P1025" s="1498"/>
      <c r="Q1025" s="1498"/>
      <c r="R1025" s="1498"/>
      <c r="S1025" s="1498"/>
      <c r="T1025" s="1498"/>
      <c r="U1025" s="1498"/>
      <c r="V1025" s="1498"/>
      <c r="W1025" s="1498"/>
      <c r="X1025" s="1498"/>
      <c r="Y1025" s="1498"/>
      <c r="Z1025" s="1498"/>
      <c r="AA1025" s="1498"/>
      <c r="AB1025" s="1498"/>
      <c r="AC1025" s="1498"/>
      <c r="AD1025" s="1498"/>
      <c r="AE1025" s="1499"/>
      <c r="AF1025" s="79"/>
      <c r="AG1025" s="1505" t="s">
        <v>669</v>
      </c>
      <c r="AH1025" s="1506"/>
      <c r="AI1025" s="87"/>
      <c r="AJ1025" s="1388">
        <f>ROUND(IF(AG1025="Yes",AF1027,0),0)</f>
        <v>0</v>
      </c>
      <c r="AK1025" s="1389"/>
      <c r="AL1025" s="1389"/>
      <c r="AM1025" s="1389"/>
      <c r="AN1025" s="1389"/>
      <c r="AO1025" s="1389"/>
      <c r="AP1025" s="1389"/>
      <c r="AQ1025" s="1390"/>
      <c r="AR1025" s="68"/>
      <c r="AS1025" s="68"/>
      <c r="AT1025" s="68"/>
      <c r="AU1025" s="68"/>
      <c r="AV1025" s="68"/>
      <c r="AW1025" s="68"/>
      <c r="AX1025" s="68"/>
      <c r="AY1025" s="68"/>
    </row>
    <row r="1026" spans="1:57" ht="12.95" customHeight="1">
      <c r="A1026" s="14"/>
      <c r="B1026" s="73"/>
      <c r="C1026" s="74"/>
      <c r="D1026" s="1510" t="s">
        <v>1690</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
      </c>
      <c r="AG1026" s="1531"/>
      <c r="AH1026" s="1531"/>
      <c r="AI1026" s="1532"/>
      <c r="AJ1026" s="1391"/>
      <c r="AK1026" s="1392"/>
      <c r="AL1026" s="1392"/>
      <c r="AM1026" s="1392"/>
      <c r="AN1026" s="1392"/>
      <c r="AO1026" s="1392"/>
      <c r="AP1026" s="1392"/>
      <c r="AQ1026" s="1393"/>
      <c r="AR1026" s="68"/>
      <c r="AS1026" s="68"/>
      <c r="AT1026" s="68"/>
      <c r="AU1026" s="68"/>
      <c r="AV1026" s="68"/>
      <c r="AW1026" s="68"/>
      <c r="AX1026" s="68"/>
      <c r="AY1026" s="68"/>
    </row>
    <row r="1027" spans="1:57" ht="12.95"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9"/>
      <c r="AG1027" s="1559"/>
      <c r="AH1027" s="1559"/>
      <c r="AI1027" s="1559"/>
      <c r="AJ1027" s="1391"/>
      <c r="AK1027" s="1392"/>
      <c r="AL1027" s="1392"/>
      <c r="AM1027" s="1392"/>
      <c r="AN1027" s="1392"/>
      <c r="AO1027" s="1392"/>
      <c r="AP1027" s="1392"/>
      <c r="AQ1027" s="1393"/>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9"/>
      <c r="AG1028" s="1559"/>
      <c r="AH1028" s="1559"/>
      <c r="AI1028" s="1559"/>
      <c r="AJ1028" s="1394"/>
      <c r="AK1028" s="1395"/>
      <c r="AL1028" s="1395"/>
      <c r="AM1028" s="1395"/>
      <c r="AN1028" s="1395"/>
      <c r="AO1028" s="1395"/>
      <c r="AP1028" s="1395"/>
      <c r="AQ1028" s="1396"/>
      <c r="AR1028" s="68"/>
      <c r="AS1028" s="68"/>
      <c r="AT1028" s="68"/>
      <c r="AU1028" s="68"/>
      <c r="AV1028" s="68"/>
      <c r="AW1028" s="68"/>
      <c r="AX1028" s="68"/>
      <c r="AY1028" s="68"/>
    </row>
    <row r="1029" spans="1:57" ht="12.95" customHeight="1">
      <c r="A1029" s="14"/>
      <c r="B1029" s="79"/>
      <c r="C1029" s="80" t="s">
        <v>233</v>
      </c>
      <c r="D1029" s="1507" t="s">
        <v>1295</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05" t="s">
        <v>545</v>
      </c>
      <c r="AH1029" s="1506"/>
      <c r="AI1029" s="87"/>
      <c r="AJ1029" s="1388">
        <f>ROUND(IF(AG1029="yes",(AJ992*0.1),0),0)</f>
        <v>10219255</v>
      </c>
      <c r="AK1029" s="1389"/>
      <c r="AL1029" s="1389"/>
      <c r="AM1029" s="1389"/>
      <c r="AN1029" s="1389"/>
      <c r="AO1029" s="1389"/>
      <c r="AP1029" s="1389"/>
      <c r="AQ1029" s="1390"/>
      <c r="AR1029" s="68"/>
      <c r="AS1029" s="68"/>
      <c r="AT1029" s="68"/>
      <c r="AU1029" s="68"/>
      <c r="AV1029" s="68"/>
      <c r="AW1029" s="68"/>
      <c r="AX1029" s="68"/>
      <c r="AY1029" s="68"/>
    </row>
    <row r="1030" spans="1:57" ht="12.95" customHeight="1">
      <c r="A1030" s="14"/>
      <c r="B1030" s="73"/>
      <c r="C1030" s="74"/>
      <c r="D1030" s="1510" t="s">
        <v>1296</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1"/>
      <c r="AK1030" s="1392"/>
      <c r="AL1030" s="1392"/>
      <c r="AM1030" s="1392"/>
      <c r="AN1030" s="1392"/>
      <c r="AO1030" s="1392"/>
      <c r="AP1030" s="1392"/>
      <c r="AQ1030" s="1393"/>
      <c r="AR1030" s="68"/>
      <c r="AS1030" s="68"/>
      <c r="AT1030" s="68"/>
      <c r="AU1030" s="68"/>
      <c r="AV1030" s="68"/>
      <c r="AW1030" s="68"/>
      <c r="AX1030" s="68"/>
      <c r="AY1030" s="68"/>
    </row>
    <row r="1031" spans="1:57" ht="12.95"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394"/>
      <c r="AK1031" s="1395"/>
      <c r="AL1031" s="1395"/>
      <c r="AM1031" s="1395"/>
      <c r="AN1031" s="1395"/>
      <c r="AO1031" s="1395"/>
      <c r="AP1031" s="1395"/>
      <c r="AQ1031" s="1396"/>
      <c r="AR1031" s="68"/>
      <c r="AS1031" s="68"/>
      <c r="AT1031" s="68"/>
      <c r="AU1031" s="68"/>
      <c r="AV1031" s="68"/>
      <c r="AW1031" s="68"/>
      <c r="AX1031" s="68"/>
      <c r="AY1031" s="68"/>
    </row>
    <row r="1032" spans="1:57" ht="12.95" customHeight="1">
      <c r="A1032" s="14"/>
      <c r="B1032" s="73"/>
      <c r="C1032" s="339" t="s">
        <v>687</v>
      </c>
      <c r="D1032" s="1497" t="s">
        <v>1686</v>
      </c>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9"/>
      <c r="AF1032" s="79"/>
      <c r="AG1032" s="1505" t="s">
        <v>669</v>
      </c>
      <c r="AH1032" s="1506"/>
      <c r="AI1032" s="87"/>
      <c r="AJ1032" s="1388">
        <f>ROUND(IF(AG1032="yes",(AJ992*0.15),0),0)</f>
        <v>0</v>
      </c>
      <c r="AK1032" s="1389"/>
      <c r="AL1032" s="1389"/>
      <c r="AM1032" s="1389"/>
      <c r="AN1032" s="1389"/>
      <c r="AO1032" s="1389"/>
      <c r="AP1032" s="1389"/>
      <c r="AQ1032" s="1390"/>
      <c r="AR1032" s="68"/>
      <c r="AS1032" s="68"/>
      <c r="AT1032" s="68"/>
      <c r="AU1032" s="68"/>
      <c r="AV1032" s="68"/>
      <c r="AW1032" s="68"/>
      <c r="AX1032" s="68"/>
      <c r="AY1032" s="68"/>
    </row>
    <row r="1033" spans="1:57" ht="12.95" customHeight="1">
      <c r="A1033" s="14"/>
      <c r="B1033" s="73"/>
      <c r="C1033" s="74"/>
      <c r="D1033" s="1519"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20"/>
      <c r="AF1033" s="915"/>
      <c r="AG1033" s="916"/>
      <c r="AH1033" s="916"/>
      <c r="AI1033" s="917"/>
      <c r="AJ1033" s="1391"/>
      <c r="AK1033" s="1392"/>
      <c r="AL1033" s="1392"/>
      <c r="AM1033" s="1392"/>
      <c r="AN1033" s="1392"/>
      <c r="AO1033" s="1392"/>
      <c r="AP1033" s="1392"/>
      <c r="AQ1033" s="1393"/>
      <c r="AR1033" s="68"/>
      <c r="AS1033" s="68"/>
      <c r="AT1033" s="68"/>
      <c r="AU1033" s="68"/>
      <c r="AV1033" s="68"/>
      <c r="AW1033" s="68"/>
      <c r="AX1033" s="68"/>
      <c r="AY1033" s="68"/>
    </row>
    <row r="1034" spans="1:57" ht="12.95" customHeight="1">
      <c r="A1034" s="14"/>
      <c r="B1034" s="73"/>
      <c r="C1034" s="74"/>
      <c r="D1034" s="1519"/>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20"/>
      <c r="AF1034" s="915"/>
      <c r="AG1034" s="916"/>
      <c r="AH1034" s="916"/>
      <c r="AI1034" s="917"/>
      <c r="AJ1034" s="1391"/>
      <c r="AK1034" s="1392"/>
      <c r="AL1034" s="1392"/>
      <c r="AM1034" s="1392"/>
      <c r="AN1034" s="1392"/>
      <c r="AO1034" s="1392"/>
      <c r="AP1034" s="1392"/>
      <c r="AQ1034" s="1393"/>
      <c r="AR1034" s="68"/>
      <c r="AS1034" s="68"/>
      <c r="AT1034" s="68"/>
      <c r="AU1034" s="68"/>
      <c r="AV1034" s="68"/>
      <c r="AW1034" s="68"/>
      <c r="AX1034" s="68"/>
      <c r="AY1034" s="68"/>
    </row>
    <row r="1035" spans="1:57" ht="12.95"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8"/>
      <c r="AG1035" s="919"/>
      <c r="AH1035" s="919"/>
      <c r="AI1035" s="920"/>
      <c r="AJ1035" s="1394"/>
      <c r="AK1035" s="1395"/>
      <c r="AL1035" s="1395"/>
      <c r="AM1035" s="1395"/>
      <c r="AN1035" s="1395"/>
      <c r="AO1035" s="1395"/>
      <c r="AP1035" s="1395"/>
      <c r="AQ1035" s="1396"/>
      <c r="AR1035" s="68"/>
      <c r="AS1035" s="68"/>
      <c r="AT1035" s="68"/>
      <c r="AU1035" s="68"/>
      <c r="AV1035" s="68"/>
      <c r="AW1035" s="68"/>
      <c r="AX1035" s="68"/>
      <c r="AY1035" s="68"/>
    </row>
    <row r="1036" spans="1:57" ht="12.95" customHeight="1">
      <c r="A1036" s="14"/>
      <c r="B1036" s="73"/>
      <c r="C1036" s="339" t="s">
        <v>687</v>
      </c>
      <c r="D1036" s="1507" t="s">
        <v>1688</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94" t="s">
        <v>545</v>
      </c>
      <c r="AH1036" s="1595"/>
      <c r="AI1036" s="83"/>
      <c r="AJ1036" s="1388">
        <f>ROUND(IF(AND(AG1036="yes",AJ1032=0),(AJ992*0.1),0),0)</f>
        <v>10219255</v>
      </c>
      <c r="AK1036" s="1389"/>
      <c r="AL1036" s="1389"/>
      <c r="AM1036" s="1389"/>
      <c r="AN1036" s="1389"/>
      <c r="AO1036" s="1389"/>
      <c r="AP1036" s="1389"/>
      <c r="AQ1036" s="1390"/>
      <c r="AR1036" s="68"/>
      <c r="AS1036" s="68"/>
      <c r="AT1036" s="68"/>
      <c r="AU1036" s="68"/>
      <c r="AV1036" s="68"/>
      <c r="AW1036" s="68"/>
      <c r="AX1036" s="68"/>
      <c r="AY1036" s="68"/>
    </row>
    <row r="1037" spans="1:57" ht="12.95" customHeight="1">
      <c r="A1037" s="14"/>
      <c r="B1037" s="73"/>
      <c r="C1037" s="74"/>
      <c r="D1037" s="1519"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20"/>
      <c r="AF1037" s="73"/>
      <c r="AG1037" s="14"/>
      <c r="AH1037" s="14"/>
      <c r="AI1037" s="83"/>
      <c r="AJ1037" s="1391"/>
      <c r="AK1037" s="1392"/>
      <c r="AL1037" s="1392"/>
      <c r="AM1037" s="1392"/>
      <c r="AN1037" s="1392"/>
      <c r="AO1037" s="1392"/>
      <c r="AP1037" s="1392"/>
      <c r="AQ1037" s="1393"/>
      <c r="AR1037" s="68"/>
      <c r="AS1037" s="68"/>
      <c r="AT1037" s="68"/>
      <c r="AU1037" s="68"/>
      <c r="AV1037" s="68"/>
      <c r="AW1037" s="68"/>
      <c r="AX1037" s="68"/>
      <c r="AY1037" s="68"/>
    </row>
    <row r="1038" spans="1:57" ht="12.95" customHeight="1">
      <c r="A1038" s="14"/>
      <c r="B1038" s="73"/>
      <c r="C1038" s="74"/>
      <c r="D1038" s="1519"/>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20"/>
      <c r="AF1038" s="73"/>
      <c r="AG1038" s="14"/>
      <c r="AH1038" s="14"/>
      <c r="AI1038" s="83"/>
      <c r="AJ1038" s="1391"/>
      <c r="AK1038" s="1392"/>
      <c r="AL1038" s="1392"/>
      <c r="AM1038" s="1392"/>
      <c r="AN1038" s="1392"/>
      <c r="AO1038" s="1392"/>
      <c r="AP1038" s="1392"/>
      <c r="AQ1038" s="1393"/>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519"/>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20"/>
      <c r="AF1039" s="73"/>
      <c r="AG1039" s="14"/>
      <c r="AH1039" s="14"/>
      <c r="AI1039" s="83"/>
      <c r="AJ1039" s="1391"/>
      <c r="AK1039" s="1392"/>
      <c r="AL1039" s="1392"/>
      <c r="AM1039" s="1392"/>
      <c r="AN1039" s="1392"/>
      <c r="AO1039" s="1392"/>
      <c r="AP1039" s="1392"/>
      <c r="AQ1039" s="1393"/>
      <c r="AR1039" s="68"/>
      <c r="AS1039" s="68"/>
      <c r="AT1039" s="68"/>
      <c r="AU1039" s="68"/>
      <c r="AV1039" s="68"/>
      <c r="AW1039" s="68"/>
      <c r="AX1039" s="68"/>
      <c r="AY1039" s="68"/>
      <c r="BA1039">
        <f>IFERROR((($CI$753+$CM$753)/$AG$440),0)</f>
        <v>0.22151898734177214</v>
      </c>
      <c r="BB1039" s="3" t="s">
        <v>2492</v>
      </c>
    </row>
    <row r="1040" spans="1:57" ht="12.95"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1"/>
      <c r="AK1040" s="1392"/>
      <c r="AL1040" s="1392"/>
      <c r="AM1040" s="1392"/>
      <c r="AN1040" s="1392"/>
      <c r="AO1040" s="1392"/>
      <c r="AP1040" s="1392"/>
      <c r="AQ1040" s="1393"/>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497" t="s">
        <v>1297</v>
      </c>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9"/>
      <c r="AF1041" s="79"/>
      <c r="AG1041" s="1505" t="s">
        <v>545</v>
      </c>
      <c r="AH1041" s="1506"/>
      <c r="AI1041" s="87"/>
      <c r="AJ1041" s="1388">
        <f>ROUND(IF(AG1041="yes",(AJ992*0.1),0),0)</f>
        <v>10219255</v>
      </c>
      <c r="AK1041" s="1389"/>
      <c r="AL1041" s="1389"/>
      <c r="AM1041" s="1389"/>
      <c r="AN1041" s="1389"/>
      <c r="AO1041" s="1389"/>
      <c r="AP1041" s="1389"/>
      <c r="AQ1041" s="1390"/>
      <c r="AR1041" s="68"/>
      <c r="AS1041" s="68"/>
      <c r="AT1041" s="68"/>
      <c r="AU1041" s="68"/>
      <c r="AV1041" s="68"/>
      <c r="AW1041" s="68"/>
      <c r="AX1041" s="68"/>
      <c r="AY1041" s="68"/>
      <c r="BA1041">
        <f>Q212</f>
        <v>0</v>
      </c>
      <c r="BB1041" s="3" t="s">
        <v>2490</v>
      </c>
    </row>
    <row r="1042" spans="1:56" ht="12.95" customHeight="1">
      <c r="A1042" s="14"/>
      <c r="B1042" s="73"/>
      <c r="C1042" s="74"/>
      <c r="D1042" s="1510" t="s">
        <v>2144</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1"/>
      <c r="AK1042" s="1392"/>
      <c r="AL1042" s="1392"/>
      <c r="AM1042" s="1392"/>
      <c r="AN1042" s="1392"/>
      <c r="AO1042" s="1392"/>
      <c r="AP1042" s="1392"/>
      <c r="AQ1042" s="1393"/>
      <c r="AR1042" s="68"/>
      <c r="AS1042" s="68"/>
      <c r="AT1042" s="68"/>
      <c r="AU1042" s="68"/>
      <c r="AV1042" s="68"/>
      <c r="AW1042" s="68"/>
      <c r="AX1042" s="68"/>
      <c r="AY1042" s="68"/>
      <c r="BA1042" s="1184">
        <f>T212</f>
        <v>0</v>
      </c>
      <c r="BB1042" s="3" t="s">
        <v>2491</v>
      </c>
    </row>
    <row r="1043" spans="1:56" ht="12.95"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1"/>
      <c r="AK1043" s="1392"/>
      <c r="AL1043" s="1392"/>
      <c r="AM1043" s="1392"/>
      <c r="AN1043" s="1392"/>
      <c r="AO1043" s="1392"/>
      <c r="AP1043" s="1392"/>
      <c r="AQ1043" s="1393"/>
      <c r="AR1043" s="68"/>
      <c r="AS1043" s="68"/>
      <c r="AT1043" s="68"/>
      <c r="AU1043" s="68"/>
      <c r="AV1043" s="68"/>
      <c r="AW1043" s="68"/>
      <c r="AX1043" s="68"/>
      <c r="AY1043" s="68"/>
    </row>
    <row r="1044" spans="1:56" ht="12.95"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394"/>
      <c r="AK1044" s="1395"/>
      <c r="AL1044" s="1395"/>
      <c r="AM1044" s="1395"/>
      <c r="AN1044" s="1395"/>
      <c r="AO1044" s="1395"/>
      <c r="AP1044" s="1395"/>
      <c r="AQ1044" s="1396"/>
      <c r="AR1044" s="68"/>
      <c r="AS1044" s="68"/>
      <c r="AT1044" s="68"/>
      <c r="AU1044" s="68"/>
      <c r="AV1044" s="68"/>
      <c r="AW1044" s="68"/>
      <c r="AX1044" s="68"/>
      <c r="AY1044" s="68"/>
    </row>
    <row r="1045" spans="1:56" ht="12.95" customHeight="1">
      <c r="A1045" s="14"/>
      <c r="B1045" s="79"/>
      <c r="C1045" s="131" t="s">
        <v>1684</v>
      </c>
      <c r="D1045" s="1507" t="s">
        <v>1864</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84" t="str">
        <f>IF(X1048&gt;0,"Yes","No")</f>
        <v>No</v>
      </c>
      <c r="AH1045" s="1585"/>
      <c r="AI1045" s="87"/>
      <c r="AJ1045" s="1388">
        <f>IF((X1048=0),0,AY1005*AJ992)</f>
        <v>0</v>
      </c>
      <c r="AK1045" s="1389"/>
      <c r="AL1045" s="1389"/>
      <c r="AM1045" s="1389"/>
      <c r="AN1045" s="1389"/>
      <c r="AO1045" s="1389"/>
      <c r="AP1045" s="1389"/>
      <c r="AQ1045" s="139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510" t="s">
        <v>1299</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3"/>
      <c r="AH1046" s="443"/>
      <c r="AI1046" s="83"/>
      <c r="AJ1046" s="1391"/>
      <c r="AK1046" s="1392"/>
      <c r="AL1046" s="1392"/>
      <c r="AM1046" s="1392"/>
      <c r="AN1046" s="1392"/>
      <c r="AO1046" s="1392"/>
      <c r="AP1046" s="1392"/>
      <c r="AQ1046" s="1393"/>
      <c r="AR1046" s="68"/>
      <c r="AS1046" s="68"/>
      <c r="AT1046" s="68"/>
      <c r="AU1046" s="13"/>
      <c r="AV1046" s="68"/>
      <c r="AW1046" s="68"/>
      <c r="AX1046" s="68"/>
      <c r="AY1046" s="68"/>
      <c r="AZ1046" s="962">
        <f>'Sources and Uses Budget'!S97*BA1046</f>
        <v>11250949.949999999</v>
      </c>
      <c r="BA1046" s="1182">
        <f>IF(BA1040,20%,15%)</f>
        <v>0.15</v>
      </c>
      <c r="BB1046" s="3" t="s">
        <v>2478</v>
      </c>
      <c r="BC1046" s="3" t="s">
        <v>2479</v>
      </c>
      <c r="BD1046" s="3"/>
    </row>
    <row r="1047" spans="1:56" ht="12.95" customHeight="1">
      <c r="A1047" s="14"/>
      <c r="B1047" s="73"/>
      <c r="C1047" s="442"/>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3"/>
      <c r="AH1047" s="443"/>
      <c r="AI1047" s="83"/>
      <c r="AJ1047" s="1391"/>
      <c r="AK1047" s="1392"/>
      <c r="AL1047" s="1392"/>
      <c r="AM1047" s="1392"/>
      <c r="AN1047" s="1392"/>
      <c r="AO1047" s="1392"/>
      <c r="AP1047" s="1392"/>
      <c r="AQ1047" s="1393"/>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582">
        <f>AY1003</f>
        <v>158</v>
      </c>
      <c r="J1048" s="1583"/>
      <c r="K1048" s="7"/>
      <c r="L1048" s="133"/>
      <c r="M1048" s="133"/>
      <c r="N1048" s="133"/>
      <c r="O1048" s="133"/>
      <c r="P1048" s="133"/>
      <c r="Q1048" s="133"/>
      <c r="R1048" s="133"/>
      <c r="S1048" s="133"/>
      <c r="T1048" s="133"/>
      <c r="U1048" s="133"/>
      <c r="V1048" s="134" t="s">
        <v>973</v>
      </c>
      <c r="W1048" s="48"/>
      <c r="X1048" s="1580">
        <f>CI753</f>
        <v>0</v>
      </c>
      <c r="Y1048" s="1581"/>
      <c r="Z1048" s="48"/>
      <c r="AA1048" s="48"/>
      <c r="AB1048" s="48"/>
      <c r="AC1048" s="48"/>
      <c r="AD1048" s="48"/>
      <c r="AE1048" s="49"/>
      <c r="AF1048" s="924"/>
      <c r="AG1048" s="925"/>
      <c r="AH1048" s="925"/>
      <c r="AI1048" s="926"/>
      <c r="AJ1048" s="1394"/>
      <c r="AK1048" s="1395"/>
      <c r="AL1048" s="1395"/>
      <c r="AM1048" s="1395"/>
      <c r="AN1048" s="1395"/>
      <c r="AO1048" s="1395"/>
      <c r="AP1048" s="1395"/>
      <c r="AQ1048" s="1396"/>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1685</v>
      </c>
      <c r="D1049" s="1497" t="s">
        <v>2170</v>
      </c>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9"/>
      <c r="AF1049" s="73"/>
      <c r="AG1049" s="1584" t="str">
        <f>IF(X1052&gt;0,"Yes","No")</f>
        <v>Yes</v>
      </c>
      <c r="AH1049" s="1585"/>
      <c r="AI1049" s="83"/>
      <c r="AJ1049" s="1388">
        <f>IF((X1052=0),0,(2*AY1006)*AJ992)</f>
        <v>44964723.32</v>
      </c>
      <c r="AK1049" s="1389"/>
      <c r="AL1049" s="1389"/>
      <c r="AM1049" s="1389"/>
      <c r="AN1049" s="1389"/>
      <c r="AO1049" s="1389"/>
      <c r="AP1049" s="1389"/>
      <c r="AQ1049" s="1390"/>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510" t="s">
        <v>1298</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3"/>
      <c r="AH1050" s="443"/>
      <c r="AI1050" s="83"/>
      <c r="AJ1050" s="1391"/>
      <c r="AK1050" s="1392"/>
      <c r="AL1050" s="1392"/>
      <c r="AM1050" s="1392"/>
      <c r="AN1050" s="1392"/>
      <c r="AO1050" s="1392"/>
      <c r="AP1050" s="1392"/>
      <c r="AQ1050" s="1393"/>
      <c r="AR1050" s="68"/>
      <c r="AS1050" s="68"/>
      <c r="AT1050" s="68"/>
      <c r="AU1050" s="68"/>
      <c r="AV1050" s="68"/>
      <c r="AW1050" s="68"/>
      <c r="AX1050" s="68"/>
      <c r="AY1050" s="68"/>
      <c r="AZ1050" s="962"/>
      <c r="BA1050" s="3"/>
      <c r="BB1050" s="3"/>
      <c r="BC1050" s="3"/>
      <c r="BD1050" s="3"/>
    </row>
    <row r="1051" spans="1:56" ht="12.95"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1"/>
      <c r="AG1051" s="922"/>
      <c r="AH1051" s="922"/>
      <c r="AI1051" s="923"/>
      <c r="AJ1051" s="1391"/>
      <c r="AK1051" s="1392"/>
      <c r="AL1051" s="1392"/>
      <c r="AM1051" s="1392"/>
      <c r="AN1051" s="1392"/>
      <c r="AO1051" s="1392"/>
      <c r="AP1051" s="1392"/>
      <c r="AQ1051" s="1393"/>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82">
        <f>AY1003</f>
        <v>158</v>
      </c>
      <c r="J1052" s="1583"/>
      <c r="K1052" s="14"/>
      <c r="L1052" s="133"/>
      <c r="M1052" s="133"/>
      <c r="N1052" s="133"/>
      <c r="O1052" s="133"/>
      <c r="P1052" s="133"/>
      <c r="Q1052" s="133"/>
      <c r="R1052" s="133"/>
      <c r="S1052" s="133"/>
      <c r="T1052" s="133"/>
      <c r="U1052" s="133"/>
      <c r="V1052" s="134" t="s">
        <v>974</v>
      </c>
      <c r="X1052" s="1580">
        <f>CM753</f>
        <v>35</v>
      </c>
      <c r="Y1052" s="1581"/>
      <c r="AF1052" s="924"/>
      <c r="AG1052" s="925"/>
      <c r="AH1052" s="925"/>
      <c r="AI1052" s="926"/>
      <c r="AJ1052" s="1394"/>
      <c r="AK1052" s="1395"/>
      <c r="AL1052" s="1395"/>
      <c r="AM1052" s="1395"/>
      <c r="AN1052" s="1395"/>
      <c r="AO1052" s="1395"/>
      <c r="AP1052" s="1395"/>
      <c r="AQ1052" s="1396"/>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78" t="s">
        <v>513</v>
      </c>
      <c r="E1053" s="1578"/>
      <c r="F1053" s="1578"/>
      <c r="G1053" s="1578"/>
      <c r="H1053" s="1578"/>
      <c r="I1053" s="1578"/>
      <c r="J1053" s="1578"/>
      <c r="K1053" s="1578"/>
      <c r="L1053" s="1578"/>
      <c r="M1053" s="1578"/>
      <c r="N1053" s="1578"/>
      <c r="O1053" s="1578"/>
      <c r="P1053" s="1578"/>
      <c r="Q1053" s="1578"/>
      <c r="R1053" s="1578"/>
      <c r="S1053" s="1578"/>
      <c r="T1053" s="1578"/>
      <c r="U1053" s="1578"/>
      <c r="V1053" s="1578"/>
      <c r="W1053" s="1578"/>
      <c r="X1053" s="1578"/>
      <c r="Y1053" s="1578"/>
      <c r="Z1053" s="1578"/>
      <c r="AA1053" s="1578"/>
      <c r="AB1053" s="1578"/>
      <c r="AC1053" s="1578"/>
      <c r="AD1053" s="1578"/>
      <c r="AE1053" s="1578"/>
      <c r="AF1053" s="1578"/>
      <c r="AG1053" s="1578"/>
      <c r="AH1053" s="1578"/>
      <c r="AI1053" s="1579"/>
      <c r="AJ1053" s="1591">
        <f>SUM(AJ992:AQ1052)</f>
        <v>188034296.31999999</v>
      </c>
      <c r="AK1053" s="1592"/>
      <c r="AL1053" s="1592"/>
      <c r="AM1053" s="1592"/>
      <c r="AN1053" s="1592"/>
      <c r="AO1053" s="1592"/>
      <c r="AP1053" s="1592"/>
      <c r="AQ1053" s="1593"/>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5">
        <f>'Sources and Uses Budget'!S107+'Sources and Uses Budget'!T107</f>
        <v>86256333</v>
      </c>
      <c r="AB1056" s="1845"/>
      <c r="AC1056" s="1845"/>
      <c r="AD1056" s="1845"/>
      <c r="AE1056" s="1845"/>
      <c r="AF1056" s="184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11250949.949999999</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46">
        <f>IFERROR((AA1056-BA1059)/(AJ1053-AJ1045-AJ1049),"")</f>
        <v>0.541738759505489</v>
      </c>
      <c r="AB1057" s="1847"/>
      <c r="AC1057" s="1847"/>
      <c r="AD1057" s="1847"/>
      <c r="AE1057" s="1847"/>
      <c r="AF1057" s="184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4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49"/>
      <c r="I1058" s="1849"/>
      <c r="J1058" s="1849"/>
      <c r="K1058" s="1849"/>
      <c r="L1058" s="1849"/>
      <c r="M1058" s="1849"/>
      <c r="N1058" s="1849"/>
      <c r="O1058" s="1849"/>
      <c r="P1058" s="1849"/>
      <c r="Q1058" s="1849"/>
      <c r="R1058" s="1849"/>
      <c r="S1058" s="1849"/>
      <c r="T1058" s="1849"/>
      <c r="U1058" s="1849"/>
      <c r="V1058" s="1849"/>
      <c r="W1058" s="1849"/>
      <c r="X1058" s="1849"/>
      <c r="Y1058" s="1849"/>
      <c r="Z1058" s="1849"/>
      <c r="AA1058" s="1849"/>
      <c r="AB1058" s="1849"/>
      <c r="AC1058" s="1849"/>
      <c r="AD1058" s="1849"/>
      <c r="AE1058" s="1849"/>
      <c r="AF1058" s="1849"/>
      <c r="AG1058" s="1849"/>
      <c r="AH1058" s="1849"/>
      <c r="AI1058" s="1849"/>
      <c r="AJ1058" s="1849"/>
      <c r="AK1058" s="1849"/>
      <c r="AL1058" s="1849"/>
      <c r="AM1058" s="1849"/>
      <c r="AN1058" s="1849"/>
      <c r="AO1058" s="68"/>
      <c r="AP1058" s="68"/>
      <c r="AQ1058" s="68"/>
      <c r="AR1058" s="68"/>
      <c r="AS1058" s="68"/>
      <c r="AT1058" s="68"/>
      <c r="AU1058" s="68"/>
      <c r="AV1058" s="14"/>
      <c r="AW1058" s="14"/>
      <c r="AX1058" s="14"/>
      <c r="AY1058" s="14"/>
      <c r="BA1058" s="1185">
        <f>'Sources and Uses Budget'!$S$104+'Sources and Uses Budget'!$T$104</f>
        <v>11250000</v>
      </c>
      <c r="BB1058" s="3" t="s">
        <v>2493</v>
      </c>
    </row>
    <row r="1059" spans="1:54" ht="12.95" customHeight="1">
      <c r="A1059" s="14"/>
      <c r="B1059" s="14"/>
      <c r="C1059" s="208"/>
      <c r="D1059" s="858"/>
      <c r="E1059" s="858"/>
      <c r="F1059" s="858"/>
      <c r="G1059" s="1849"/>
      <c r="H1059" s="1849"/>
      <c r="I1059" s="1849"/>
      <c r="J1059" s="1849"/>
      <c r="K1059" s="1849"/>
      <c r="L1059" s="1849"/>
      <c r="M1059" s="1849"/>
      <c r="N1059" s="1849"/>
      <c r="O1059" s="1849"/>
      <c r="P1059" s="1849"/>
      <c r="Q1059" s="1849"/>
      <c r="R1059" s="1849"/>
      <c r="S1059" s="1849"/>
      <c r="T1059" s="1849"/>
      <c r="U1059" s="1849"/>
      <c r="V1059" s="1849"/>
      <c r="W1059" s="1849"/>
      <c r="X1059" s="1849"/>
      <c r="Y1059" s="1849"/>
      <c r="Z1059" s="1849"/>
      <c r="AA1059" s="1849"/>
      <c r="AB1059" s="1849"/>
      <c r="AC1059" s="1849"/>
      <c r="AD1059" s="1849"/>
      <c r="AE1059" s="1849"/>
      <c r="AF1059" s="1849"/>
      <c r="AG1059" s="1849"/>
      <c r="AH1059" s="1849"/>
      <c r="AI1059" s="1849"/>
      <c r="AJ1059" s="1849"/>
      <c r="AK1059" s="1849"/>
      <c r="AL1059" s="1849"/>
      <c r="AM1059" s="1849"/>
      <c r="AN1059" s="1849"/>
      <c r="AO1059" s="68"/>
      <c r="AP1059" s="68"/>
      <c r="AQ1059" s="68"/>
      <c r="AR1059" s="68"/>
      <c r="AS1059" s="68"/>
      <c r="AT1059" s="68"/>
      <c r="AU1059" s="68"/>
      <c r="AV1059" s="14"/>
      <c r="AW1059" s="14"/>
      <c r="AX1059" s="14"/>
      <c r="AY1059" s="14"/>
      <c r="BA1059" s="1186">
        <f>MAX($BA$1058-$BA$1055,0)</f>
        <v>8750000</v>
      </c>
      <c r="BB1059" s="3" t="s">
        <v>2494</v>
      </c>
    </row>
    <row r="1060" spans="1:54" ht="12.95" customHeight="1">
      <c r="A1060" s="88"/>
      <c r="B1060" s="1172"/>
      <c r="C1060" s="1172"/>
      <c r="D1060" s="1172"/>
      <c r="E1060" s="1172"/>
      <c r="F1060" s="1172"/>
      <c r="G1060" s="1849"/>
      <c r="H1060" s="1849"/>
      <c r="I1060" s="1849"/>
      <c r="J1060" s="1849"/>
      <c r="K1060" s="1849"/>
      <c r="L1060" s="1849"/>
      <c r="M1060" s="1849"/>
      <c r="N1060" s="1849"/>
      <c r="O1060" s="1849"/>
      <c r="P1060" s="1849"/>
      <c r="Q1060" s="1849"/>
      <c r="R1060" s="1849"/>
      <c r="S1060" s="1849"/>
      <c r="T1060" s="1849"/>
      <c r="U1060" s="1849"/>
      <c r="V1060" s="1849"/>
      <c r="W1060" s="1849"/>
      <c r="X1060" s="1849"/>
      <c r="Y1060" s="1849"/>
      <c r="Z1060" s="1849"/>
      <c r="AA1060" s="1849"/>
      <c r="AB1060" s="1849"/>
      <c r="AC1060" s="1849"/>
      <c r="AD1060" s="1849"/>
      <c r="AE1060" s="1849"/>
      <c r="AF1060" s="1849"/>
      <c r="AG1060" s="1849"/>
      <c r="AH1060" s="1849"/>
      <c r="AI1060" s="1849"/>
      <c r="AJ1060" s="1849"/>
      <c r="AK1060" s="1849"/>
      <c r="AL1060" s="1849"/>
      <c r="AM1060" s="1849"/>
      <c r="AN1060" s="1849"/>
      <c r="AO1060" s="1172"/>
      <c r="AP1060" s="1172"/>
      <c r="AQ1060" s="68"/>
      <c r="AR1060" s="68"/>
      <c r="AS1060" s="68"/>
      <c r="AT1060" s="68"/>
      <c r="AU1060" s="68"/>
      <c r="AV1060" s="68"/>
      <c r="AW1060" s="68"/>
      <c r="AX1060" s="68"/>
      <c r="AY1060" s="68"/>
    </row>
    <row r="1061" spans="1:54" ht="12.95" customHeight="1">
      <c r="A1061" s="1365" t="s">
        <v>794</v>
      </c>
      <c r="B1061" s="1365"/>
      <c r="C1061" s="1365"/>
      <c r="D1061" s="1365"/>
      <c r="E1061" s="1365"/>
      <c r="F1061" s="1365"/>
      <c r="G1061" s="1365"/>
      <c r="H1061" s="1365"/>
      <c r="I1061" s="1365"/>
      <c r="J1061" s="1365"/>
      <c r="K1061" s="1365"/>
      <c r="L1061" s="1365"/>
      <c r="M1061" s="1365"/>
      <c r="N1061" s="1365"/>
      <c r="O1061" s="1365"/>
      <c r="P1061" s="1365"/>
      <c r="Q1061" s="1365"/>
      <c r="R1061" s="1365"/>
      <c r="S1061" s="1365"/>
      <c r="T1061" s="1365"/>
      <c r="U1061" s="1365"/>
      <c r="V1061" s="1365"/>
      <c r="W1061" s="1365"/>
      <c r="X1061" s="1365"/>
      <c r="Y1061" s="1365"/>
      <c r="Z1061" s="1365"/>
      <c r="AA1061" s="1365"/>
      <c r="AB1061" s="1365"/>
      <c r="AC1061" s="1365"/>
      <c r="AD1061" s="1365"/>
      <c r="AE1061" s="1365"/>
      <c r="AF1061" s="1365"/>
      <c r="AG1061" s="1365"/>
      <c r="AH1061" s="1365"/>
      <c r="AI1061" s="1365"/>
      <c r="AJ1061" s="1365"/>
      <c r="AK1061" s="1365"/>
      <c r="AL1061" s="1365"/>
      <c r="AM1061" s="1365"/>
      <c r="AN1061" s="1365"/>
      <c r="AO1061" s="1365"/>
      <c r="AP1061" s="1365"/>
      <c r="AQ1061" s="136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64" t="s">
        <v>2237</v>
      </c>
      <c r="F1067" s="1364"/>
      <c r="G1067" s="1364"/>
      <c r="H1067" s="1364"/>
      <c r="I1067" s="1364"/>
      <c r="J1067" s="1364"/>
      <c r="K1067" s="1364"/>
      <c r="L1067" s="1364"/>
      <c r="M1067" s="1364"/>
      <c r="N1067" s="1364"/>
      <c r="O1067" s="1364"/>
      <c r="P1067" s="1364"/>
      <c r="Q1067" s="1364"/>
      <c r="R1067" s="1364"/>
      <c r="S1067" s="1364"/>
      <c r="T1067" s="1364"/>
      <c r="U1067" s="1364"/>
      <c r="V1067" s="1364"/>
      <c r="W1067" s="1364"/>
      <c r="X1067" s="1364"/>
      <c r="Y1067" s="1364"/>
      <c r="Z1067" s="1364"/>
      <c r="AA1067" s="1364"/>
      <c r="AB1067" s="1364"/>
      <c r="AC1067" s="1364"/>
      <c r="AD1067" s="1364"/>
      <c r="AE1067" s="1364"/>
      <c r="AF1067" s="1364"/>
      <c r="AG1067" s="1364"/>
      <c r="AH1067" s="1364"/>
      <c r="AI1067" s="1364"/>
      <c r="AJ1067" s="1364"/>
      <c r="AK1067" s="1364"/>
      <c r="AL1067" s="1364"/>
      <c r="AM1067" s="1364"/>
      <c r="AN1067" s="1364"/>
      <c r="AO1067" s="1364"/>
      <c r="AP1067" s="1364"/>
      <c r="AQ1067" s="1364"/>
      <c r="AR1067" s="1364"/>
      <c r="AS1067" s="14"/>
      <c r="AT1067" s="14"/>
      <c r="AV1067" s="68"/>
      <c r="AW1067" s="68"/>
      <c r="AX1067" s="68"/>
      <c r="AY1067" s="68"/>
    </row>
    <row r="1068" spans="1:54" ht="12.95" customHeight="1">
      <c r="A1068" s="198"/>
      <c r="B1068" s="67"/>
      <c r="C1068" s="1333"/>
      <c r="D1068" s="1333"/>
      <c r="E1068" s="1364"/>
      <c r="F1068" s="1364"/>
      <c r="G1068" s="1364"/>
      <c r="H1068" s="1364"/>
      <c r="I1068" s="1364"/>
      <c r="J1068" s="1364"/>
      <c r="K1068" s="1364"/>
      <c r="L1068" s="1364"/>
      <c r="M1068" s="1364"/>
      <c r="N1068" s="1364"/>
      <c r="O1068" s="1364"/>
      <c r="P1068" s="1364"/>
      <c r="Q1068" s="1364"/>
      <c r="R1068" s="1364"/>
      <c r="S1068" s="1364"/>
      <c r="T1068" s="1364"/>
      <c r="U1068" s="1364"/>
      <c r="V1068" s="1364"/>
      <c r="W1068" s="1364"/>
      <c r="X1068" s="1364"/>
      <c r="Y1068" s="1364"/>
      <c r="Z1068" s="1364"/>
      <c r="AA1068" s="1364"/>
      <c r="AB1068" s="1364"/>
      <c r="AC1068" s="1364"/>
      <c r="AD1068" s="1364"/>
      <c r="AE1068" s="1364"/>
      <c r="AF1068" s="1364"/>
      <c r="AG1068" s="1364"/>
      <c r="AH1068" s="1364"/>
      <c r="AI1068" s="1364"/>
      <c r="AJ1068" s="1364"/>
      <c r="AK1068" s="1364"/>
      <c r="AL1068" s="1364"/>
      <c r="AM1068" s="1364"/>
      <c r="AN1068" s="1364"/>
      <c r="AO1068" s="1364"/>
      <c r="AP1068" s="1364"/>
      <c r="AQ1068" s="1364"/>
      <c r="AR1068" s="1364"/>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H298:R298"/>
    <mergeCell ref="AA298:AK298"/>
    <mergeCell ref="AA295:AK295"/>
    <mergeCell ref="AA296:AK296"/>
    <mergeCell ref="AA297:AK297"/>
    <mergeCell ref="H305:R305"/>
    <mergeCell ref="H306:R306"/>
    <mergeCell ref="H304:R304"/>
    <mergeCell ref="H303:R303"/>
    <mergeCell ref="AA311:AK311"/>
    <mergeCell ref="AA312:AK312"/>
    <mergeCell ref="AA314:AK314"/>
    <mergeCell ref="AA313:AK313"/>
    <mergeCell ref="J385:U385"/>
    <mergeCell ref="G571:R571"/>
    <mergeCell ref="G570:R570"/>
    <mergeCell ref="G569:R569"/>
    <mergeCell ref="Z569:AK569"/>
    <mergeCell ref="Z570:AK570"/>
    <mergeCell ref="Z571:AK571"/>
    <mergeCell ref="AH510:AK510"/>
    <mergeCell ref="D472:V472"/>
    <mergeCell ref="W472:Y472"/>
    <mergeCell ref="AE551:AH553"/>
    <mergeCell ref="AI551:AL553"/>
    <mergeCell ref="W557:Y557"/>
    <mergeCell ref="AC526:AF526"/>
    <mergeCell ref="AC455:AF455"/>
    <mergeCell ref="F457:AB458"/>
    <mergeCell ref="D466:V466"/>
    <mergeCell ref="Q491:AK491"/>
    <mergeCell ref="AH495:AK495"/>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DJ794:DN794"/>
    <mergeCell ref="DJ795:DN795"/>
    <mergeCell ref="DJ796:DN796"/>
    <mergeCell ref="DJ797:DN797"/>
    <mergeCell ref="DO787:DS787"/>
    <mergeCell ref="DO788:DS788"/>
    <mergeCell ref="DO789:DS789"/>
    <mergeCell ref="DO790:DS790"/>
    <mergeCell ref="EO795:ES795"/>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O793:DS793"/>
    <mergeCell ref="DO794:DS794"/>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CZ793:DD793"/>
    <mergeCell ref="CZ794:DD794"/>
    <mergeCell ref="CZ795:DD795"/>
    <mergeCell ref="CZ796:DD796"/>
    <mergeCell ref="CZ797:DD797"/>
    <mergeCell ref="DE787:DI787"/>
    <mergeCell ref="DE792:DI792"/>
    <mergeCell ref="DE793:DI793"/>
    <mergeCell ref="DU796:DY796"/>
    <mergeCell ref="DE789:DI789"/>
    <mergeCell ref="DE795:DI795"/>
    <mergeCell ref="DE796:DI796"/>
    <mergeCell ref="DE797:DI797"/>
    <mergeCell ref="DJ787:DN787"/>
    <mergeCell ref="DJ788:DN788"/>
    <mergeCell ref="DJ789:DN789"/>
    <mergeCell ref="DJ790:DN790"/>
    <mergeCell ref="DJ791:DN791"/>
    <mergeCell ref="DJ792:DN792"/>
    <mergeCell ref="DJ793:DN793"/>
    <mergeCell ref="B741:F741"/>
    <mergeCell ref="DJ733:DN733"/>
    <mergeCell ref="X746:AB746"/>
    <mergeCell ref="CK746:CL746"/>
    <mergeCell ref="CM746:CN746"/>
    <mergeCell ref="CG739:CH739"/>
    <mergeCell ref="CG740:CH740"/>
    <mergeCell ref="CK737:CL737"/>
    <mergeCell ref="CI748:CJ748"/>
    <mergeCell ref="CI742:CJ742"/>
    <mergeCell ref="X743:AB743"/>
    <mergeCell ref="X744:AB744"/>
    <mergeCell ref="AH743:AJ743"/>
    <mergeCell ref="AH744:AJ744"/>
    <mergeCell ref="J779:K779"/>
    <mergeCell ref="J787:N787"/>
    <mergeCell ref="B736:F736"/>
    <mergeCell ref="B733:F733"/>
    <mergeCell ref="K751:N751"/>
    <mergeCell ref="O751:S751"/>
    <mergeCell ref="B742:F742"/>
    <mergeCell ref="B743:F743"/>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K742:CL742"/>
    <mergeCell ref="CZ744:DD744"/>
    <mergeCell ref="DE794:DI794"/>
    <mergeCell ref="CP797:CT797"/>
    <mergeCell ref="CP720:CT720"/>
    <mergeCell ref="CU720:CY720"/>
    <mergeCell ref="CU723:CY723"/>
    <mergeCell ref="DE727:DI727"/>
    <mergeCell ref="DJ727:DN727"/>
    <mergeCell ref="DJ726:DN726"/>
    <mergeCell ref="DO791:DS791"/>
    <mergeCell ref="CI752:CJ752"/>
    <mergeCell ref="CI744:CJ744"/>
    <mergeCell ref="CG750:CH750"/>
    <mergeCell ref="DE788:DI788"/>
    <mergeCell ref="CI750:CJ750"/>
    <mergeCell ref="DE790:DI790"/>
    <mergeCell ref="DE791:DI791"/>
    <mergeCell ref="AK743:AO743"/>
    <mergeCell ref="AK744:AO744"/>
    <mergeCell ref="CZ775:DD775"/>
    <mergeCell ref="CZ776:DD776"/>
    <mergeCell ref="CK752:CL752"/>
    <mergeCell ref="CU733:CY733"/>
    <mergeCell ref="CZ740:DD740"/>
    <mergeCell ref="CZ739:DD739"/>
    <mergeCell ref="DE737:DI737"/>
    <mergeCell ref="DE734:DI734"/>
    <mergeCell ref="AK750:AO750"/>
    <mergeCell ref="DJ740:DN740"/>
    <mergeCell ref="DO754:DS754"/>
    <mergeCell ref="AK742:AO742"/>
    <mergeCell ref="CU740:CY740"/>
    <mergeCell ref="CI739:CJ739"/>
    <mergeCell ref="DE753:DI753"/>
    <mergeCell ref="CU751:CY751"/>
    <mergeCell ref="CU776:CY776"/>
    <mergeCell ref="CP750:CT750"/>
    <mergeCell ref="CU750:CY750"/>
    <mergeCell ref="CG734:CH734"/>
    <mergeCell ref="CP739:CT739"/>
    <mergeCell ref="CM738:CN738"/>
    <mergeCell ref="X742:AB742"/>
    <mergeCell ref="AH742:AJ742"/>
    <mergeCell ref="AK739:AO739"/>
    <mergeCell ref="CZ730:DD730"/>
    <mergeCell ref="CG730:CH730"/>
    <mergeCell ref="CG728:CH728"/>
    <mergeCell ref="T724:W724"/>
    <mergeCell ref="CP734:CT734"/>
    <mergeCell ref="CP751:CT751"/>
    <mergeCell ref="CM751:CN751"/>
    <mergeCell ref="CP723:CT723"/>
    <mergeCell ref="CG748:CH748"/>
    <mergeCell ref="CM724:CN724"/>
    <mergeCell ref="CG741:CH741"/>
    <mergeCell ref="CG738:CH738"/>
    <mergeCell ref="CK739:CL739"/>
    <mergeCell ref="DE722:DI722"/>
    <mergeCell ref="AK732:AO732"/>
    <mergeCell ref="CI743:CJ743"/>
    <mergeCell ref="CK743:CL743"/>
    <mergeCell ref="CM743:CN743"/>
    <mergeCell ref="CP740:CT740"/>
    <mergeCell ref="CZ733:DD733"/>
    <mergeCell ref="CP748:CT748"/>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DE748:DI748"/>
    <mergeCell ref="DJ748:DN748"/>
    <mergeCell ref="DO748:DS748"/>
    <mergeCell ref="CU747:CY747"/>
    <mergeCell ref="CZ747:DD747"/>
    <mergeCell ref="DE747:DI747"/>
    <mergeCell ref="CP744:CT744"/>
    <mergeCell ref="DJ744:DN744"/>
    <mergeCell ref="CM742:CN742"/>
    <mergeCell ref="CU745:CY745"/>
    <mergeCell ref="CK748:CL748"/>
    <mergeCell ref="CM748:CN748"/>
    <mergeCell ref="CG749:CH749"/>
    <mergeCell ref="CP746:CT746"/>
    <mergeCell ref="CU746:CY746"/>
    <mergeCell ref="CU744:CY744"/>
    <mergeCell ref="EC660:EG660"/>
    <mergeCell ref="EH660:EL660"/>
    <mergeCell ref="EM660:EQ660"/>
    <mergeCell ref="FY747:GC747"/>
    <mergeCell ref="EZ748:FD748"/>
    <mergeCell ref="FO753:FS753"/>
    <mergeCell ref="ET748:EX748"/>
    <mergeCell ref="ET741:EX741"/>
    <mergeCell ref="DU742:DY742"/>
    <mergeCell ref="DZ742:ED742"/>
    <mergeCell ref="ET742:EX742"/>
    <mergeCell ref="FE742:FI742"/>
    <mergeCell ref="FJ742:FN742"/>
    <mergeCell ref="FO742:FS742"/>
    <mergeCell ref="EE741:EI741"/>
    <mergeCell ref="EJ741:EN741"/>
    <mergeCell ref="EO741:ES741"/>
    <mergeCell ref="FO746:FS746"/>
    <mergeCell ref="DU745:DY745"/>
    <mergeCell ref="DZ745:ED745"/>
    <mergeCell ref="FJ753:FN753"/>
    <mergeCell ref="FJ747:FN747"/>
    <mergeCell ref="EO744:ES744"/>
    <mergeCell ref="ET744:EX744"/>
    <mergeCell ref="FE743:FI743"/>
    <mergeCell ref="FJ741:FN741"/>
    <mergeCell ref="EJ744:EN744"/>
    <mergeCell ref="FO741:FS741"/>
    <mergeCell ref="FY741:GC741"/>
    <mergeCell ref="EZ742:FD742"/>
    <mergeCell ref="ET749:EX749"/>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Z747:FD747"/>
    <mergeCell ref="FE747:FI747"/>
    <mergeCell ref="FO747:FS747"/>
    <mergeCell ref="FT747:FX747"/>
    <mergeCell ref="FY749:GC749"/>
    <mergeCell ref="EW659:FA659"/>
    <mergeCell ref="DX660:EB660"/>
    <mergeCell ref="EE749:EI749"/>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O748:FS748"/>
    <mergeCell ref="EZ745:FD745"/>
    <mergeCell ref="EO747:ES747"/>
    <mergeCell ref="ET747:EX747"/>
    <mergeCell ref="DU748:DY748"/>
    <mergeCell ref="FE748:FI748"/>
    <mergeCell ref="FJ748:FN748"/>
    <mergeCell ref="EW636:FA636"/>
    <mergeCell ref="ER637:EV637"/>
    <mergeCell ref="FT742:FX742"/>
    <mergeCell ref="FY742:GC742"/>
    <mergeCell ref="EZ743:FD743"/>
    <mergeCell ref="FT741:FX741"/>
    <mergeCell ref="DX668:EB668"/>
    <mergeCell ref="EC668:EG668"/>
    <mergeCell ref="ET720:EX720"/>
    <mergeCell ref="EO727:ES727"/>
    <mergeCell ref="EJ733:EN733"/>
    <mergeCell ref="DZ729:ED729"/>
    <mergeCell ref="ET727:EX727"/>
    <mergeCell ref="DZ727:ED727"/>
    <mergeCell ref="EE727:EI727"/>
    <mergeCell ref="EE723:EI723"/>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DZ748:ED748"/>
    <mergeCell ref="EE748:EI748"/>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E746:EI746"/>
    <mergeCell ref="EJ746:EN746"/>
    <mergeCell ref="EO746:ES746"/>
    <mergeCell ref="ET746:EX746"/>
    <mergeCell ref="DU747:DY747"/>
    <mergeCell ref="DZ747:ED747"/>
    <mergeCell ref="FT746:FX746"/>
    <mergeCell ref="FY746:GC746"/>
    <mergeCell ref="FE746:FI746"/>
    <mergeCell ref="FJ746:FN746"/>
    <mergeCell ref="Z554:AD554"/>
    <mergeCell ref="AH531:AK531"/>
    <mergeCell ref="AH540:AK540"/>
    <mergeCell ref="AC515:AF515"/>
    <mergeCell ref="AC514:AF514"/>
    <mergeCell ref="AH538:AK538"/>
    <mergeCell ref="DU741:DY741"/>
    <mergeCell ref="DZ741:ED741"/>
    <mergeCell ref="DJ747:DN747"/>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CP747:CT747"/>
    <mergeCell ref="CI741:CJ741"/>
    <mergeCell ref="CK744:CL744"/>
    <mergeCell ref="CM744:CN744"/>
    <mergeCell ref="CZ741:DD741"/>
    <mergeCell ref="CU741:CY741"/>
    <mergeCell ref="FJ743:FN743"/>
    <mergeCell ref="FO743:FS743"/>
    <mergeCell ref="FT743:FX743"/>
    <mergeCell ref="EJ749:EN749"/>
    <mergeCell ref="EO749:ES749"/>
    <mergeCell ref="EE747:EI747"/>
    <mergeCell ref="EJ747:EN747"/>
    <mergeCell ref="EE742:EI742"/>
    <mergeCell ref="EJ742:EN742"/>
    <mergeCell ref="EO742:ES742"/>
    <mergeCell ref="EJ748:EN748"/>
    <mergeCell ref="EO748:ES748"/>
    <mergeCell ref="X738:AB738"/>
    <mergeCell ref="AK747:AO747"/>
    <mergeCell ref="CZ736:DD736"/>
    <mergeCell ref="CM731:CN731"/>
    <mergeCell ref="AA582:AK582"/>
    <mergeCell ref="H573:R573"/>
    <mergeCell ref="B566:AL566"/>
    <mergeCell ref="AE560:AH560"/>
    <mergeCell ref="N575:O575"/>
    <mergeCell ref="CP745:CT745"/>
    <mergeCell ref="CU742:CY742"/>
    <mergeCell ref="CZ742:DD742"/>
    <mergeCell ref="DE742:DI742"/>
    <mergeCell ref="DJ742:DN742"/>
    <mergeCell ref="DO742:DS742"/>
    <mergeCell ref="CU743:CY743"/>
    <mergeCell ref="CZ743:DD743"/>
    <mergeCell ref="DE743:DI743"/>
    <mergeCell ref="DE746:DI746"/>
    <mergeCell ref="DO747:DS747"/>
    <mergeCell ref="CU748:CY748"/>
    <mergeCell ref="CZ732:DD732"/>
    <mergeCell ref="G721:J721"/>
    <mergeCell ref="DX666:EB666"/>
    <mergeCell ref="EC666:EG666"/>
    <mergeCell ref="Q494:AK494"/>
    <mergeCell ref="Q564:S564"/>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H513:AK513"/>
    <mergeCell ref="AC531:AF531"/>
    <mergeCell ref="AC539:AF539"/>
    <mergeCell ref="L508:AB508"/>
    <mergeCell ref="AC503:AF503"/>
    <mergeCell ref="AC513:AF513"/>
    <mergeCell ref="AH539:AK539"/>
    <mergeCell ref="AH541:AK541"/>
    <mergeCell ref="AC535:AF535"/>
    <mergeCell ref="AI554:AL554"/>
    <mergeCell ref="AC517:AF517"/>
    <mergeCell ref="AC520:AF520"/>
    <mergeCell ref="AC510:AF510"/>
    <mergeCell ref="AC536:AF536"/>
    <mergeCell ref="AH526:AK526"/>
    <mergeCell ref="T556:V556"/>
    <mergeCell ref="AH521:AK521"/>
    <mergeCell ref="AC530:AF530"/>
    <mergeCell ref="Z555:AD555"/>
    <mergeCell ref="O535:AA535"/>
    <mergeCell ref="AH523:AK523"/>
    <mergeCell ref="AE554:AH554"/>
    <mergeCell ref="AH524:AK524"/>
    <mergeCell ref="AH525:AK525"/>
    <mergeCell ref="AC521:AF521"/>
    <mergeCell ref="M561:P561"/>
    <mergeCell ref="Z559:AD559"/>
    <mergeCell ref="AM555:AS555"/>
    <mergeCell ref="AI557:AL557"/>
    <mergeCell ref="AE557:AH557"/>
    <mergeCell ref="N371:Q371"/>
    <mergeCell ref="V382:W382"/>
    <mergeCell ref="S405:AJ405"/>
    <mergeCell ref="AG379:AH379"/>
    <mergeCell ref="S392:U392"/>
    <mergeCell ref="AG390:AJ390"/>
    <mergeCell ref="Q391:U391"/>
    <mergeCell ref="N372:Q372"/>
    <mergeCell ref="AC505:AF505"/>
    <mergeCell ref="AH522:AK522"/>
    <mergeCell ref="M551:P553"/>
    <mergeCell ref="O520:AA520"/>
    <mergeCell ref="AH518:AK518"/>
    <mergeCell ref="AH514:AK514"/>
    <mergeCell ref="B489:P490"/>
    <mergeCell ref="AC506:AF506"/>
    <mergeCell ref="Q489:R490"/>
    <mergeCell ref="AH746:AJ746"/>
    <mergeCell ref="AH747:AJ747"/>
    <mergeCell ref="AH748:AJ748"/>
    <mergeCell ref="Z659:AK659"/>
    <mergeCell ref="AK634:AN634"/>
    <mergeCell ref="AK635:AN635"/>
    <mergeCell ref="Z633:AB633"/>
    <mergeCell ref="AI679:AK679"/>
    <mergeCell ref="Z663:AE663"/>
    <mergeCell ref="Z643:AK643"/>
    <mergeCell ref="J387:U387"/>
    <mergeCell ref="Q551:S553"/>
    <mergeCell ref="T551:V553"/>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W561:Y561"/>
    <mergeCell ref="W562:Y562"/>
    <mergeCell ref="T559:V559"/>
    <mergeCell ref="AM560:AS560"/>
    <mergeCell ref="AM557:AS557"/>
    <mergeCell ref="G660:R660"/>
    <mergeCell ref="Z634:AB634"/>
    <mergeCell ref="Z562:AD562"/>
    <mergeCell ref="T733:W733"/>
    <mergeCell ref="AA648:AK648"/>
    <mergeCell ref="AK637:AN637"/>
    <mergeCell ref="AH724:AJ724"/>
    <mergeCell ref="AC720:AG720"/>
    <mergeCell ref="AK721:AO721"/>
    <mergeCell ref="AG599:AH599"/>
    <mergeCell ref="AK718:AO718"/>
    <mergeCell ref="AI561:AL561"/>
    <mergeCell ref="AE561:AH561"/>
    <mergeCell ref="AA606:AK606"/>
    <mergeCell ref="T561:V561"/>
    <mergeCell ref="W630:Y630"/>
    <mergeCell ref="T634:V634"/>
    <mergeCell ref="AO632:AS632"/>
    <mergeCell ref="T630:V630"/>
    <mergeCell ref="T631:V631"/>
    <mergeCell ref="AC628:AE628"/>
    <mergeCell ref="Z603:AK603"/>
    <mergeCell ref="AC722:AG722"/>
    <mergeCell ref="AK722:AO722"/>
    <mergeCell ref="AC725:AG725"/>
    <mergeCell ref="AC726:AG726"/>
    <mergeCell ref="AI560:AL560"/>
    <mergeCell ref="X718:AB718"/>
    <mergeCell ref="T720:W720"/>
    <mergeCell ref="T562:V562"/>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Z652:AK652"/>
    <mergeCell ref="G714:J717"/>
    <mergeCell ref="G668:R668"/>
    <mergeCell ref="CU726:CY726"/>
    <mergeCell ref="CZ726:DD726"/>
    <mergeCell ref="CK722:CL722"/>
    <mergeCell ref="AG689:AH689"/>
    <mergeCell ref="CK719:CL719"/>
    <mergeCell ref="CI719:CJ719"/>
    <mergeCell ref="M564:P564"/>
    <mergeCell ref="G687:L687"/>
    <mergeCell ref="T722:W722"/>
    <mergeCell ref="AF634:AJ634"/>
    <mergeCell ref="V377:W377"/>
    <mergeCell ref="S377:T377"/>
    <mergeCell ref="D437:AF437"/>
    <mergeCell ref="D442:AF442"/>
    <mergeCell ref="AF430:AG430"/>
    <mergeCell ref="AG437:AJ437"/>
    <mergeCell ref="J388:U388"/>
    <mergeCell ref="AG449:AJ449"/>
    <mergeCell ref="AH533:AK533"/>
    <mergeCell ref="B520:H542"/>
    <mergeCell ref="Q487:AK487"/>
    <mergeCell ref="Q486:AK486"/>
    <mergeCell ref="AH502:AK502"/>
    <mergeCell ref="AC499:AK499"/>
    <mergeCell ref="W468:Y468"/>
    <mergeCell ref="B503:H508"/>
    <mergeCell ref="D450:AF450"/>
    <mergeCell ref="AH500:AK500"/>
    <mergeCell ref="D471:V471"/>
    <mergeCell ref="O532:AA532"/>
    <mergeCell ref="F427:AH428"/>
    <mergeCell ref="Q394:U394"/>
    <mergeCell ref="AD412:AE412"/>
    <mergeCell ref="H414:AE415"/>
    <mergeCell ref="W474:Y474"/>
    <mergeCell ref="AG377:AH377"/>
    <mergeCell ref="E418:G418"/>
    <mergeCell ref="AD411:AE411"/>
    <mergeCell ref="AH503:AK503"/>
    <mergeCell ref="D467:V467"/>
    <mergeCell ref="AG441:AJ441"/>
    <mergeCell ref="AC538:AF538"/>
    <mergeCell ref="N378:P378"/>
    <mergeCell ref="AG443:AJ443"/>
    <mergeCell ref="AG444:AJ444"/>
    <mergeCell ref="AG450:AJ450"/>
    <mergeCell ref="S489:AK490"/>
    <mergeCell ref="O529:AA529"/>
    <mergeCell ref="C627:L627"/>
    <mergeCell ref="P581:R581"/>
    <mergeCell ref="N591:O591"/>
    <mergeCell ref="Q560:S560"/>
    <mergeCell ref="Q565:S565"/>
    <mergeCell ref="Q561:S561"/>
    <mergeCell ref="C562:L562"/>
    <mergeCell ref="C630:L630"/>
    <mergeCell ref="D468:V468"/>
    <mergeCell ref="AC512:AF512"/>
    <mergeCell ref="AC542:AF542"/>
    <mergeCell ref="AG447:AJ447"/>
    <mergeCell ref="AC454:AF454"/>
    <mergeCell ref="AI558:AL558"/>
    <mergeCell ref="M555:P555"/>
    <mergeCell ref="Q557:S557"/>
    <mergeCell ref="Z557:AD557"/>
    <mergeCell ref="M558:P558"/>
    <mergeCell ref="Q559:S559"/>
    <mergeCell ref="M554:P554"/>
    <mergeCell ref="T557:V557"/>
    <mergeCell ref="G577:R577"/>
    <mergeCell ref="AG395:AJ395"/>
    <mergeCell ref="AI392:AJ392"/>
    <mergeCell ref="Q556:S556"/>
    <mergeCell ref="AH527:AK527"/>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AC456:AF456"/>
    <mergeCell ref="Q393:U393"/>
    <mergeCell ref="AG380:AH380"/>
    <mergeCell ref="M355:N355"/>
    <mergeCell ref="D439:AF439"/>
    <mergeCell ref="AI397:AJ397"/>
    <mergeCell ref="AJ356:AK356"/>
    <mergeCell ref="AD377:AE377"/>
    <mergeCell ref="AJ355:AK355"/>
    <mergeCell ref="AG442:AJ442"/>
    <mergeCell ref="AC347:AE347"/>
    <mergeCell ref="P343:AE343"/>
    <mergeCell ref="AA340:AF340"/>
    <mergeCell ref="P344:AE344"/>
    <mergeCell ref="P345:AE345"/>
    <mergeCell ref="R412:S412"/>
    <mergeCell ref="Q429:R429"/>
    <mergeCell ref="D440:AF440"/>
    <mergeCell ref="P339:R339"/>
    <mergeCell ref="AA341:AK341"/>
    <mergeCell ref="H340:M340"/>
    <mergeCell ref="S402:U402"/>
    <mergeCell ref="AA339:AF339"/>
    <mergeCell ref="N370:Q370"/>
    <mergeCell ref="Q389:U389"/>
    <mergeCell ref="AJ357:AK357"/>
    <mergeCell ref="D441:AF441"/>
    <mergeCell ref="AC371:AF371"/>
    <mergeCell ref="J367:K367"/>
    <mergeCell ref="H339:M339"/>
    <mergeCell ref="AC370:AF370"/>
    <mergeCell ref="AE402:AJ402"/>
    <mergeCell ref="AC385:AJ385"/>
    <mergeCell ref="T399:AJ399"/>
    <mergeCell ref="P425:Q425"/>
    <mergeCell ref="I418:K418"/>
    <mergeCell ref="S413:T413"/>
    <mergeCell ref="Y364:Z364"/>
    <mergeCell ref="W418:Y418"/>
    <mergeCell ref="AG439:AJ439"/>
    <mergeCell ref="AE424:AF424"/>
    <mergeCell ref="E368:AH369"/>
    <mergeCell ref="Q365:AG365"/>
    <mergeCell ref="I421:K421"/>
    <mergeCell ref="P418:R418"/>
    <mergeCell ref="H313:R313"/>
    <mergeCell ref="AA335:AK335"/>
    <mergeCell ref="AA338:AK338"/>
    <mergeCell ref="H337:R337"/>
    <mergeCell ref="AC253:AE253"/>
    <mergeCell ref="AH246:AK246"/>
    <mergeCell ref="AA306:AK306"/>
    <mergeCell ref="AA303:AK303"/>
    <mergeCell ref="D270:H270"/>
    <mergeCell ref="X270:AC270"/>
    <mergeCell ref="Z263:AE263"/>
    <mergeCell ref="H311:R311"/>
    <mergeCell ref="H308:M308"/>
    <mergeCell ref="P307:R307"/>
    <mergeCell ref="U255:W255"/>
    <mergeCell ref="P299:R299"/>
    <mergeCell ref="AI339:AK339"/>
    <mergeCell ref="H336:R336"/>
    <mergeCell ref="AF259:AK259"/>
    <mergeCell ref="AC261:AE261"/>
    <mergeCell ref="M262:AE262"/>
    <mergeCell ref="AA299:AF299"/>
    <mergeCell ref="AI299:AK299"/>
    <mergeCell ref="AA300:AF300"/>
    <mergeCell ref="W261:X261"/>
    <mergeCell ref="U263:W263"/>
    <mergeCell ref="M257:T257"/>
    <mergeCell ref="M256:AE256"/>
    <mergeCell ref="H287:R287"/>
    <mergeCell ref="H290:R290"/>
    <mergeCell ref="H288:R288"/>
    <mergeCell ref="H289:R289"/>
    <mergeCell ref="AA288:AK288"/>
    <mergeCell ref="AA287:AK287"/>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D204:M204"/>
    <mergeCell ref="J173:S173"/>
    <mergeCell ref="M248:AE248"/>
    <mergeCell ref="T197:U197"/>
    <mergeCell ref="W253:X253"/>
    <mergeCell ref="M253:T253"/>
    <mergeCell ref="AA292:AF292"/>
    <mergeCell ref="U236:W236"/>
    <mergeCell ref="T189:AE189"/>
    <mergeCell ref="W234:X234"/>
    <mergeCell ref="T212:U212"/>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O155:AH155"/>
    <mergeCell ref="O153:AH153"/>
    <mergeCell ref="O154:AH154"/>
    <mergeCell ref="O156:AH156"/>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P113:S113"/>
    <mergeCell ref="AF243:AK243"/>
    <mergeCell ref="M234:T234"/>
    <mergeCell ref="F150:T150"/>
    <mergeCell ref="AF251:AK251"/>
    <mergeCell ref="M244:AE244"/>
    <mergeCell ref="M247:R247"/>
    <mergeCell ref="O159:T159"/>
    <mergeCell ref="T278:V278"/>
    <mergeCell ref="P291:R291"/>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M238:T238"/>
    <mergeCell ref="AA331:AF331"/>
    <mergeCell ref="P315:R315"/>
    <mergeCell ref="N363:O363"/>
    <mergeCell ref="AA337:AK337"/>
    <mergeCell ref="H327:R327"/>
    <mergeCell ref="AA304:AK304"/>
    <mergeCell ref="AA309:AK309"/>
    <mergeCell ref="AA307:AF307"/>
    <mergeCell ref="AA305:AK305"/>
    <mergeCell ref="AA317:AK317"/>
    <mergeCell ref="AA332:AF332"/>
    <mergeCell ref="AA328:AK328"/>
    <mergeCell ref="AA327:AK327"/>
    <mergeCell ref="H332:M332"/>
    <mergeCell ref="AI315:AK315"/>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H320:R320"/>
    <mergeCell ref="H323:M323"/>
    <mergeCell ref="AA330:AK330"/>
    <mergeCell ref="H324:M324"/>
    <mergeCell ref="AA325:AK325"/>
    <mergeCell ref="H315:M315"/>
    <mergeCell ref="H321:R321"/>
    <mergeCell ref="H322:R322"/>
    <mergeCell ref="L276:S276"/>
    <mergeCell ref="L278:Q278"/>
    <mergeCell ref="AH254:AK254"/>
    <mergeCell ref="M259:AE259"/>
    <mergeCell ref="AA293:AK293"/>
    <mergeCell ref="L280:AD280"/>
    <mergeCell ref="L275:AD275"/>
    <mergeCell ref="V276:W276"/>
    <mergeCell ref="AA301:AK301"/>
    <mergeCell ref="H301:R301"/>
    <mergeCell ref="L277:AD277"/>
    <mergeCell ref="P323:R323"/>
    <mergeCell ref="AA315:AF315"/>
    <mergeCell ref="AA290:AK290"/>
    <mergeCell ref="AA289:AK289"/>
    <mergeCell ref="H297:R297"/>
    <mergeCell ref="H296:R296"/>
    <mergeCell ref="H295:R295"/>
    <mergeCell ref="M263:R263"/>
    <mergeCell ref="M265:T265"/>
    <mergeCell ref="H319:R319"/>
    <mergeCell ref="AA316:AF316"/>
    <mergeCell ref="H293:R293"/>
    <mergeCell ref="M264:AE264"/>
    <mergeCell ref="AB276:AD276"/>
    <mergeCell ref="Y278:AD278"/>
    <mergeCell ref="L274:AJ274"/>
    <mergeCell ref="H291:M291"/>
    <mergeCell ref="H299:M299"/>
    <mergeCell ref="H300:M300"/>
    <mergeCell ref="AA257:AK257"/>
    <mergeCell ref="M260:AE260"/>
    <mergeCell ref="AA265:AK265"/>
    <mergeCell ref="M261:T261"/>
    <mergeCell ref="H312:R312"/>
    <mergeCell ref="AI307:AK307"/>
    <mergeCell ref="P424:Q424"/>
    <mergeCell ref="D473:V473"/>
    <mergeCell ref="AE425:AF425"/>
    <mergeCell ref="R411:S411"/>
    <mergeCell ref="P349:AE349"/>
    <mergeCell ref="AA308:AF308"/>
    <mergeCell ref="M254:AE254"/>
    <mergeCell ref="AH262:AK262"/>
    <mergeCell ref="T267:X267"/>
    <mergeCell ref="AA319:AK319"/>
    <mergeCell ref="AA291:AF291"/>
    <mergeCell ref="AI291:AK291"/>
    <mergeCell ref="AA323:AF323"/>
    <mergeCell ref="D438:AF438"/>
    <mergeCell ref="H314:R314"/>
    <mergeCell ref="H316:M316"/>
    <mergeCell ref="AA322:AK322"/>
    <mergeCell ref="H292:M292"/>
    <mergeCell ref="H309:R309"/>
    <mergeCell ref="M356:N356"/>
    <mergeCell ref="Z432:AA432"/>
    <mergeCell ref="H331:M331"/>
    <mergeCell ref="H341:R341"/>
    <mergeCell ref="H335:R335"/>
    <mergeCell ref="AA333:AK333"/>
    <mergeCell ref="Q492:AK492"/>
    <mergeCell ref="AF418:AH418"/>
    <mergeCell ref="AC528:AF528"/>
    <mergeCell ref="C554:L554"/>
    <mergeCell ref="D446:AF446"/>
    <mergeCell ref="D447:AF447"/>
    <mergeCell ref="W466:Y466"/>
    <mergeCell ref="AG446:AJ446"/>
    <mergeCell ref="W467:Y467"/>
    <mergeCell ref="W470:Y470"/>
    <mergeCell ref="AC516:AF516"/>
    <mergeCell ref="AC504:AF504"/>
    <mergeCell ref="D470:V470"/>
    <mergeCell ref="AH505:AK505"/>
    <mergeCell ref="AC507:AF507"/>
    <mergeCell ref="D448:AF448"/>
    <mergeCell ref="AG445:AJ445"/>
    <mergeCell ref="B551:L553"/>
    <mergeCell ref="G474:V474"/>
    <mergeCell ref="Q488:AK488"/>
    <mergeCell ref="AH535:AK535"/>
    <mergeCell ref="AC532:AF532"/>
    <mergeCell ref="Z551:AD553"/>
    <mergeCell ref="M495:P495"/>
    <mergeCell ref="AC501:AF501"/>
    <mergeCell ref="AG438:AJ438"/>
    <mergeCell ref="B501:H502"/>
    <mergeCell ref="O523:AA523"/>
    <mergeCell ref="D465:V465"/>
    <mergeCell ref="AC509:AF509"/>
    <mergeCell ref="Q485:AK485"/>
    <mergeCell ref="AC525:AF525"/>
    <mergeCell ref="AG394:AJ394"/>
    <mergeCell ref="E420:AJ420"/>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D443:AF443"/>
    <mergeCell ref="P348:Z348"/>
    <mergeCell ref="N373:AF374"/>
    <mergeCell ref="M358:N358"/>
    <mergeCell ref="AH519:AK519"/>
    <mergeCell ref="AH536:AK536"/>
    <mergeCell ref="AG448:AJ448"/>
    <mergeCell ref="AH528:AK528"/>
    <mergeCell ref="W554:Y554"/>
    <mergeCell ref="W555:Y555"/>
    <mergeCell ref="D469:V469"/>
    <mergeCell ref="H598:R598"/>
    <mergeCell ref="AG583:AH583"/>
    <mergeCell ref="G588:R588"/>
    <mergeCell ref="Z580:AK580"/>
    <mergeCell ref="N607:O607"/>
    <mergeCell ref="G593:R593"/>
    <mergeCell ref="G605:L605"/>
    <mergeCell ref="H606:R606"/>
    <mergeCell ref="AI597:AK597"/>
    <mergeCell ref="C565:L565"/>
    <mergeCell ref="W558:Y558"/>
    <mergeCell ref="AE558:AH558"/>
    <mergeCell ref="C557:L557"/>
    <mergeCell ref="T565:V565"/>
    <mergeCell ref="C560:L560"/>
    <mergeCell ref="Z560:AD560"/>
    <mergeCell ref="AI563:AL563"/>
    <mergeCell ref="Z563:AD563"/>
    <mergeCell ref="T560:V560"/>
    <mergeCell ref="Z561:AD561"/>
    <mergeCell ref="G586:R586"/>
    <mergeCell ref="W560:Y560"/>
    <mergeCell ref="P572:R572"/>
    <mergeCell ref="AI605:AK605"/>
    <mergeCell ref="G604:R604"/>
    <mergeCell ref="C559:L559"/>
    <mergeCell ref="N583:O583"/>
    <mergeCell ref="Z578:AK578"/>
    <mergeCell ref="M559:P559"/>
    <mergeCell ref="C564:L564"/>
    <mergeCell ref="Z558:AD55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N673:O673"/>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T796:W796"/>
    <mergeCell ref="AG681:AH681"/>
    <mergeCell ref="AI687:AK687"/>
    <mergeCell ref="AH745:AJ745"/>
    <mergeCell ref="O714:S717"/>
    <mergeCell ref="M828:P828"/>
    <mergeCell ref="O790:S790"/>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F940:T940"/>
    <mergeCell ref="U939:Z939"/>
    <mergeCell ref="U940:Z940"/>
    <mergeCell ref="AA938:AF938"/>
    <mergeCell ref="U923:Z923"/>
    <mergeCell ref="BD902:BE902"/>
    <mergeCell ref="BD900:BE900"/>
    <mergeCell ref="AC893:AH893"/>
    <mergeCell ref="BD899:BE899"/>
    <mergeCell ref="BD901:BE901"/>
    <mergeCell ref="AA931:AF931"/>
    <mergeCell ref="U932:Z932"/>
    <mergeCell ref="AA932:AF932"/>
    <mergeCell ref="F938:T938"/>
    <mergeCell ref="B729:F729"/>
    <mergeCell ref="J704:X704"/>
    <mergeCell ref="K720:N720"/>
    <mergeCell ref="T714:W717"/>
    <mergeCell ref="H664:R664"/>
    <mergeCell ref="AK727:AO727"/>
    <mergeCell ref="X745:AB745"/>
    <mergeCell ref="G662:R662"/>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U944:Z944"/>
    <mergeCell ref="W875:AC875"/>
    <mergeCell ref="T858:V858"/>
    <mergeCell ref="T860:V860"/>
    <mergeCell ref="W867:AC867"/>
    <mergeCell ref="W862:AC862"/>
    <mergeCell ref="M876:V876"/>
    <mergeCell ref="W868:AC868"/>
    <mergeCell ref="W872:AC872"/>
    <mergeCell ref="AC884:AH884"/>
    <mergeCell ref="M875:V875"/>
    <mergeCell ref="W877:AC877"/>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25:S725"/>
    <mergeCell ref="O726:S726"/>
    <mergeCell ref="X722:AB722"/>
    <mergeCell ref="Z685:AK685"/>
    <mergeCell ref="H672:R672"/>
    <mergeCell ref="K714:N717"/>
    <mergeCell ref="G722:J722"/>
    <mergeCell ref="N657:O657"/>
    <mergeCell ref="Z660:AK660"/>
    <mergeCell ref="G663:L663"/>
    <mergeCell ref="T732:W732"/>
    <mergeCell ref="T731:W731"/>
    <mergeCell ref="N649:O649"/>
    <mergeCell ref="AH719:AJ719"/>
    <mergeCell ref="CM739:CN739"/>
    <mergeCell ref="O719:S719"/>
    <mergeCell ref="AO640:AS640"/>
    <mergeCell ref="K734:N734"/>
    <mergeCell ref="AH733:AJ733"/>
    <mergeCell ref="G723:J723"/>
    <mergeCell ref="K724:N724"/>
    <mergeCell ref="CK725:CL725"/>
    <mergeCell ref="CI734:CJ734"/>
    <mergeCell ref="J705:O705"/>
    <mergeCell ref="K725:N725"/>
    <mergeCell ref="X720:AB720"/>
    <mergeCell ref="CM735:CN735"/>
    <mergeCell ref="CM720:CN720"/>
    <mergeCell ref="CI720:CJ720"/>
    <mergeCell ref="CM722:CN722"/>
    <mergeCell ref="CG722:CH722"/>
    <mergeCell ref="AC736:AG736"/>
    <mergeCell ref="CG729:CH729"/>
    <mergeCell ref="CG723:CH723"/>
    <mergeCell ref="CG720:CH720"/>
    <mergeCell ref="CK734:CL734"/>
    <mergeCell ref="CM734:CN734"/>
    <mergeCell ref="CK738:CL738"/>
    <mergeCell ref="CI731:CJ731"/>
    <mergeCell ref="CG735:CH735"/>
    <mergeCell ref="CI737:CJ737"/>
    <mergeCell ref="CZ724:DD724"/>
    <mergeCell ref="CU736:CY736"/>
    <mergeCell ref="CG737:CH737"/>
    <mergeCell ref="CZ729:DD729"/>
    <mergeCell ref="CG733:CH733"/>
    <mergeCell ref="CZ725:DD725"/>
    <mergeCell ref="CK729:CL729"/>
    <mergeCell ref="CU724:CY724"/>
    <mergeCell ref="CU725:CY725"/>
    <mergeCell ref="CI725:CJ725"/>
    <mergeCell ref="CG731:CH731"/>
    <mergeCell ref="CI724:CJ724"/>
    <mergeCell ref="CU728:CY728"/>
    <mergeCell ref="CK732:CL732"/>
    <mergeCell ref="CG727:CH727"/>
    <mergeCell ref="CG724:CH724"/>
    <mergeCell ref="CK733:CL733"/>
    <mergeCell ref="CK726:CL726"/>
    <mergeCell ref="DE732:DI732"/>
    <mergeCell ref="CM732:CN732"/>
    <mergeCell ref="DJ725:DN725"/>
    <mergeCell ref="DE725:DI725"/>
    <mergeCell ref="CU727:CY727"/>
    <mergeCell ref="CK724:CL724"/>
    <mergeCell ref="DE730:DI730"/>
    <mergeCell ref="CM730:CN730"/>
    <mergeCell ref="CK727:CL727"/>
    <mergeCell ref="DE729:DI729"/>
    <mergeCell ref="DE726:DI726"/>
    <mergeCell ref="CZ731:DD731"/>
    <mergeCell ref="CK731:CL731"/>
    <mergeCell ref="CI728:CJ728"/>
    <mergeCell ref="CP725:CT725"/>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P726:CT726"/>
    <mergeCell ref="DE741:DI741"/>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K736:CL736"/>
    <mergeCell ref="CG725:CH725"/>
    <mergeCell ref="CG732:CH732"/>
    <mergeCell ref="CZ723:DD723"/>
    <mergeCell ref="DE731:DI731"/>
    <mergeCell ref="CI723:CJ723"/>
    <mergeCell ref="CP730:CT730"/>
    <mergeCell ref="CU731:CY731"/>
    <mergeCell ref="CI726:CJ726"/>
    <mergeCell ref="CG726:CH726"/>
    <mergeCell ref="CM727:CN727"/>
    <mergeCell ref="G613:L613"/>
    <mergeCell ref="Z610:AK610"/>
    <mergeCell ref="AF628:AJ628"/>
    <mergeCell ref="Z655:AE655"/>
    <mergeCell ref="P655:R655"/>
    <mergeCell ref="C635:L635"/>
    <mergeCell ref="G646:R646"/>
    <mergeCell ref="G644:R644"/>
    <mergeCell ref="G645:R645"/>
    <mergeCell ref="Z644:AK644"/>
    <mergeCell ref="Z645:AK645"/>
    <mergeCell ref="Z646:AK646"/>
    <mergeCell ref="AK630:AN630"/>
    <mergeCell ref="AK631:AN631"/>
    <mergeCell ref="AK632:AN632"/>
    <mergeCell ref="W629:Y629"/>
    <mergeCell ref="M630:P630"/>
    <mergeCell ref="M631:P631"/>
    <mergeCell ref="M637:P637"/>
    <mergeCell ref="M638:P638"/>
    <mergeCell ref="W638:Y638"/>
    <mergeCell ref="Z654:AK654"/>
    <mergeCell ref="P647:R647"/>
    <mergeCell ref="W633:Y633"/>
    <mergeCell ref="Z630:AB630"/>
    <mergeCell ref="Q633:S633"/>
    <mergeCell ref="AC634:AE634"/>
    <mergeCell ref="G654:R654"/>
    <mergeCell ref="G653:R653"/>
    <mergeCell ref="AF632:AJ632"/>
    <mergeCell ref="AC631:AE631"/>
    <mergeCell ref="W637:Y637"/>
    <mergeCell ref="G609:R609"/>
    <mergeCell ref="N615:O615"/>
    <mergeCell ref="M628:P628"/>
    <mergeCell ref="M633:P633"/>
    <mergeCell ref="Z605:AE605"/>
    <mergeCell ref="Z609:AK609"/>
    <mergeCell ref="AC632:AE632"/>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M627:P627"/>
    <mergeCell ref="M629:P629"/>
    <mergeCell ref="W624:Y626"/>
    <mergeCell ref="W628:Y628"/>
    <mergeCell ref="P663:R663"/>
    <mergeCell ref="C629:L629"/>
    <mergeCell ref="T629:V629"/>
    <mergeCell ref="AO631:AS631"/>
    <mergeCell ref="AK624:AN626"/>
    <mergeCell ref="H614:R614"/>
    <mergeCell ref="M560:P560"/>
    <mergeCell ref="Q563:S563"/>
    <mergeCell ref="AI565:AL565"/>
    <mergeCell ref="AE562:AH562"/>
    <mergeCell ref="Q562:S562"/>
    <mergeCell ref="G568:R568"/>
    <mergeCell ref="M574:R574"/>
    <mergeCell ref="W556:Y556"/>
    <mergeCell ref="C561:L561"/>
    <mergeCell ref="D444:AF444"/>
    <mergeCell ref="AH501:AK501"/>
    <mergeCell ref="W551:Y553"/>
    <mergeCell ref="W465:Y465"/>
    <mergeCell ref="W469:Y469"/>
    <mergeCell ref="AH515:AK515"/>
    <mergeCell ref="W473:Y473"/>
    <mergeCell ref="C558:L558"/>
    <mergeCell ref="D449:AF449"/>
    <mergeCell ref="AC527:AF527"/>
    <mergeCell ref="AC541:AF541"/>
    <mergeCell ref="Q554:S554"/>
    <mergeCell ref="AH529:AK529"/>
    <mergeCell ref="AH534:AK534"/>
    <mergeCell ref="AE555:AH555"/>
    <mergeCell ref="Q555:S555"/>
    <mergeCell ref="C555:L555"/>
    <mergeCell ref="C556:L556"/>
    <mergeCell ref="M556:P556"/>
    <mergeCell ref="M562:P562"/>
    <mergeCell ref="M563:P563"/>
    <mergeCell ref="W563:Y563"/>
    <mergeCell ref="W564:Y564"/>
    <mergeCell ref="Q638:S638"/>
    <mergeCell ref="H648:R648"/>
    <mergeCell ref="M634:P634"/>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AI564:AL564"/>
    <mergeCell ref="G589:L589"/>
    <mergeCell ref="H582:R582"/>
    <mergeCell ref="Z579:AK579"/>
    <mergeCell ref="Z595:AK595"/>
    <mergeCell ref="G603:R603"/>
    <mergeCell ref="Z585:AK585"/>
    <mergeCell ref="G579:R579"/>
    <mergeCell ref="G594:R594"/>
    <mergeCell ref="P597:R597"/>
    <mergeCell ref="G597:L597"/>
    <mergeCell ref="G602:R602"/>
    <mergeCell ref="W565:Y565"/>
    <mergeCell ref="Z635:AB635"/>
    <mergeCell ref="Z434:AA434"/>
    <mergeCell ref="H590:R590"/>
    <mergeCell ref="T721:W721"/>
    <mergeCell ref="AE695:AI695"/>
    <mergeCell ref="AO636:AS636"/>
    <mergeCell ref="AH509:AK509"/>
    <mergeCell ref="AM561:AS561"/>
    <mergeCell ref="AM559:AS559"/>
    <mergeCell ref="AE556:AH556"/>
    <mergeCell ref="AE559:AH559"/>
    <mergeCell ref="AI559:AL559"/>
    <mergeCell ref="AM558:AS558"/>
    <mergeCell ref="G684:R684"/>
    <mergeCell ref="G581:L581"/>
    <mergeCell ref="Z604:AK604"/>
    <mergeCell ref="C563:L563"/>
    <mergeCell ref="AE565:AH565"/>
    <mergeCell ref="G587:R587"/>
    <mergeCell ref="AE564:AH564"/>
    <mergeCell ref="T638:V638"/>
    <mergeCell ref="T628:V628"/>
    <mergeCell ref="G578:R578"/>
    <mergeCell ref="Q632:S632"/>
    <mergeCell ref="P605:R605"/>
    <mergeCell ref="C628:L628"/>
    <mergeCell ref="AH720:AJ720"/>
    <mergeCell ref="AH721:AJ721"/>
    <mergeCell ref="M632:P632"/>
    <mergeCell ref="G719:J719"/>
    <mergeCell ref="P589:R589"/>
    <mergeCell ref="Z588:AK588"/>
    <mergeCell ref="W636:Y636"/>
    <mergeCell ref="DO724:DS724"/>
    <mergeCell ref="DJ721:DN721"/>
    <mergeCell ref="DO726:DS726"/>
    <mergeCell ref="AE693:AF693"/>
    <mergeCell ref="X725:AB725"/>
    <mergeCell ref="Z597:AE597"/>
    <mergeCell ref="AF629:AJ629"/>
    <mergeCell ref="AI613:AK613"/>
    <mergeCell ref="AA614:AK614"/>
    <mergeCell ref="AC624:AE626"/>
    <mergeCell ref="Z631:AB631"/>
    <mergeCell ref="AF624:AJ626"/>
    <mergeCell ref="AM566:AS566"/>
    <mergeCell ref="AK627:AN627"/>
    <mergeCell ref="AK628:AN628"/>
    <mergeCell ref="AO628:AS628"/>
    <mergeCell ref="AG607:AH607"/>
    <mergeCell ref="AO624:AS626"/>
    <mergeCell ref="AG591:AH591"/>
    <mergeCell ref="Z632:AB632"/>
    <mergeCell ref="Z661:AK661"/>
    <mergeCell ref="Z594:AK594"/>
    <mergeCell ref="B641:AN641"/>
    <mergeCell ref="G643:R643"/>
    <mergeCell ref="AA573:AK573"/>
    <mergeCell ref="AO641:AS641"/>
    <mergeCell ref="Z651:AK651"/>
    <mergeCell ref="AK638:AN638"/>
    <mergeCell ref="G595:R595"/>
    <mergeCell ref="G596:R596"/>
    <mergeCell ref="Z577:AK577"/>
    <mergeCell ref="AF574:AK574"/>
    <mergeCell ref="CM721:CN721"/>
    <mergeCell ref="W703:AK703"/>
    <mergeCell ref="AF636:AJ636"/>
    <mergeCell ref="AF637:AJ637"/>
    <mergeCell ref="AC636:AE636"/>
    <mergeCell ref="Z647:AE647"/>
    <mergeCell ref="CP717:CT717"/>
    <mergeCell ref="AK720:AO720"/>
    <mergeCell ref="DJ719:DN719"/>
    <mergeCell ref="CU717:CY717"/>
    <mergeCell ref="DO723:DS723"/>
    <mergeCell ref="AI647:AK647"/>
    <mergeCell ref="CZ717:DD717"/>
    <mergeCell ref="CI722:CJ722"/>
    <mergeCell ref="CG721:CH721"/>
    <mergeCell ref="CK720:CL720"/>
    <mergeCell ref="CP722:CT722"/>
    <mergeCell ref="CP718:CT718"/>
    <mergeCell ref="CI718:CJ718"/>
    <mergeCell ref="AA680:AK680"/>
    <mergeCell ref="CP719:CT719"/>
    <mergeCell ref="X719:AB719"/>
    <mergeCell ref="AG657:AH657"/>
    <mergeCell ref="EH652:EL652"/>
    <mergeCell ref="AI655:AK655"/>
    <mergeCell ref="AE698:AI698"/>
    <mergeCell ref="AC714:AG717"/>
    <mergeCell ref="AC637:AE637"/>
    <mergeCell ref="X714:AB717"/>
    <mergeCell ref="AE694:AF694"/>
    <mergeCell ref="A709:AT711"/>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AE699:AI699"/>
    <mergeCell ref="DE720:DI720"/>
    <mergeCell ref="DE724:DI724"/>
    <mergeCell ref="AA672:AK672"/>
    <mergeCell ref="Z684:AK684"/>
    <mergeCell ref="DX652:EB652"/>
    <mergeCell ref="EC652:EG652"/>
    <mergeCell ref="DO722:DS722"/>
    <mergeCell ref="DO718:DS718"/>
    <mergeCell ref="DO719:DS719"/>
    <mergeCell ref="DJ723:DN723"/>
    <mergeCell ref="DJ724:DN724"/>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CU719:CY719"/>
    <mergeCell ref="CG718:CH718"/>
    <mergeCell ref="EE722:EI722"/>
    <mergeCell ref="DZ718:ED718"/>
    <mergeCell ref="EE718:EI718"/>
    <mergeCell ref="EJ718:EN718"/>
    <mergeCell ref="DJ718:DN718"/>
    <mergeCell ref="CZ719:DD719"/>
    <mergeCell ref="EJ725:EN725"/>
    <mergeCell ref="DZ728:ED728"/>
    <mergeCell ref="EE724:EI724"/>
    <mergeCell ref="AK728:AO728"/>
    <mergeCell ref="ET731:EX731"/>
    <mergeCell ref="EJ727:EN727"/>
    <mergeCell ref="EO729:ES729"/>
    <mergeCell ref="EO732:ES732"/>
    <mergeCell ref="ET729:EX729"/>
    <mergeCell ref="DO730:DS730"/>
    <mergeCell ref="DO731:DS731"/>
    <mergeCell ref="DJ728:DN728"/>
    <mergeCell ref="AC719:AG719"/>
    <mergeCell ref="Z653:AK653"/>
    <mergeCell ref="DO729:DS729"/>
    <mergeCell ref="DJ731:DN731"/>
    <mergeCell ref="DJ729:DN729"/>
    <mergeCell ref="DE719:DI719"/>
    <mergeCell ref="CZ720:DD720"/>
    <mergeCell ref="AK729:AO729"/>
    <mergeCell ref="DX665:EB665"/>
    <mergeCell ref="Z686:AK686"/>
    <mergeCell ref="Z675:AK675"/>
    <mergeCell ref="DE717:DI717"/>
    <mergeCell ref="Z676:AK676"/>
    <mergeCell ref="W700:AK700"/>
    <mergeCell ref="Z683:AK683"/>
    <mergeCell ref="AA688:AK688"/>
    <mergeCell ref="AA664:AK664"/>
    <mergeCell ref="CI717:CJ717"/>
    <mergeCell ref="EJ728:EN728"/>
    <mergeCell ref="CZ718:DD718"/>
    <mergeCell ref="AK719:AO719"/>
    <mergeCell ref="DO727:DS727"/>
    <mergeCell ref="DO717:DS717"/>
    <mergeCell ref="CZ721:DD721"/>
    <mergeCell ref="EO723:ES723"/>
    <mergeCell ref="DZ734:ED734"/>
    <mergeCell ref="DU726:DY726"/>
    <mergeCell ref="EO721:ES721"/>
    <mergeCell ref="DU734:DY734"/>
    <mergeCell ref="ET730:EX730"/>
    <mergeCell ref="EO724:ES724"/>
    <mergeCell ref="ET724:EX724"/>
    <mergeCell ref="EO726:ES726"/>
    <mergeCell ref="ET726:EX726"/>
    <mergeCell ref="ET722:EX722"/>
    <mergeCell ref="DG122:DM122"/>
    <mergeCell ref="CU122:CV122"/>
    <mergeCell ref="AH714:AJ717"/>
    <mergeCell ref="AH725:AJ725"/>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O728:ES728"/>
    <mergeCell ref="ET728:EX728"/>
    <mergeCell ref="EO720:ES720"/>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AI671:AK671"/>
    <mergeCell ref="Y827:AB827"/>
    <mergeCell ref="AG827:AJ827"/>
    <mergeCell ref="AG830:AJ830"/>
    <mergeCell ref="AH752:AJ752"/>
    <mergeCell ref="T727:W727"/>
    <mergeCell ref="AC635:AE635"/>
    <mergeCell ref="W635:Y635"/>
    <mergeCell ref="AC721:AG721"/>
    <mergeCell ref="AC828:AF828"/>
    <mergeCell ref="AG829:AJ829"/>
    <mergeCell ref="CM717:CN717"/>
    <mergeCell ref="CM719:CN719"/>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M823:P824"/>
    <mergeCell ref="BI841:BL841"/>
    <mergeCell ref="AC823:AF824"/>
    <mergeCell ref="Z816:AE816"/>
    <mergeCell ref="AC773:AG773"/>
    <mergeCell ref="K737:N737"/>
    <mergeCell ref="CG742:CH742"/>
    <mergeCell ref="CG743:CH743"/>
    <mergeCell ref="AH751:AJ751"/>
    <mergeCell ref="U827:X827"/>
    <mergeCell ref="C827:H827"/>
    <mergeCell ref="I949:T949"/>
    <mergeCell ref="U938:Z938"/>
    <mergeCell ref="M955:S955"/>
    <mergeCell ref="AA944:AF944"/>
    <mergeCell ref="W843:AC843"/>
    <mergeCell ref="Y830:AB830"/>
    <mergeCell ref="U922:Z922"/>
    <mergeCell ref="D1046:AE1047"/>
    <mergeCell ref="M826:P826"/>
    <mergeCell ref="M871:V871"/>
    <mergeCell ref="M878:V878"/>
    <mergeCell ref="Q825:T825"/>
    <mergeCell ref="W870:AC870"/>
    <mergeCell ref="U946:Z946"/>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AC830:AF830"/>
    <mergeCell ref="Y828:AB828"/>
    <mergeCell ref="W871:AC871"/>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AA924:AF924"/>
    <mergeCell ref="C825:H825"/>
    <mergeCell ref="AA935:AF935"/>
    <mergeCell ref="AA918:AF918"/>
    <mergeCell ref="C830:H830"/>
    <mergeCell ref="AA949:AF949"/>
    <mergeCell ref="E885:AB885"/>
    <mergeCell ref="M831:P831"/>
    <mergeCell ref="Q831:T831"/>
    <mergeCell ref="M960:S960"/>
    <mergeCell ref="Z901:AE901"/>
    <mergeCell ref="W878:AC878"/>
    <mergeCell ref="U931:Z931"/>
    <mergeCell ref="F915:T915"/>
    <mergeCell ref="I946:T946"/>
    <mergeCell ref="AA946:AF946"/>
    <mergeCell ref="AA928:AF928"/>
    <mergeCell ref="AA936:AF936"/>
    <mergeCell ref="U943:Z943"/>
    <mergeCell ref="U941:Z941"/>
    <mergeCell ref="AA943:AF943"/>
    <mergeCell ref="AC885:AH885"/>
    <mergeCell ref="W861:AC861"/>
    <mergeCell ref="C895:AB895"/>
    <mergeCell ref="U934:Z934"/>
    <mergeCell ref="P945:T945"/>
    <mergeCell ref="Q832:T832"/>
    <mergeCell ref="U832:X832"/>
    <mergeCell ref="M832:P832"/>
    <mergeCell ref="U920:Z920"/>
    <mergeCell ref="F932:T932"/>
    <mergeCell ref="AA940:AF940"/>
    <mergeCell ref="W853:AC853"/>
    <mergeCell ref="U949:Z949"/>
    <mergeCell ref="F831:L831"/>
    <mergeCell ref="AC886:AH886"/>
    <mergeCell ref="AA939:AF939"/>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C826:H826"/>
    <mergeCell ref="K752:N752"/>
    <mergeCell ref="J774:N774"/>
    <mergeCell ref="O727:S727"/>
    <mergeCell ref="O756:R756"/>
    <mergeCell ref="AG756:AJ756"/>
    <mergeCell ref="A1125:B1125"/>
    <mergeCell ref="G725:J725"/>
    <mergeCell ref="B732:F732"/>
    <mergeCell ref="K747:N747"/>
    <mergeCell ref="AH750:AJ750"/>
    <mergeCell ref="G734:J734"/>
    <mergeCell ref="X740:AB740"/>
    <mergeCell ref="AE702:AF702"/>
    <mergeCell ref="O729:S729"/>
    <mergeCell ref="AI663:AK663"/>
    <mergeCell ref="AK748:AO748"/>
    <mergeCell ref="G659:R659"/>
    <mergeCell ref="G675:R675"/>
    <mergeCell ref="Z667:AK667"/>
    <mergeCell ref="T745:W745"/>
    <mergeCell ref="AH730:AJ730"/>
    <mergeCell ref="AC723:AG723"/>
    <mergeCell ref="AH718:AJ718"/>
    <mergeCell ref="AC718:AG718"/>
    <mergeCell ref="AK714:AO717"/>
    <mergeCell ref="O722:S722"/>
    <mergeCell ref="AE696:AI696"/>
    <mergeCell ref="K718:N718"/>
    <mergeCell ref="G718:J718"/>
    <mergeCell ref="G670:R670"/>
    <mergeCell ref="Z669:AK669"/>
    <mergeCell ref="E707:AK707"/>
    <mergeCell ref="W706:AK706"/>
    <mergeCell ref="AH749:AJ749"/>
    <mergeCell ref="X724:AB724"/>
    <mergeCell ref="T744:W744"/>
    <mergeCell ref="B731:F731"/>
    <mergeCell ref="B730:F730"/>
    <mergeCell ref="G683:R683"/>
    <mergeCell ref="N681:O681"/>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C794:AG794"/>
    <mergeCell ref="AC795:AG795"/>
    <mergeCell ref="Z814:AE814"/>
    <mergeCell ref="Z817:AE817"/>
    <mergeCell ref="P816:Y816"/>
    <mergeCell ref="T742:W742"/>
    <mergeCell ref="O720:S720"/>
    <mergeCell ref="O733:S733"/>
    <mergeCell ref="K719:N719"/>
    <mergeCell ref="K731:N731"/>
    <mergeCell ref="AC638:AE638"/>
    <mergeCell ref="O776:S776"/>
    <mergeCell ref="O769:S772"/>
    <mergeCell ref="B754:AH755"/>
    <mergeCell ref="J792:N792"/>
    <mergeCell ref="Z806:AE806"/>
    <mergeCell ref="X791:AB791"/>
    <mergeCell ref="AC739:AG739"/>
    <mergeCell ref="T636:V636"/>
    <mergeCell ref="T637:V637"/>
    <mergeCell ref="Z679:AE679"/>
    <mergeCell ref="Z670:AK670"/>
    <mergeCell ref="Z687:AE687"/>
    <mergeCell ref="AK738:AO738"/>
    <mergeCell ref="B740:F740"/>
    <mergeCell ref="O739:S739"/>
    <mergeCell ref="O740:S740"/>
    <mergeCell ref="K738:N738"/>
    <mergeCell ref="G647:L647"/>
    <mergeCell ref="C638:L638"/>
    <mergeCell ref="B752:F752"/>
    <mergeCell ref="X774:AB774"/>
    <mergeCell ref="J788:N788"/>
    <mergeCell ref="T773:W773"/>
    <mergeCell ref="G753:J753"/>
    <mergeCell ref="AD759:AF759"/>
    <mergeCell ref="O746:S746"/>
    <mergeCell ref="T746:W746"/>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H736:AJ736"/>
    <mergeCell ref="X721:AB721"/>
    <mergeCell ref="O734:S734"/>
    <mergeCell ref="O750:S750"/>
    <mergeCell ref="K745:N745"/>
    <mergeCell ref="X727:AB727"/>
    <mergeCell ref="G728:J728"/>
    <mergeCell ref="O737:S737"/>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AE962:AK962"/>
    <mergeCell ref="M961:S961"/>
    <mergeCell ref="M969:S969"/>
    <mergeCell ref="AA969:AG969"/>
    <mergeCell ref="M968:S968"/>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EW641:FA641"/>
    <mergeCell ref="EC642:EG642"/>
    <mergeCell ref="EH642:EL642"/>
    <mergeCell ref="EM642:EQ642"/>
    <mergeCell ref="ER642:EV642"/>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M649:EQ649"/>
    <mergeCell ref="EM654:EQ654"/>
    <mergeCell ref="ER646:EV646"/>
    <mergeCell ref="EW646:FA646"/>
    <mergeCell ref="EW653:FA653"/>
    <mergeCell ref="EW666:FA666"/>
    <mergeCell ref="EW654:FA654"/>
    <mergeCell ref="ET737:EX737"/>
    <mergeCell ref="DE733:DI733"/>
    <mergeCell ref="CU735:CY735"/>
    <mergeCell ref="EJ717:EN717"/>
    <mergeCell ref="DJ720:DN720"/>
    <mergeCell ref="DJ717:DN717"/>
    <mergeCell ref="DJ722:DN722"/>
    <mergeCell ref="DE721:DI721"/>
    <mergeCell ref="DE723:DI723"/>
    <mergeCell ref="CU718:CY718"/>
    <mergeCell ref="EE729:EI729"/>
    <mergeCell ref="EO731:ES731"/>
    <mergeCell ref="DZ724:ED724"/>
    <mergeCell ref="ET723:EX723"/>
    <mergeCell ref="EE725:EI725"/>
    <mergeCell ref="EO719:ES719"/>
    <mergeCell ref="ET719:EX719"/>
    <mergeCell ref="EJ722:EN722"/>
    <mergeCell ref="ET736:EX736"/>
    <mergeCell ref="EE735:EI735"/>
    <mergeCell ref="EJ734:EN734"/>
    <mergeCell ref="EE733:EI733"/>
    <mergeCell ref="ET732:EX732"/>
    <mergeCell ref="ET721:EX721"/>
    <mergeCell ref="EE720:EI720"/>
    <mergeCell ref="EW660:FA660"/>
    <mergeCell ref="DX661:EB661"/>
    <mergeCell ref="EJ723:EN723"/>
    <mergeCell ref="EO725:ES725"/>
    <mergeCell ref="EJ724:EN724"/>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M670:EQ670"/>
    <mergeCell ref="AK730:AO730"/>
    <mergeCell ref="AC724:AG724"/>
    <mergeCell ref="AC730:AG730"/>
    <mergeCell ref="EJ753:EN753"/>
    <mergeCell ref="DO740:DS740"/>
    <mergeCell ref="EO740:ES740"/>
    <mergeCell ref="ER669:EV669"/>
    <mergeCell ref="ER668:EV668"/>
    <mergeCell ref="EW668:FA668"/>
    <mergeCell ref="EW664:FA664"/>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T627:V62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CZ751:DD751"/>
    <mergeCell ref="CI751:CJ751"/>
    <mergeCell ref="CP735:CT735"/>
    <mergeCell ref="DJ736:DN736"/>
    <mergeCell ref="DE736:DI736"/>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AO627:AS627"/>
    <mergeCell ref="EO752:ES752"/>
    <mergeCell ref="EJ752:EN752"/>
    <mergeCell ref="ET738:EX738"/>
    <mergeCell ref="DU738:DY738"/>
    <mergeCell ref="CK745:CL745"/>
    <mergeCell ref="CI753:CJ753"/>
    <mergeCell ref="CM753:CN753"/>
    <mergeCell ref="CP753:CT753"/>
    <mergeCell ref="DO732:DS732"/>
    <mergeCell ref="CK751:CL751"/>
    <mergeCell ref="CP775:CT775"/>
    <mergeCell ref="CP776:CT776"/>
    <mergeCell ref="DJ734:DN734"/>
    <mergeCell ref="AO637:AS637"/>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38:EN738"/>
    <mergeCell ref="DE735:DI735"/>
    <mergeCell ref="AH737:AJ737"/>
    <mergeCell ref="AH738:AJ738"/>
    <mergeCell ref="EO738:ES738"/>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DX647:EB647"/>
    <mergeCell ref="ER661:EV661"/>
    <mergeCell ref="ER654:EV654"/>
    <mergeCell ref="EM652:EQ652"/>
    <mergeCell ref="DX650:EB650"/>
    <mergeCell ref="EC650:EG650"/>
    <mergeCell ref="EC655:EG655"/>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EM636:EQ636"/>
    <mergeCell ref="DX637:EB637"/>
    <mergeCell ref="AC633:AE633"/>
    <mergeCell ref="B639:AN639"/>
    <mergeCell ref="B640:AN640"/>
    <mergeCell ref="B719:F719"/>
    <mergeCell ref="V381:W381"/>
    <mergeCell ref="T555:V555"/>
    <mergeCell ref="W559:Y559"/>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X645:EB645"/>
    <mergeCell ref="AM563:AS563"/>
    <mergeCell ref="AM556:AS556"/>
    <mergeCell ref="G671:L671"/>
    <mergeCell ref="AF633:AJ633"/>
    <mergeCell ref="Z611:AK611"/>
    <mergeCell ref="Z629:AB629"/>
    <mergeCell ref="Q630:S630"/>
    <mergeCell ref="M636:P636"/>
    <mergeCell ref="T635:V635"/>
    <mergeCell ref="O738:S738"/>
    <mergeCell ref="T740:W740"/>
    <mergeCell ref="G741:J741"/>
    <mergeCell ref="T739:W739"/>
    <mergeCell ref="K741:N741"/>
    <mergeCell ref="G730:J730"/>
    <mergeCell ref="X730:AB730"/>
    <mergeCell ref="X731:AB731"/>
    <mergeCell ref="AH732:AJ732"/>
    <mergeCell ref="T737:W737"/>
    <mergeCell ref="X739:AB739"/>
    <mergeCell ref="G740:J740"/>
    <mergeCell ref="T735:W735"/>
    <mergeCell ref="T734:W734"/>
    <mergeCell ref="G732:J732"/>
    <mergeCell ref="O736:S736"/>
    <mergeCell ref="O730:S730"/>
    <mergeCell ref="K730:N730"/>
    <mergeCell ref="AH739:AJ739"/>
    <mergeCell ref="AH740:AJ740"/>
    <mergeCell ref="O735:S735"/>
    <mergeCell ref="T738:W738"/>
    <mergeCell ref="T736:W736"/>
    <mergeCell ref="G727:J727"/>
    <mergeCell ref="G731:J731"/>
    <mergeCell ref="EE738:EI738"/>
    <mergeCell ref="AH727:AJ727"/>
    <mergeCell ref="DU729:DY729"/>
    <mergeCell ref="DJ730:DN730"/>
    <mergeCell ref="DU730:DY730"/>
    <mergeCell ref="EE728:EI728"/>
    <mergeCell ref="DO728:DS728"/>
    <mergeCell ref="CZ727:DD727"/>
    <mergeCell ref="DE739:DI739"/>
    <mergeCell ref="DJ737:DN737"/>
    <mergeCell ref="DJ735:DN735"/>
    <mergeCell ref="CZ728:DD728"/>
    <mergeCell ref="CU730:CY730"/>
    <mergeCell ref="CK728:CL728"/>
    <mergeCell ref="AK737:AO737"/>
    <mergeCell ref="X735:AB735"/>
    <mergeCell ref="X736:AB736"/>
    <mergeCell ref="AC727:AG727"/>
    <mergeCell ref="AC728:AG728"/>
    <mergeCell ref="AC732:AG732"/>
    <mergeCell ref="X733:AB733"/>
    <mergeCell ref="AH735:AJ735"/>
    <mergeCell ref="X734:AB734"/>
    <mergeCell ref="X728:AB728"/>
    <mergeCell ref="X729:AB729"/>
    <mergeCell ref="AK731:AO731"/>
    <mergeCell ref="AK733:AO733"/>
    <mergeCell ref="AK734:AO734"/>
    <mergeCell ref="AK735:AO735"/>
    <mergeCell ref="DE738:DI738"/>
    <mergeCell ref="DZ738:ED738"/>
    <mergeCell ref="CP728:CT728"/>
    <mergeCell ref="A69:AT70"/>
    <mergeCell ref="A72:AT73"/>
    <mergeCell ref="A544:AT545"/>
    <mergeCell ref="A480:AT481"/>
    <mergeCell ref="A351:AT352"/>
    <mergeCell ref="I392:N392"/>
    <mergeCell ref="M357:N357"/>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M564:AS564"/>
    <mergeCell ref="AI581:AK581"/>
    <mergeCell ref="Z601:AK601"/>
    <mergeCell ref="AC518:AF518"/>
    <mergeCell ref="AH504:AK504"/>
    <mergeCell ref="AH517:AK517"/>
    <mergeCell ref="W471:Y471"/>
    <mergeCell ref="AM565:AS565"/>
    <mergeCell ref="AE563:AH563"/>
    <mergeCell ref="G601:R601"/>
    <mergeCell ref="W634:Y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Q631:S631"/>
    <mergeCell ref="T632:V632"/>
    <mergeCell ref="T633:V633"/>
    <mergeCell ref="N599:O599"/>
    <mergeCell ref="AA590:AK590"/>
    <mergeCell ref="AI589:AK589"/>
    <mergeCell ref="Z596:AK596"/>
    <mergeCell ref="A1085:B1085"/>
    <mergeCell ref="E1067:AR106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C1087:D1087"/>
    <mergeCell ref="C1088:D1088"/>
    <mergeCell ref="K739:N739"/>
    <mergeCell ref="AC734:AG734"/>
    <mergeCell ref="AC735:AG735"/>
    <mergeCell ref="B714:F717"/>
    <mergeCell ref="G729:J729"/>
    <mergeCell ref="B726:F726"/>
    <mergeCell ref="G655:L655"/>
    <mergeCell ref="H656:R656"/>
    <mergeCell ref="AC733:AG733"/>
    <mergeCell ref="AG649:AH649"/>
    <mergeCell ref="H688:R688"/>
    <mergeCell ref="X732:AB732"/>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8" zoomScale="108" workbookViewId="0">
      <selection activeCell="P101" sqref="P10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8" t="s">
        <v>621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373</v>
      </c>
      <c r="D2" s="138" t="s">
        <v>372</v>
      </c>
      <c r="E2" s="138" t="s">
        <v>24</v>
      </c>
      <c r="F2" s="139" t="str">
        <f>Application!B627&amp;Application!C627</f>
        <v>1)Citi-Tax Exempt Permanent</v>
      </c>
      <c r="G2" s="139" t="str">
        <f>Application!B628&amp;Application!C628</f>
        <v>2)Deferred Developer Fee</v>
      </c>
      <c r="H2" s="139" t="str">
        <f>Application!B629&amp;Application!C629</f>
        <v>3)Cash Flow From Operations</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3500000</v>
      </c>
      <c r="C4" s="147">
        <v>3500000</v>
      </c>
      <c r="D4" s="147"/>
      <c r="E4" s="147"/>
      <c r="F4" s="147">
        <v>3500000</v>
      </c>
      <c r="G4" s="147"/>
      <c r="H4" s="147"/>
      <c r="I4" s="147"/>
      <c r="J4" s="147"/>
      <c r="K4" s="147"/>
      <c r="L4" s="147"/>
      <c r="M4" s="147"/>
      <c r="N4" s="147"/>
      <c r="O4" s="147"/>
      <c r="P4" s="147"/>
      <c r="Q4" s="147"/>
      <c r="R4" s="516">
        <f>SUM(E4:Q4)</f>
        <v>3500000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3500000</v>
      </c>
      <c r="C8" s="146">
        <f t="shared" ref="C8:Q8" si="0">SUM(C4:C7)</f>
        <v>3500000</v>
      </c>
      <c r="D8" s="146">
        <f t="shared" si="0"/>
        <v>0</v>
      </c>
      <c r="E8" s="146">
        <f t="shared" si="0"/>
        <v>0</v>
      </c>
      <c r="F8" s="146">
        <f t="shared" si="0"/>
        <v>3500000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3500000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3500000</v>
      </c>
      <c r="C12" s="146">
        <f t="shared" si="2"/>
        <v>3500000</v>
      </c>
      <c r="D12" s="146">
        <f t="shared" si="2"/>
        <v>0</v>
      </c>
      <c r="E12" s="146">
        <f t="shared" si="2"/>
        <v>0</v>
      </c>
      <c r="F12" s="146">
        <f t="shared" si="2"/>
        <v>3500000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3500000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1563337</v>
      </c>
      <c r="C29" s="147">
        <v>1563337</v>
      </c>
      <c r="D29" s="147"/>
      <c r="E29" s="147"/>
      <c r="F29" s="147">
        <f>C29</f>
        <v>1563337</v>
      </c>
      <c r="G29" s="147"/>
      <c r="H29" s="147"/>
      <c r="I29" s="147"/>
      <c r="J29" s="147"/>
      <c r="K29" s="147"/>
      <c r="L29" s="147"/>
      <c r="M29" s="147"/>
      <c r="N29" s="147"/>
      <c r="O29" s="147"/>
      <c r="P29" s="147"/>
      <c r="Q29" s="147"/>
      <c r="R29" s="516">
        <f t="shared" ref="R29:R37" si="7">SUM(E29:Q29)</f>
        <v>1563337</v>
      </c>
      <c r="S29" s="147">
        <v>1563337</v>
      </c>
      <c r="T29" s="147"/>
      <c r="U29" s="143"/>
    </row>
    <row r="30" spans="1:21" s="144" customFormat="1">
      <c r="A30" s="145" t="s">
        <v>599</v>
      </c>
      <c r="B30" s="146">
        <f t="shared" si="6"/>
        <v>46647344</v>
      </c>
      <c r="C30" s="147">
        <v>46647344</v>
      </c>
      <c r="D30" s="147"/>
      <c r="E30" s="147">
        <v>41336487</v>
      </c>
      <c r="F30" s="147">
        <f>C30-E30</f>
        <v>5310857</v>
      </c>
      <c r="G30" s="147"/>
      <c r="H30" s="147"/>
      <c r="I30" s="147"/>
      <c r="J30" s="147"/>
      <c r="K30" s="147"/>
      <c r="L30" s="147"/>
      <c r="M30" s="147"/>
      <c r="N30" s="147"/>
      <c r="O30" s="147"/>
      <c r="P30" s="147"/>
      <c r="Q30" s="147"/>
      <c r="R30" s="516">
        <f t="shared" si="7"/>
        <v>46647344</v>
      </c>
      <c r="S30" s="147">
        <f>R30</f>
        <v>46647344</v>
      </c>
      <c r="T30" s="147"/>
      <c r="U30" s="143"/>
    </row>
    <row r="31" spans="1:21" s="144" customFormat="1">
      <c r="A31" s="145" t="s">
        <v>600</v>
      </c>
      <c r="B31" s="146">
        <f t="shared" si="6"/>
        <v>634172</v>
      </c>
      <c r="C31" s="147">
        <v>634172</v>
      </c>
      <c r="D31" s="147"/>
      <c r="E31" s="147"/>
      <c r="F31" s="147">
        <f>C31</f>
        <v>634172</v>
      </c>
      <c r="G31" s="147"/>
      <c r="H31" s="147"/>
      <c r="I31" s="147"/>
      <c r="J31" s="147"/>
      <c r="K31" s="147"/>
      <c r="L31" s="147"/>
      <c r="M31" s="147"/>
      <c r="N31" s="147"/>
      <c r="O31" s="147"/>
      <c r="P31" s="147"/>
      <c r="Q31" s="147"/>
      <c r="R31" s="516">
        <f t="shared" si="7"/>
        <v>634172</v>
      </c>
      <c r="S31" s="147">
        <v>634172</v>
      </c>
      <c r="T31" s="147"/>
      <c r="U31" s="143"/>
    </row>
    <row r="32" spans="1:21" s="144" customFormat="1">
      <c r="A32" s="145" t="s">
        <v>137</v>
      </c>
      <c r="B32" s="146">
        <f t="shared" si="6"/>
        <v>1339792</v>
      </c>
      <c r="C32" s="147">
        <v>1339792</v>
      </c>
      <c r="D32" s="147"/>
      <c r="E32" s="147"/>
      <c r="F32" s="147">
        <f>C32</f>
        <v>1339792</v>
      </c>
      <c r="G32" s="147"/>
      <c r="H32" s="147"/>
      <c r="I32" s="147"/>
      <c r="J32" s="147"/>
      <c r="K32" s="147"/>
      <c r="L32" s="147"/>
      <c r="M32" s="147"/>
      <c r="N32" s="147"/>
      <c r="O32" s="147"/>
      <c r="P32" s="147"/>
      <c r="Q32" s="147"/>
      <c r="R32" s="516">
        <f t="shared" si="7"/>
        <v>1339792</v>
      </c>
      <c r="S32" s="147">
        <f>R32</f>
        <v>1339792</v>
      </c>
      <c r="T32" s="147"/>
      <c r="U32" s="143"/>
    </row>
    <row r="33" spans="1:21" s="144" customFormat="1">
      <c r="A33" s="145" t="s">
        <v>138</v>
      </c>
      <c r="B33" s="146">
        <f t="shared" si="6"/>
        <v>1362678</v>
      </c>
      <c r="C33" s="147">
        <v>1362678</v>
      </c>
      <c r="D33" s="147"/>
      <c r="E33" s="147"/>
      <c r="F33" s="147">
        <f>C33</f>
        <v>1362678</v>
      </c>
      <c r="G33" s="147"/>
      <c r="H33" s="147"/>
      <c r="I33" s="147"/>
      <c r="J33" s="147"/>
      <c r="K33" s="147"/>
      <c r="L33" s="147"/>
      <c r="M33" s="147"/>
      <c r="N33" s="147"/>
      <c r="O33" s="147"/>
      <c r="P33" s="147"/>
      <c r="Q33" s="147"/>
      <c r="R33" s="516">
        <f t="shared" si="7"/>
        <v>1362678</v>
      </c>
      <c r="S33" s="147">
        <f>R33</f>
        <v>1362678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393000</v>
      </c>
      <c r="C35" s="147">
        <v>393000</v>
      </c>
      <c r="D35" s="147"/>
      <c r="E35" s="147"/>
      <c r="F35" s="147">
        <v>393000</v>
      </c>
      <c r="G35" s="147"/>
      <c r="H35" s="147"/>
      <c r="I35" s="147"/>
      <c r="J35" s="147"/>
      <c r="K35" s="147"/>
      <c r="L35" s="147"/>
      <c r="M35" s="147"/>
      <c r="N35" s="147"/>
      <c r="O35" s="147"/>
      <c r="P35" s="147"/>
      <c r="Q35" s="147"/>
      <c r="R35" s="516">
        <f t="shared" si="7"/>
        <v>393000</v>
      </c>
      <c r="S35" s="147">
        <v>393000</v>
      </c>
      <c r="T35" s="147"/>
      <c r="U35" s="143"/>
    </row>
    <row r="36" spans="1:21" s="144" customFormat="1">
      <c r="A36" s="283" t="s">
        <v>1640</v>
      </c>
      <c r="B36" s="146">
        <f t="shared" si="6"/>
        <v>1300000</v>
      </c>
      <c r="C36" s="147">
        <v>1300000</v>
      </c>
      <c r="D36" s="147"/>
      <c r="E36" s="147"/>
      <c r="F36" s="147">
        <f>C36</f>
        <v>1300000</v>
      </c>
      <c r="G36" s="147"/>
      <c r="H36" s="147"/>
      <c r="I36" s="147"/>
      <c r="J36" s="147"/>
      <c r="K36" s="147"/>
      <c r="L36" s="147"/>
      <c r="M36" s="147"/>
      <c r="N36" s="147"/>
      <c r="O36" s="147"/>
      <c r="P36" s="147"/>
      <c r="Q36" s="147"/>
      <c r="R36" s="516">
        <f t="shared" si="7"/>
        <v>1300000</v>
      </c>
      <c r="S36" s="147">
        <v>1300000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53240323</v>
      </c>
      <c r="C38" s="146">
        <f>SUM(C29:C37)</f>
        <v>53240323</v>
      </c>
      <c r="D38" s="146">
        <f t="shared" ref="D38:Q38" si="8">SUM(D29:D37)</f>
        <v>0</v>
      </c>
      <c r="E38" s="146">
        <f t="shared" si="8"/>
        <v>41336487</v>
      </c>
      <c r="F38" s="146">
        <f t="shared" si="8"/>
        <v>11903836</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53240323</v>
      </c>
      <c r="S38" s="150">
        <f>SUM(S29:S37)</f>
        <v>53240323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c r="F40" s="147">
        <v>1500000</v>
      </c>
      <c r="G40" s="147"/>
      <c r="H40" s="147"/>
      <c r="I40" s="147"/>
      <c r="J40" s="147"/>
      <c r="K40" s="147"/>
      <c r="L40" s="147"/>
      <c r="M40" s="147"/>
      <c r="N40" s="147"/>
      <c r="O40" s="147"/>
      <c r="P40" s="147"/>
      <c r="Q40" s="147"/>
      <c r="R40" s="516">
        <f>SUM(E40:Q40)</f>
        <v>1500000</v>
      </c>
      <c r="S40" s="147">
        <v>1500000</v>
      </c>
      <c r="T40" s="147"/>
      <c r="U40" s="143"/>
    </row>
    <row r="41" spans="1:21" s="144" customFormat="1">
      <c r="A41" s="145" t="s">
        <v>146</v>
      </c>
      <c r="B41" s="146">
        <f>SUM(C41+D41)</f>
        <v>150000</v>
      </c>
      <c r="C41" s="147">
        <v>150000</v>
      </c>
      <c r="D41" s="147"/>
      <c r="E41" s="147"/>
      <c r="F41" s="147">
        <v>150000</v>
      </c>
      <c r="G41" s="147"/>
      <c r="H41" s="147"/>
      <c r="I41" s="147"/>
      <c r="J41" s="147"/>
      <c r="K41" s="147"/>
      <c r="L41" s="147"/>
      <c r="M41" s="147"/>
      <c r="N41" s="147"/>
      <c r="O41" s="147"/>
      <c r="P41" s="147"/>
      <c r="Q41" s="147"/>
      <c r="R41" s="516">
        <f>SUM(E41:Q41)</f>
        <v>150000</v>
      </c>
      <c r="S41" s="147">
        <v>150000</v>
      </c>
      <c r="T41" s="147"/>
      <c r="U41" s="143"/>
    </row>
    <row r="42" spans="1:21" s="144" customFormat="1">
      <c r="A42" s="149" t="s">
        <v>147</v>
      </c>
      <c r="B42" s="146">
        <f>SUM(C42:D42)</f>
        <v>1650000</v>
      </c>
      <c r="C42" s="146">
        <f>SUM(C39:C41)</f>
        <v>1650000</v>
      </c>
      <c r="D42" s="146">
        <f>SUM(D39:D41)</f>
        <v>0</v>
      </c>
      <c r="E42" s="146">
        <f t="shared" ref="E42:T42" si="9">SUM(E40:E41)</f>
        <v>0</v>
      </c>
      <c r="F42" s="146">
        <f t="shared" si="9"/>
        <v>1650000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1650000</v>
      </c>
      <c r="S42" s="150">
        <f t="shared" si="9"/>
        <v>1650000</v>
      </c>
      <c r="T42" s="150">
        <f t="shared" si="9"/>
        <v>0</v>
      </c>
      <c r="U42" s="143"/>
    </row>
    <row r="43" spans="1:21" s="144" customFormat="1">
      <c r="A43" s="149" t="s">
        <v>148</v>
      </c>
      <c r="B43" s="146">
        <f>SUM(C43:D43)</f>
        <v>1470000</v>
      </c>
      <c r="C43" s="147">
        <v>1470000</v>
      </c>
      <c r="D43" s="147"/>
      <c r="E43" s="147"/>
      <c r="F43" s="147">
        <f>C43</f>
        <v>1470000</v>
      </c>
      <c r="G43" s="147"/>
      <c r="H43" s="147"/>
      <c r="I43" s="147"/>
      <c r="J43" s="147"/>
      <c r="K43" s="147"/>
      <c r="L43" s="147"/>
      <c r="M43" s="147"/>
      <c r="N43" s="147"/>
      <c r="O43" s="147"/>
      <c r="P43" s="147"/>
      <c r="Q43" s="147"/>
      <c r="R43" s="516">
        <f>SUM(E43:Q43)</f>
        <v>1470000</v>
      </c>
      <c r="S43" s="147">
        <f>R43</f>
        <v>1470000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8033500</v>
      </c>
      <c r="C45" s="147">
        <v>8033500</v>
      </c>
      <c r="D45" s="147"/>
      <c r="E45" s="147"/>
      <c r="F45" s="147">
        <f>C45-H45</f>
        <v>8033500</v>
      </c>
      <c r="G45" s="147"/>
      <c r="H45" s="147"/>
      <c r="I45" s="147"/>
      <c r="J45" s="147"/>
      <c r="K45" s="147"/>
      <c r="L45" s="147"/>
      <c r="M45" s="147"/>
      <c r="N45" s="147"/>
      <c r="O45" s="147"/>
      <c r="P45" s="147"/>
      <c r="Q45" s="147"/>
      <c r="R45" s="516">
        <f t="shared" ref="R45:R53" si="11">SUM(E45:Q45)</f>
        <v>8033500</v>
      </c>
      <c r="S45" s="147">
        <v>7012833</v>
      </c>
      <c r="T45" s="147"/>
      <c r="U45" s="143"/>
    </row>
    <row r="46" spans="1:21" s="144" customFormat="1">
      <c r="A46" s="145" t="s">
        <v>151</v>
      </c>
      <c r="B46" s="146">
        <f t="shared" si="10"/>
        <v>710000</v>
      </c>
      <c r="C46" s="147">
        <v>710000</v>
      </c>
      <c r="D46" s="147"/>
      <c r="E46" s="147"/>
      <c r="F46" s="147">
        <v>710000</v>
      </c>
      <c r="G46" s="147"/>
      <c r="H46" s="147"/>
      <c r="I46" s="147"/>
      <c r="J46" s="147"/>
      <c r="K46" s="147"/>
      <c r="L46" s="147"/>
      <c r="M46" s="147"/>
      <c r="N46" s="147"/>
      <c r="O46" s="147"/>
      <c r="P46" s="147"/>
      <c r="Q46" s="147"/>
      <c r="R46" s="516">
        <f t="shared" si="11"/>
        <v>710000</v>
      </c>
      <c r="S46" s="147">
        <v>710000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462000</v>
      </c>
      <c r="C49" s="147">
        <v>462000</v>
      </c>
      <c r="D49" s="147"/>
      <c r="E49" s="147"/>
      <c r="F49" s="147">
        <v>462000</v>
      </c>
      <c r="G49" s="147"/>
      <c r="H49" s="147"/>
      <c r="I49" s="147"/>
      <c r="J49" s="147"/>
      <c r="K49" s="147"/>
      <c r="L49" s="147"/>
      <c r="M49" s="147"/>
      <c r="N49" s="147"/>
      <c r="O49" s="147"/>
      <c r="P49" s="147"/>
      <c r="Q49" s="147"/>
      <c r="R49" s="516">
        <f t="shared" si="11"/>
        <v>462000</v>
      </c>
      <c r="S49" s="147">
        <v>462000</v>
      </c>
      <c r="T49" s="147"/>
      <c r="U49" s="143"/>
    </row>
    <row r="50" spans="1:21" s="144" customFormat="1">
      <c r="A50" s="145" t="s">
        <v>156</v>
      </c>
      <c r="B50" s="146">
        <f t="shared" si="10"/>
        <v>100000</v>
      </c>
      <c r="C50" s="147">
        <v>100000</v>
      </c>
      <c r="D50" s="147"/>
      <c r="E50" s="147"/>
      <c r="F50" s="147">
        <v>100000</v>
      </c>
      <c r="G50" s="147"/>
      <c r="H50" s="147"/>
      <c r="I50" s="147"/>
      <c r="J50" s="147"/>
      <c r="K50" s="147"/>
      <c r="L50" s="147"/>
      <c r="M50" s="147"/>
      <c r="N50" s="147"/>
      <c r="O50" s="147"/>
      <c r="P50" s="147"/>
      <c r="Q50" s="147"/>
      <c r="R50" s="516">
        <f t="shared" si="11"/>
        <v>100000</v>
      </c>
      <c r="S50" s="147">
        <v>100000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1200000</v>
      </c>
      <c r="C52" s="147">
        <v>1200000</v>
      </c>
      <c r="D52" s="147"/>
      <c r="E52" s="147"/>
      <c r="F52" s="147">
        <v>1200000</v>
      </c>
      <c r="G52" s="147"/>
      <c r="H52" s="147"/>
      <c r="I52" s="147"/>
      <c r="J52" s="147"/>
      <c r="K52" s="147"/>
      <c r="L52" s="147"/>
      <c r="M52" s="147"/>
      <c r="N52" s="147"/>
      <c r="O52" s="147"/>
      <c r="P52" s="147"/>
      <c r="Q52" s="147"/>
      <c r="R52" s="516">
        <f t="shared" si="11"/>
        <v>1200000</v>
      </c>
      <c r="S52" s="147">
        <v>1200000</v>
      </c>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10505500</v>
      </c>
      <c r="C54" s="150">
        <f t="shared" ref="C54:T54" si="12">SUM(C45:C53)</f>
        <v>10505500</v>
      </c>
      <c r="D54" s="150">
        <f t="shared" si="12"/>
        <v>0</v>
      </c>
      <c r="E54" s="150">
        <f t="shared" si="12"/>
        <v>0</v>
      </c>
      <c r="F54" s="150">
        <f t="shared" si="12"/>
        <v>10505500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10505500</v>
      </c>
      <c r="S54" s="150">
        <f t="shared" si="12"/>
        <v>9484833</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70000</v>
      </c>
      <c r="C56" s="147">
        <v>70000</v>
      </c>
      <c r="D56" s="147"/>
      <c r="E56" s="147"/>
      <c r="F56" s="147">
        <v>70000</v>
      </c>
      <c r="G56" s="147"/>
      <c r="H56" s="147"/>
      <c r="I56" s="147"/>
      <c r="J56" s="147"/>
      <c r="K56" s="147"/>
      <c r="L56" s="147"/>
      <c r="M56" s="147"/>
      <c r="N56" s="147"/>
      <c r="O56" s="147"/>
      <c r="P56" s="147"/>
      <c r="Q56" s="147"/>
      <c r="R56" s="516">
        <f t="shared" ref="R56:R61" si="14">SUM(E56:Q56)</f>
        <v>70000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300</v>
      </c>
      <c r="B62" s="146">
        <f>SUM(C62:D62)</f>
        <v>70000</v>
      </c>
      <c r="C62" s="146">
        <f t="shared" ref="C62:R62" si="15">SUM(C56:C61)</f>
        <v>70000</v>
      </c>
      <c r="D62" s="146">
        <f t="shared" si="15"/>
        <v>0</v>
      </c>
      <c r="E62" s="146">
        <f t="shared" si="15"/>
        <v>0</v>
      </c>
      <c r="F62" s="146">
        <f t="shared" si="15"/>
        <v>70000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70000</v>
      </c>
      <c r="S62" s="148"/>
      <c r="T62" s="148"/>
      <c r="U62" s="143"/>
    </row>
    <row r="63" spans="1:21" s="144" customFormat="1">
      <c r="A63" s="154" t="s">
        <v>301</v>
      </c>
      <c r="B63" s="146">
        <f t="shared" ref="B63:R63" si="16">SUM(B8+B11+B13+B14+B15+B26+B27+B38+B42+B43+B54+B62)</f>
        <v>70435823</v>
      </c>
      <c r="C63" s="146">
        <f t="shared" si="16"/>
        <v>70435823</v>
      </c>
      <c r="D63" s="146">
        <f t="shared" si="16"/>
        <v>0</v>
      </c>
      <c r="E63" s="146">
        <f t="shared" si="16"/>
        <v>41336487</v>
      </c>
      <c r="F63" s="146">
        <f t="shared" si="16"/>
        <v>29099336</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70435823</v>
      </c>
      <c r="S63" s="146">
        <f>SUM(S10+S13+S14+S15+S26+S27+S38+S42+S43+S54)</f>
        <v>65845156</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135000</v>
      </c>
      <c r="C65" s="147">
        <v>135000</v>
      </c>
      <c r="D65" s="147"/>
      <c r="E65" s="147"/>
      <c r="F65" s="147">
        <v>135000</v>
      </c>
      <c r="G65" s="147"/>
      <c r="H65" s="147"/>
      <c r="I65" s="147"/>
      <c r="J65" s="147"/>
      <c r="K65" s="147"/>
      <c r="L65" s="147"/>
      <c r="M65" s="147"/>
      <c r="N65" s="147"/>
      <c r="O65" s="147"/>
      <c r="P65" s="147"/>
      <c r="Q65" s="147"/>
      <c r="R65" s="516">
        <f>SUM(E65:Q65)</f>
        <v>135000</v>
      </c>
      <c r="S65" s="147">
        <v>135000</v>
      </c>
      <c r="T65" s="147"/>
      <c r="U65" s="143"/>
    </row>
    <row r="66" spans="1:21" s="144" customFormat="1" ht="24" customHeight="1">
      <c r="A66" s="283" t="s">
        <v>1641</v>
      </c>
      <c r="B66" s="146">
        <f>SUM(C66+D66)</f>
        <v>100000</v>
      </c>
      <c r="C66" s="147">
        <v>100000</v>
      </c>
      <c r="D66" s="147"/>
      <c r="E66" s="147"/>
      <c r="F66" s="147">
        <v>100000</v>
      </c>
      <c r="G66" s="147"/>
      <c r="H66" s="147"/>
      <c r="I66" s="147"/>
      <c r="J66" s="147"/>
      <c r="K66" s="147"/>
      <c r="L66" s="147"/>
      <c r="M66" s="147"/>
      <c r="N66" s="147"/>
      <c r="O66" s="147"/>
      <c r="P66" s="147"/>
      <c r="Q66" s="147"/>
      <c r="R66" s="516">
        <f>SUM(E66:Q66)</f>
        <v>100000</v>
      </c>
      <c r="S66" s="147">
        <v>100000</v>
      </c>
      <c r="T66" s="147"/>
      <c r="U66" s="143"/>
    </row>
    <row r="67" spans="1:21" s="144" customFormat="1" ht="24" customHeight="1">
      <c r="A67" s="283" t="s">
        <v>1642</v>
      </c>
      <c r="B67" s="146">
        <f>SUM(C67+D67)</f>
        <v>4250000</v>
      </c>
      <c r="C67" s="147">
        <v>4250000</v>
      </c>
      <c r="D67" s="147"/>
      <c r="E67" s="147"/>
      <c r="F67" s="147">
        <v>4250000</v>
      </c>
      <c r="G67" s="147"/>
      <c r="H67" s="147"/>
      <c r="I67" s="147"/>
      <c r="J67" s="147"/>
      <c r="K67" s="147"/>
      <c r="L67" s="147"/>
      <c r="M67" s="147"/>
      <c r="N67" s="147"/>
      <c r="O67" s="147"/>
      <c r="P67" s="147"/>
      <c r="Q67" s="147"/>
      <c r="R67" s="516">
        <f>SUM(E67:Q67)</f>
        <v>4250000</v>
      </c>
      <c r="S67" s="147">
        <v>4250000</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2730</v>
      </c>
      <c r="B69" s="146">
        <f>SUM(C69+D69)</f>
        <v>120000</v>
      </c>
      <c r="C69" s="147">
        <v>120000</v>
      </c>
      <c r="D69" s="147"/>
      <c r="E69" s="147"/>
      <c r="F69" s="147">
        <v>120000</v>
      </c>
      <c r="G69" s="147"/>
      <c r="H69" s="147"/>
      <c r="I69" s="147"/>
      <c r="J69" s="147"/>
      <c r="K69" s="147"/>
      <c r="L69" s="147"/>
      <c r="M69" s="147"/>
      <c r="N69" s="147"/>
      <c r="O69" s="147"/>
      <c r="P69" s="147"/>
      <c r="Q69" s="147"/>
      <c r="R69" s="516">
        <f>SUM(E69:Q69)</f>
        <v>120000</v>
      </c>
      <c r="S69" s="147">
        <v>120000</v>
      </c>
      <c r="T69" s="147"/>
      <c r="U69" s="143"/>
    </row>
    <row r="70" spans="1:21" s="144" customFormat="1">
      <c r="A70" s="149" t="s">
        <v>1645</v>
      </c>
      <c r="B70" s="146">
        <f>SUM(C70:D70)</f>
        <v>4605000</v>
      </c>
      <c r="C70" s="146">
        <f>SUM(C65:C69)</f>
        <v>4605000</v>
      </c>
      <c r="D70" s="146">
        <f>SUM(D65:D69)</f>
        <v>0</v>
      </c>
      <c r="E70" s="146">
        <f t="shared" ref="E70:T70" si="17">SUM(E65:E69)</f>
        <v>0</v>
      </c>
      <c r="F70" s="146">
        <f t="shared" si="17"/>
        <v>4605000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4605000</v>
      </c>
      <c r="S70" s="150">
        <f t="shared" si="17"/>
        <v>4605000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800000</v>
      </c>
      <c r="C75" s="147">
        <v>800000</v>
      </c>
      <c r="D75" s="147"/>
      <c r="E75" s="147"/>
      <c r="F75" s="147">
        <v>800000</v>
      </c>
      <c r="G75" s="147"/>
      <c r="H75" s="147"/>
      <c r="I75" s="147"/>
      <c r="J75" s="147"/>
      <c r="K75" s="147"/>
      <c r="L75" s="147"/>
      <c r="M75" s="147"/>
      <c r="N75" s="147"/>
      <c r="O75" s="147"/>
      <c r="P75" s="147"/>
      <c r="Q75" s="147"/>
      <c r="R75" s="516">
        <f>SUM(E75:Q75)</f>
        <v>800000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800000</v>
      </c>
      <c r="C77" s="146">
        <f>SUM(C72:C76)</f>
        <v>800000</v>
      </c>
      <c r="D77" s="146">
        <f>SUM(D72:D76)</f>
        <v>0</v>
      </c>
      <c r="E77" s="146">
        <f t="shared" ref="E77:Q77" si="18">SUM(E72:E76)</f>
        <v>0</v>
      </c>
      <c r="F77" s="146">
        <f t="shared" si="18"/>
        <v>800000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800000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3000000</v>
      </c>
      <c r="C79" s="147">
        <v>3000000</v>
      </c>
      <c r="D79" s="147"/>
      <c r="E79" s="147"/>
      <c r="F79" s="147">
        <f>C79-H79</f>
        <v>1587043</v>
      </c>
      <c r="G79" s="147"/>
      <c r="H79" s="147">
        <v>1412957</v>
      </c>
      <c r="I79" s="147"/>
      <c r="J79" s="147"/>
      <c r="K79" s="147"/>
      <c r="L79" s="147"/>
      <c r="M79" s="147"/>
      <c r="N79" s="147"/>
      <c r="O79" s="147"/>
      <c r="P79" s="147"/>
      <c r="Q79" s="147"/>
      <c r="R79" s="516">
        <f>SUM(E79:Q79)</f>
        <v>3000000</v>
      </c>
      <c r="S79" s="147">
        <f>R79</f>
        <v>3000000</v>
      </c>
      <c r="T79" s="147"/>
      <c r="U79" s="143"/>
    </row>
    <row r="80" spans="1:21" s="144" customFormat="1">
      <c r="A80" s="283" t="s">
        <v>58</v>
      </c>
      <c r="B80" s="146">
        <f>SUM(C80:D80)</f>
        <v>613500</v>
      </c>
      <c r="C80" s="147">
        <f>966500-353000</f>
        <v>613500</v>
      </c>
      <c r="D80" s="147"/>
      <c r="E80" s="147"/>
      <c r="F80" s="147">
        <v>613500</v>
      </c>
      <c r="G80" s="147"/>
      <c r="H80" s="147"/>
      <c r="I80" s="147"/>
      <c r="J80" s="147"/>
      <c r="K80" s="147"/>
      <c r="L80" s="147"/>
      <c r="M80" s="147"/>
      <c r="N80" s="147"/>
      <c r="O80" s="147"/>
      <c r="P80" s="147"/>
      <c r="Q80" s="147"/>
      <c r="R80" s="516">
        <f>SUM(E80:Q80)</f>
        <v>613500</v>
      </c>
      <c r="S80" s="147">
        <f>R80</f>
        <v>613500</v>
      </c>
      <c r="T80" s="147"/>
      <c r="U80" s="143"/>
    </row>
    <row r="81" spans="1:21" s="144" customFormat="1">
      <c r="A81" s="149" t="s">
        <v>1209</v>
      </c>
      <c r="B81" s="146">
        <f>SUM(C81:D81)</f>
        <v>3613500</v>
      </c>
      <c r="C81" s="509">
        <f>SUM(C79:C80)</f>
        <v>3613500</v>
      </c>
      <c r="D81" s="509">
        <f t="shared" ref="D81:T81" si="19">SUM(D79:D80)</f>
        <v>0</v>
      </c>
      <c r="E81" s="509">
        <f t="shared" si="19"/>
        <v>0</v>
      </c>
      <c r="F81" s="509">
        <f t="shared" si="19"/>
        <v>2200543</v>
      </c>
      <c r="G81" s="509">
        <f t="shared" si="19"/>
        <v>0</v>
      </c>
      <c r="H81" s="509">
        <f t="shared" si="19"/>
        <v>1412957</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3613500</v>
      </c>
      <c r="S81" s="509">
        <f t="shared" si="19"/>
        <v>3613500</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0</v>
      </c>
      <c r="C83" s="147"/>
      <c r="D83" s="147"/>
      <c r="E83" s="147"/>
      <c r="F83" s="147"/>
      <c r="G83" s="147"/>
      <c r="H83" s="147"/>
      <c r="I83" s="147"/>
      <c r="J83" s="147"/>
      <c r="K83" s="147"/>
      <c r="L83" s="147"/>
      <c r="M83" s="147"/>
      <c r="N83" s="147"/>
      <c r="O83" s="147"/>
      <c r="P83" s="147"/>
      <c r="Q83" s="147"/>
      <c r="R83" s="516">
        <f t="shared" ref="R83:R95" si="21">SUM(E83:Q83)</f>
        <v>0</v>
      </c>
      <c r="S83" s="148"/>
      <c r="T83" s="148"/>
      <c r="U83" s="143"/>
    </row>
    <row r="84" spans="1:21" s="144" customFormat="1">
      <c r="A84" s="145" t="s">
        <v>767</v>
      </c>
      <c r="B84" s="146">
        <f t="shared" si="20"/>
        <v>50000</v>
      </c>
      <c r="C84" s="147">
        <v>50000</v>
      </c>
      <c r="D84" s="147"/>
      <c r="E84" s="147"/>
      <c r="F84" s="147">
        <v>50000</v>
      </c>
      <c r="G84" s="147"/>
      <c r="H84" s="147"/>
      <c r="I84" s="147"/>
      <c r="J84" s="147"/>
      <c r="K84" s="147"/>
      <c r="L84" s="147"/>
      <c r="M84" s="147"/>
      <c r="N84" s="147"/>
      <c r="O84" s="147"/>
      <c r="P84" s="147"/>
      <c r="Q84" s="147"/>
      <c r="R84" s="516">
        <f t="shared" si="21"/>
        <v>50000</v>
      </c>
      <c r="S84" s="147">
        <v>50000</v>
      </c>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477677</v>
      </c>
      <c r="C86" s="147">
        <v>477677</v>
      </c>
      <c r="D86" s="147"/>
      <c r="E86" s="147"/>
      <c r="F86" s="147">
        <f>C86</f>
        <v>477677</v>
      </c>
      <c r="G86" s="147"/>
      <c r="H86" s="147"/>
      <c r="I86" s="147"/>
      <c r="J86" s="147"/>
      <c r="K86" s="147"/>
      <c r="L86" s="147"/>
      <c r="M86" s="147"/>
      <c r="N86" s="147"/>
      <c r="O86" s="147"/>
      <c r="P86" s="147"/>
      <c r="Q86" s="147"/>
      <c r="R86" s="516">
        <f t="shared" si="21"/>
        <v>477677</v>
      </c>
      <c r="S86" s="147">
        <f>R86</f>
        <v>477677</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350000</v>
      </c>
      <c r="C89" s="147">
        <v>350000</v>
      </c>
      <c r="D89" s="147"/>
      <c r="E89" s="147"/>
      <c r="F89" s="147">
        <v>350000</v>
      </c>
      <c r="G89" s="147"/>
      <c r="H89" s="147"/>
      <c r="I89" s="147"/>
      <c r="J89" s="147"/>
      <c r="K89" s="147"/>
      <c r="L89" s="147"/>
      <c r="M89" s="147"/>
      <c r="N89" s="147"/>
      <c r="O89" s="147"/>
      <c r="P89" s="147"/>
      <c r="Q89" s="147"/>
      <c r="R89" s="516">
        <f t="shared" si="21"/>
        <v>350000</v>
      </c>
      <c r="S89" s="147">
        <v>350000</v>
      </c>
      <c r="T89" s="147"/>
      <c r="U89" s="143"/>
    </row>
    <row r="90" spans="1:21" s="144" customFormat="1">
      <c r="A90" s="145" t="s">
        <v>773</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371</v>
      </c>
      <c r="B91" s="146">
        <f t="shared" si="20"/>
        <v>86000</v>
      </c>
      <c r="C91" s="147">
        <v>86000</v>
      </c>
      <c r="D91" s="147"/>
      <c r="E91" s="147"/>
      <c r="F91" s="147">
        <v>86000</v>
      </c>
      <c r="G91" s="147"/>
      <c r="H91" s="147"/>
      <c r="I91" s="147"/>
      <c r="J91" s="147"/>
      <c r="K91" s="147"/>
      <c r="L91" s="147"/>
      <c r="M91" s="147"/>
      <c r="N91" s="147"/>
      <c r="O91" s="147"/>
      <c r="P91" s="147"/>
      <c r="Q91" s="147"/>
      <c r="R91" s="516">
        <f t="shared" si="21"/>
        <v>86000</v>
      </c>
      <c r="S91" s="147">
        <v>50000</v>
      </c>
      <c r="T91" s="147"/>
      <c r="U91" s="143"/>
    </row>
    <row r="92" spans="1:21" s="144" customFormat="1">
      <c r="A92" s="283" t="s">
        <v>1211</v>
      </c>
      <c r="B92" s="146">
        <f t="shared" si="20"/>
        <v>15000</v>
      </c>
      <c r="C92" s="147">
        <v>15000</v>
      </c>
      <c r="D92" s="147"/>
      <c r="E92" s="147"/>
      <c r="F92" s="147">
        <v>15000</v>
      </c>
      <c r="G92" s="147"/>
      <c r="H92" s="147"/>
      <c r="I92" s="147"/>
      <c r="J92" s="147"/>
      <c r="K92" s="147"/>
      <c r="L92" s="147"/>
      <c r="M92" s="147"/>
      <c r="N92" s="147"/>
      <c r="O92" s="147"/>
      <c r="P92" s="147"/>
      <c r="Q92" s="147"/>
      <c r="R92" s="516">
        <f t="shared" si="21"/>
        <v>15000</v>
      </c>
      <c r="S92" s="147">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978677</v>
      </c>
      <c r="C96" s="146">
        <f t="shared" ref="C96:R96" si="22">SUM(C83:C95)</f>
        <v>978677</v>
      </c>
      <c r="D96" s="146">
        <f t="shared" si="22"/>
        <v>0</v>
      </c>
      <c r="E96" s="146">
        <f t="shared" si="22"/>
        <v>0</v>
      </c>
      <c r="F96" s="146">
        <f t="shared" si="22"/>
        <v>978677</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978677</v>
      </c>
      <c r="S96" s="150">
        <f>SUM(S84:S87,S89:S95)</f>
        <v>942677</v>
      </c>
      <c r="T96" s="146">
        <f>SUM(T84:T87,T89:T95)</f>
        <v>0</v>
      </c>
      <c r="U96" s="143"/>
    </row>
    <row r="97" spans="1:21" s="144" customFormat="1">
      <c r="A97" s="149" t="s">
        <v>775</v>
      </c>
      <c r="B97" s="146">
        <f>SUM(C97:D97)</f>
        <v>80433000</v>
      </c>
      <c r="C97" s="146">
        <f t="shared" ref="C97:R97" si="23">SUM(C63+C70+C77+C81+C96)</f>
        <v>80433000</v>
      </c>
      <c r="D97" s="146">
        <f t="shared" si="23"/>
        <v>0</v>
      </c>
      <c r="E97" s="146">
        <f t="shared" si="23"/>
        <v>41336487</v>
      </c>
      <c r="F97" s="146">
        <f t="shared" si="23"/>
        <v>37683556</v>
      </c>
      <c r="G97" s="146">
        <f t="shared" si="23"/>
        <v>0</v>
      </c>
      <c r="H97" s="146">
        <f t="shared" si="23"/>
        <v>1412957</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80433000</v>
      </c>
      <c r="S97" s="146">
        <f>SUM(S63+S70+S81+S96)</f>
        <v>75006333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11250000</v>
      </c>
      <c r="C99" s="979">
        <v>11250000</v>
      </c>
      <c r="D99" s="979"/>
      <c r="E99" s="979">
        <f>C99-G99</f>
        <v>752669</v>
      </c>
      <c r="F99" s="147"/>
      <c r="G99" s="147">
        <v>10497331</v>
      </c>
      <c r="H99" s="147"/>
      <c r="I99" s="147"/>
      <c r="J99" s="147"/>
      <c r="K99" s="147"/>
      <c r="L99" s="147"/>
      <c r="M99" s="147"/>
      <c r="N99" s="147"/>
      <c r="O99" s="147"/>
      <c r="P99" s="147"/>
      <c r="Q99" s="147"/>
      <c r="R99" s="516">
        <f>SUM(E99:Q99)</f>
        <v>11250000</v>
      </c>
      <c r="S99" s="147">
        <v>11250000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11250000</v>
      </c>
      <c r="C104" s="146">
        <f>SUM(C99:C103)</f>
        <v>11250000</v>
      </c>
      <c r="D104" s="146">
        <f t="shared" ref="D104:T104" si="24">SUM(D99:D103)</f>
        <v>0</v>
      </c>
      <c r="E104" s="146">
        <f t="shared" si="24"/>
        <v>752669</v>
      </c>
      <c r="F104" s="146">
        <f t="shared" si="24"/>
        <v>0</v>
      </c>
      <c r="G104" s="146">
        <f t="shared" si="24"/>
        <v>10497331</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11250000</v>
      </c>
      <c r="S104" s="150">
        <f t="shared" si="24"/>
        <v>11250000</v>
      </c>
      <c r="T104" s="150">
        <f t="shared" si="24"/>
        <v>0</v>
      </c>
      <c r="U104" s="143"/>
    </row>
    <row r="105" spans="1:21" s="144" customFormat="1">
      <c r="A105" s="149" t="s">
        <v>780</v>
      </c>
      <c r="B105" s="150">
        <f>SUM(C105:D105)</f>
        <v>91683000</v>
      </c>
      <c r="C105" s="150">
        <f t="shared" ref="C105:R105" si="25">SUM(C97+C104)</f>
        <v>91683000</v>
      </c>
      <c r="D105" s="150">
        <f t="shared" si="25"/>
        <v>0</v>
      </c>
      <c r="E105" s="150">
        <f t="shared" si="25"/>
        <v>42089156</v>
      </c>
      <c r="F105" s="150">
        <f t="shared" si="25"/>
        <v>37683556</v>
      </c>
      <c r="G105" s="150">
        <f t="shared" si="25"/>
        <v>10497331</v>
      </c>
      <c r="H105" s="150">
        <f t="shared" si="25"/>
        <v>1412957</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91683000</v>
      </c>
      <c r="S105" s="150">
        <f>S97+S104</f>
        <v>86256333</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86256333</v>
      </c>
      <c r="T107" s="150">
        <f>T105+T106</f>
        <v>0</v>
      </c>
    </row>
    <row r="108" spans="1:21" s="189" customFormat="1">
      <c r="A108" s="162" t="s">
        <v>879</v>
      </c>
      <c r="B108" s="157"/>
      <c r="C108" s="157"/>
      <c r="D108" s="157"/>
      <c r="E108" s="301">
        <f>Application!AO640</f>
        <v>42089156</v>
      </c>
      <c r="F108" s="301">
        <f>Application!AO627</f>
        <v>37683556</v>
      </c>
      <c r="G108" s="301">
        <f>Application!AO628</f>
        <v>10497331</v>
      </c>
      <c r="H108" s="301">
        <f>Application!AO629</f>
        <v>1412957</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4" t="s">
        <v>990</v>
      </c>
      <c r="E122" s="1864"/>
      <c r="F122" s="186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782"/>
      <c r="F123" s="1782"/>
      <c r="G123" s="1782"/>
      <c r="H123" s="1782"/>
      <c r="I123" s="1782"/>
      <c r="J123" s="1782"/>
      <c r="K123" s="1782"/>
      <c r="L123" s="1782"/>
      <c r="M123" s="1782"/>
      <c r="N123" s="1782"/>
      <c r="O123" s="1782"/>
      <c r="P123" s="1782"/>
      <c r="Q123" s="1782"/>
      <c r="R123" s="1782"/>
      <c r="S123" s="1782"/>
      <c r="T123" s="324"/>
      <c r="U123" s="326"/>
    </row>
    <row r="124" spans="1:21" ht="12.75">
      <c r="A124" s="117" t="s">
        <v>992</v>
      </c>
      <c r="B124" s="333"/>
      <c r="C124" s="117"/>
      <c r="D124" s="1782"/>
      <c r="E124" s="1782"/>
      <c r="F124" s="1782"/>
      <c r="G124" s="1782"/>
      <c r="H124" s="1782"/>
      <c r="I124" s="1782"/>
      <c r="J124" s="1782"/>
      <c r="K124" s="1782"/>
      <c r="L124" s="1782"/>
      <c r="M124" s="1782"/>
      <c r="N124" s="1782"/>
      <c r="O124" s="1782"/>
      <c r="P124" s="1782"/>
      <c r="Q124" s="1782"/>
      <c r="R124" s="1782"/>
      <c r="S124" s="1782"/>
      <c r="T124" s="324"/>
      <c r="U124" s="326"/>
    </row>
    <row r="125" spans="1:21" ht="12.75">
      <c r="A125" s="117" t="s">
        <v>993</v>
      </c>
      <c r="B125" s="333"/>
      <c r="C125" s="117"/>
      <c r="D125" s="1782"/>
      <c r="E125" s="1782"/>
      <c r="F125" s="1782"/>
      <c r="G125" s="1782"/>
      <c r="H125" s="1782"/>
      <c r="I125" s="1782"/>
      <c r="J125" s="1782"/>
      <c r="K125" s="1782"/>
      <c r="L125" s="1782"/>
      <c r="M125" s="1782"/>
      <c r="N125" s="1782"/>
      <c r="O125" s="1782"/>
      <c r="P125" s="1782"/>
      <c r="Q125" s="1782"/>
      <c r="R125" s="1782"/>
      <c r="S125" s="178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299</v>
      </c>
      <c r="B129" s="333"/>
      <c r="C129" s="117"/>
      <c r="D129" s="1863" t="s">
        <v>997</v>
      </c>
      <c r="E129" s="1863"/>
      <c r="F129" s="1863"/>
      <c r="G129" s="1863"/>
      <c r="H129" s="186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753"/>
      <c r="E131" s="1753"/>
      <c r="F131" s="1753"/>
      <c r="G131" s="1753"/>
      <c r="H131" s="1753"/>
      <c r="I131" s="117"/>
      <c r="J131" s="1753"/>
      <c r="K131" s="1753"/>
      <c r="L131" s="1753"/>
      <c r="M131" s="1753"/>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7" workbookViewId="0">
      <selection activeCell="G101" sqref="G10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3500000</v>
      </c>
      <c r="C4" s="362"/>
      <c r="D4" s="362">
        <f>B4</f>
        <v>3500000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3500000</v>
      </c>
      <c r="C8" s="361">
        <f>SUM(C4:C7)</f>
        <v>0</v>
      </c>
      <c r="D8" s="361">
        <f>SUM(D4:D7)</f>
        <v>3500000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3500000</v>
      </c>
      <c r="C12" s="361">
        <f>SUM(C8+C11)</f>
        <v>0</v>
      </c>
      <c r="D12" s="361">
        <f>SUM(D8+D11)</f>
        <v>3500000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1563337</v>
      </c>
      <c r="C29" s="362"/>
      <c r="D29" s="362">
        <f>B29</f>
        <v>1563337</v>
      </c>
      <c r="E29" s="361">
        <f>'Sources and Uses Budget'!S29</f>
        <v>1563337</v>
      </c>
      <c r="F29" s="362"/>
      <c r="G29" s="362">
        <f>E29</f>
        <v>1563337</v>
      </c>
      <c r="H29" s="361">
        <f>'Sources and Uses Budget'!T29</f>
        <v>0</v>
      </c>
      <c r="I29" s="362"/>
      <c r="J29" s="362"/>
      <c r="K29" s="359"/>
    </row>
    <row r="30" spans="1:11" s="360" customFormat="1">
      <c r="A30" s="145" t="s">
        <v>599</v>
      </c>
      <c r="B30" s="361">
        <f>'Sources and Uses Budget'!C30</f>
        <v>46647344</v>
      </c>
      <c r="C30" s="362"/>
      <c r="D30" s="362">
        <f t="shared" ref="D30:D37" si="0">B30</f>
        <v>46647344</v>
      </c>
      <c r="E30" s="361">
        <f>'Sources and Uses Budget'!S30</f>
        <v>46647344</v>
      </c>
      <c r="F30" s="362"/>
      <c r="G30" s="362">
        <f t="shared" ref="G30:G37" si="1">E30</f>
        <v>46647344</v>
      </c>
      <c r="H30" s="361">
        <f>'Sources and Uses Budget'!T30</f>
        <v>0</v>
      </c>
      <c r="I30" s="362"/>
      <c r="J30" s="362"/>
      <c r="K30" s="359"/>
    </row>
    <row r="31" spans="1:11" s="360" customFormat="1">
      <c r="A31" s="145" t="s">
        <v>600</v>
      </c>
      <c r="B31" s="361">
        <f>'Sources and Uses Budget'!C31</f>
        <v>634172</v>
      </c>
      <c r="C31" s="362"/>
      <c r="D31" s="362">
        <f t="shared" si="0"/>
        <v>634172</v>
      </c>
      <c r="E31" s="361">
        <f>'Sources and Uses Budget'!S31</f>
        <v>634172</v>
      </c>
      <c r="F31" s="362"/>
      <c r="G31" s="362">
        <f t="shared" si="1"/>
        <v>634172</v>
      </c>
      <c r="H31" s="361">
        <f>'Sources and Uses Budget'!T31</f>
        <v>0</v>
      </c>
      <c r="I31" s="362"/>
      <c r="J31" s="362"/>
      <c r="K31" s="359"/>
    </row>
    <row r="32" spans="1:11" s="360" customFormat="1">
      <c r="A32" s="145" t="s">
        <v>137</v>
      </c>
      <c r="B32" s="361">
        <f>'Sources and Uses Budget'!C32</f>
        <v>1339792</v>
      </c>
      <c r="C32" s="362"/>
      <c r="D32" s="362">
        <f t="shared" si="0"/>
        <v>1339792</v>
      </c>
      <c r="E32" s="361">
        <f>'Sources and Uses Budget'!S32</f>
        <v>1339792</v>
      </c>
      <c r="F32" s="362"/>
      <c r="G32" s="362">
        <f t="shared" si="1"/>
        <v>1339792</v>
      </c>
      <c r="H32" s="361">
        <f>'Sources and Uses Budget'!T32</f>
        <v>0</v>
      </c>
      <c r="I32" s="362"/>
      <c r="J32" s="362"/>
      <c r="K32" s="359"/>
    </row>
    <row r="33" spans="1:11" s="360" customFormat="1">
      <c r="A33" s="145" t="s">
        <v>138</v>
      </c>
      <c r="B33" s="361">
        <f>'Sources and Uses Budget'!C33</f>
        <v>1362678</v>
      </c>
      <c r="C33" s="362"/>
      <c r="D33" s="362">
        <f t="shared" si="0"/>
        <v>1362678</v>
      </c>
      <c r="E33" s="361">
        <f>'Sources and Uses Budget'!S33</f>
        <v>1362678</v>
      </c>
      <c r="F33" s="362"/>
      <c r="G33" s="362">
        <f t="shared" si="1"/>
        <v>1362678</v>
      </c>
      <c r="H33" s="361">
        <f>'Sources and Uses Budget'!T33</f>
        <v>0</v>
      </c>
      <c r="I33" s="362"/>
      <c r="J33" s="362"/>
      <c r="K33" s="359"/>
    </row>
    <row r="34" spans="1:11" s="360" customFormat="1">
      <c r="A34" s="145" t="s">
        <v>139</v>
      </c>
      <c r="B34" s="361">
        <f>'Sources and Uses Budget'!C34</f>
        <v>0</v>
      </c>
      <c r="C34" s="362"/>
      <c r="D34" s="362">
        <f t="shared" si="0"/>
        <v>0</v>
      </c>
      <c r="E34" s="361">
        <f>'Sources and Uses Budget'!S34</f>
        <v>0</v>
      </c>
      <c r="F34" s="362"/>
      <c r="G34" s="362">
        <f t="shared" si="1"/>
        <v>0</v>
      </c>
      <c r="H34" s="361">
        <f>'Sources and Uses Budget'!T34</f>
        <v>0</v>
      </c>
      <c r="I34" s="362"/>
      <c r="J34" s="362"/>
      <c r="K34" s="359"/>
    </row>
    <row r="35" spans="1:11" s="360" customFormat="1">
      <c r="A35" s="145" t="s">
        <v>140</v>
      </c>
      <c r="B35" s="361">
        <f>'Sources and Uses Budget'!C35</f>
        <v>393000</v>
      </c>
      <c r="C35" s="362"/>
      <c r="D35" s="362">
        <f t="shared" si="0"/>
        <v>393000</v>
      </c>
      <c r="E35" s="361">
        <f>'Sources and Uses Budget'!S35</f>
        <v>393000</v>
      </c>
      <c r="F35" s="362"/>
      <c r="G35" s="362">
        <f t="shared" si="1"/>
        <v>393000</v>
      </c>
      <c r="H35" s="361">
        <f>'Sources and Uses Budget'!T35</f>
        <v>0</v>
      </c>
      <c r="I35" s="362"/>
      <c r="J35" s="362"/>
      <c r="K35" s="359"/>
    </row>
    <row r="36" spans="1:11" s="360" customFormat="1">
      <c r="A36" s="508" t="s">
        <v>1640</v>
      </c>
      <c r="B36" s="361">
        <f>'Sources and Uses Budget'!C36</f>
        <v>1300000</v>
      </c>
      <c r="C36" s="362"/>
      <c r="D36" s="362">
        <f t="shared" si="0"/>
        <v>1300000</v>
      </c>
      <c r="E36" s="361">
        <f>'Sources and Uses Budget'!S36</f>
        <v>1300000</v>
      </c>
      <c r="F36" s="362"/>
      <c r="G36" s="362">
        <f t="shared" si="1"/>
        <v>1300000</v>
      </c>
      <c r="H36" s="361">
        <f>'Sources and Uses Budget'!T36</f>
        <v>0</v>
      </c>
      <c r="I36" s="362"/>
      <c r="J36" s="362"/>
      <c r="K36" s="359"/>
    </row>
    <row r="37" spans="1:11" s="360" customFormat="1">
      <c r="A37" s="364" t="str">
        <f>'Sources and Uses Budget'!$A37</f>
        <v>Other: (Specify)</v>
      </c>
      <c r="B37" s="361">
        <f>'Sources and Uses Budget'!C37</f>
        <v>0</v>
      </c>
      <c r="C37" s="362"/>
      <c r="D37" s="362">
        <f t="shared" si="0"/>
        <v>0</v>
      </c>
      <c r="E37" s="361">
        <f>'Sources and Uses Budget'!S37</f>
        <v>0</v>
      </c>
      <c r="F37" s="362"/>
      <c r="G37" s="362">
        <f t="shared" si="1"/>
        <v>0</v>
      </c>
      <c r="H37" s="361">
        <f>'Sources and Uses Budget'!T37</f>
        <v>0</v>
      </c>
      <c r="I37" s="362"/>
      <c r="J37" s="362"/>
      <c r="K37" s="359"/>
    </row>
    <row r="38" spans="1:11" s="360" customFormat="1">
      <c r="A38" s="365" t="s">
        <v>143</v>
      </c>
      <c r="B38" s="361">
        <f>'Sources and Uses Budget'!C38</f>
        <v>53240323</v>
      </c>
      <c r="C38" s="361">
        <f>SUM(C29:C37)</f>
        <v>0</v>
      </c>
      <c r="D38" s="361">
        <f>SUM(D29:D37)</f>
        <v>53240323</v>
      </c>
      <c r="E38" s="361">
        <f>'Sources and Uses Budget'!S38</f>
        <v>53240323</v>
      </c>
      <c r="F38" s="367">
        <f>SUM(F29:F37)</f>
        <v>0</v>
      </c>
      <c r="G38" s="367">
        <f>SUM(G29:G37)</f>
        <v>53240323</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c r="D40" s="362">
        <f>B40</f>
        <v>1500000</v>
      </c>
      <c r="E40" s="361">
        <f>'Sources and Uses Budget'!S40</f>
        <v>1500000</v>
      </c>
      <c r="F40" s="362"/>
      <c r="G40" s="362">
        <f t="shared" ref="G40:G41" si="2">E40</f>
        <v>1500000</v>
      </c>
      <c r="H40" s="361">
        <f>'Sources and Uses Budget'!T40</f>
        <v>0</v>
      </c>
      <c r="I40" s="362"/>
      <c r="J40" s="362"/>
      <c r="K40" s="359"/>
    </row>
    <row r="41" spans="1:11" s="360" customFormat="1">
      <c r="A41" s="364" t="s">
        <v>146</v>
      </c>
      <c r="B41" s="361">
        <f>'Sources and Uses Budget'!C41</f>
        <v>150000</v>
      </c>
      <c r="C41" s="362"/>
      <c r="D41" s="362">
        <f>B41</f>
        <v>150000</v>
      </c>
      <c r="E41" s="361">
        <f>'Sources and Uses Budget'!S41</f>
        <v>150000</v>
      </c>
      <c r="F41" s="362"/>
      <c r="G41" s="362">
        <f t="shared" si="2"/>
        <v>150000</v>
      </c>
      <c r="H41" s="361">
        <f>'Sources and Uses Budget'!T41</f>
        <v>0</v>
      </c>
      <c r="I41" s="362"/>
      <c r="J41" s="362"/>
      <c r="K41" s="359"/>
    </row>
    <row r="42" spans="1:11" s="360" customFormat="1">
      <c r="A42" s="365" t="s">
        <v>147</v>
      </c>
      <c r="B42" s="361">
        <f>'Sources and Uses Budget'!C42</f>
        <v>1650000</v>
      </c>
      <c r="C42" s="361">
        <f>SUM(C39:C41)</f>
        <v>0</v>
      </c>
      <c r="D42" s="361">
        <f>SUM(D39:D41)</f>
        <v>1650000</v>
      </c>
      <c r="E42" s="361">
        <f>'Sources and Uses Budget'!S42</f>
        <v>1650000</v>
      </c>
      <c r="F42" s="367">
        <f>SUM(F40:F41)</f>
        <v>0</v>
      </c>
      <c r="G42" s="367">
        <f>SUM(G40:G41)</f>
        <v>1650000</v>
      </c>
      <c r="H42" s="361">
        <f>'Sources and Uses Budget'!T42</f>
        <v>0</v>
      </c>
      <c r="I42" s="367">
        <f>SUM(I40:I41)</f>
        <v>0</v>
      </c>
      <c r="J42" s="367">
        <f>SUM(J40:J41)</f>
        <v>0</v>
      </c>
      <c r="K42" s="359"/>
    </row>
    <row r="43" spans="1:11" s="360" customFormat="1">
      <c r="A43" s="365" t="s">
        <v>148</v>
      </c>
      <c r="B43" s="361">
        <f>'Sources and Uses Budget'!C43</f>
        <v>1470000</v>
      </c>
      <c r="C43" s="362"/>
      <c r="D43" s="362">
        <f>B43</f>
        <v>1470000</v>
      </c>
      <c r="E43" s="361">
        <f>'Sources and Uses Budget'!S43</f>
        <v>1470000</v>
      </c>
      <c r="F43" s="362"/>
      <c r="G43" s="362">
        <f t="shared" ref="G43" si="3">E43</f>
        <v>1470000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8033500</v>
      </c>
      <c r="C45" s="362"/>
      <c r="D45" s="362">
        <f>B45</f>
        <v>8033500</v>
      </c>
      <c r="E45" s="361">
        <f>'Sources and Uses Budget'!S45</f>
        <v>7012833</v>
      </c>
      <c r="F45" s="362"/>
      <c r="G45" s="362">
        <f>E45</f>
        <v>7012833</v>
      </c>
      <c r="H45" s="361">
        <f>'Sources and Uses Budget'!T45</f>
        <v>0</v>
      </c>
      <c r="I45" s="362"/>
      <c r="J45" s="362"/>
      <c r="K45" s="359"/>
    </row>
    <row r="46" spans="1:11" s="360" customFormat="1">
      <c r="A46" s="364" t="s">
        <v>151</v>
      </c>
      <c r="B46" s="361">
        <f>'Sources and Uses Budget'!C46</f>
        <v>710000</v>
      </c>
      <c r="C46" s="362"/>
      <c r="D46" s="362">
        <f t="shared" ref="D46:D53" si="4">B46</f>
        <v>710000</v>
      </c>
      <c r="E46" s="361">
        <f>'Sources and Uses Budget'!S46</f>
        <v>710000</v>
      </c>
      <c r="F46" s="362"/>
      <c r="G46" s="362">
        <f t="shared" ref="G46:G53" si="5">E46</f>
        <v>710000</v>
      </c>
      <c r="H46" s="361">
        <f>'Sources and Uses Budget'!T46</f>
        <v>0</v>
      </c>
      <c r="I46" s="362"/>
      <c r="J46" s="362"/>
      <c r="K46" s="359"/>
    </row>
    <row r="47" spans="1:11" s="360" customFormat="1" ht="12" customHeight="1">
      <c r="A47" s="364" t="s">
        <v>152</v>
      </c>
      <c r="B47" s="361">
        <f>'Sources and Uses Budget'!C47</f>
        <v>0</v>
      </c>
      <c r="C47" s="362"/>
      <c r="D47" s="362">
        <f t="shared" si="4"/>
        <v>0</v>
      </c>
      <c r="E47" s="361">
        <f>'Sources and Uses Budget'!S47</f>
        <v>0</v>
      </c>
      <c r="F47" s="362"/>
      <c r="G47" s="362">
        <f t="shared" si="5"/>
        <v>0</v>
      </c>
      <c r="H47" s="361">
        <f>'Sources and Uses Budget'!T47</f>
        <v>0</v>
      </c>
      <c r="I47" s="362"/>
      <c r="J47" s="362"/>
      <c r="K47" s="359"/>
    </row>
    <row r="48" spans="1:11" s="360" customFormat="1">
      <c r="A48" s="364" t="s">
        <v>153</v>
      </c>
      <c r="B48" s="361">
        <f>'Sources and Uses Budget'!C48</f>
        <v>0</v>
      </c>
      <c r="C48" s="362"/>
      <c r="D48" s="362">
        <f t="shared" si="4"/>
        <v>0</v>
      </c>
      <c r="E48" s="361">
        <f>'Sources and Uses Budget'!S48</f>
        <v>0</v>
      </c>
      <c r="F48" s="362"/>
      <c r="G48" s="362">
        <f t="shared" si="5"/>
        <v>0</v>
      </c>
      <c r="H48" s="361">
        <f>'Sources and Uses Budget'!T48</f>
        <v>0</v>
      </c>
      <c r="I48" s="362"/>
      <c r="J48" s="362"/>
      <c r="K48" s="359"/>
    </row>
    <row r="49" spans="1:11" s="360" customFormat="1">
      <c r="A49" s="283" t="s">
        <v>57</v>
      </c>
      <c r="B49" s="361">
        <f>'Sources and Uses Budget'!C49</f>
        <v>462000</v>
      </c>
      <c r="C49" s="362"/>
      <c r="D49" s="362">
        <f t="shared" si="4"/>
        <v>462000</v>
      </c>
      <c r="E49" s="361">
        <f>'Sources and Uses Budget'!S49</f>
        <v>462000</v>
      </c>
      <c r="F49" s="362"/>
      <c r="G49" s="362">
        <f t="shared" si="5"/>
        <v>462000</v>
      </c>
      <c r="H49" s="361">
        <f>'Sources and Uses Budget'!T49</f>
        <v>0</v>
      </c>
      <c r="I49" s="362"/>
      <c r="J49" s="362"/>
      <c r="K49" s="359"/>
    </row>
    <row r="50" spans="1:11" s="360" customFormat="1">
      <c r="A50" s="364" t="s">
        <v>156</v>
      </c>
      <c r="B50" s="361">
        <f>'Sources and Uses Budget'!C50</f>
        <v>100000</v>
      </c>
      <c r="C50" s="362"/>
      <c r="D50" s="362">
        <f t="shared" si="4"/>
        <v>100000</v>
      </c>
      <c r="E50" s="361">
        <f>'Sources and Uses Budget'!S50</f>
        <v>100000</v>
      </c>
      <c r="F50" s="362"/>
      <c r="G50" s="362">
        <f t="shared" si="5"/>
        <v>100000</v>
      </c>
      <c r="H50" s="361">
        <f>'Sources and Uses Budget'!T50</f>
        <v>0</v>
      </c>
      <c r="I50" s="362"/>
      <c r="J50" s="362"/>
      <c r="K50" s="359"/>
    </row>
    <row r="51" spans="1:11" s="360" customFormat="1">
      <c r="A51" s="364" t="s">
        <v>154</v>
      </c>
      <c r="B51" s="361">
        <f>'Sources and Uses Budget'!C51</f>
        <v>0</v>
      </c>
      <c r="C51" s="362"/>
      <c r="D51" s="362">
        <f t="shared" si="4"/>
        <v>0</v>
      </c>
      <c r="E51" s="361">
        <f>'Sources and Uses Budget'!S51</f>
        <v>0</v>
      </c>
      <c r="F51" s="362"/>
      <c r="G51" s="362">
        <f t="shared" si="5"/>
        <v>0</v>
      </c>
      <c r="H51" s="361">
        <f>'Sources and Uses Budget'!T51</f>
        <v>0</v>
      </c>
      <c r="I51" s="362"/>
      <c r="J51" s="362"/>
      <c r="K51" s="359"/>
    </row>
    <row r="52" spans="1:11" s="360" customFormat="1">
      <c r="A52" s="364" t="s">
        <v>155</v>
      </c>
      <c r="B52" s="361">
        <f>'Sources and Uses Budget'!C52</f>
        <v>1200000</v>
      </c>
      <c r="C52" s="362"/>
      <c r="D52" s="362">
        <f t="shared" si="4"/>
        <v>1200000</v>
      </c>
      <c r="E52" s="361">
        <f>'Sources and Uses Budget'!S52</f>
        <v>1200000</v>
      </c>
      <c r="F52" s="362"/>
      <c r="G52" s="362">
        <f t="shared" si="5"/>
        <v>1200000</v>
      </c>
      <c r="H52" s="361">
        <f>'Sources and Uses Budget'!T52</f>
        <v>0</v>
      </c>
      <c r="I52" s="362"/>
      <c r="J52" s="362"/>
      <c r="K52" s="359"/>
    </row>
    <row r="53" spans="1:11" s="360" customFormat="1">
      <c r="A53" s="364" t="str">
        <f>'Sources and Uses Budget'!$A53</f>
        <v>Other: (Specify)</v>
      </c>
      <c r="B53" s="361">
        <f>'Sources and Uses Budget'!C53</f>
        <v>0</v>
      </c>
      <c r="C53" s="362"/>
      <c r="D53" s="362">
        <f t="shared" si="4"/>
        <v>0</v>
      </c>
      <c r="E53" s="361">
        <f>'Sources and Uses Budget'!S53</f>
        <v>0</v>
      </c>
      <c r="F53" s="362"/>
      <c r="G53" s="362">
        <f t="shared" si="5"/>
        <v>0</v>
      </c>
      <c r="H53" s="361">
        <f>'Sources and Uses Budget'!T53</f>
        <v>0</v>
      </c>
      <c r="I53" s="362"/>
      <c r="J53" s="362"/>
      <c r="K53" s="359"/>
    </row>
    <row r="54" spans="1:11" s="369" customFormat="1">
      <c r="A54" s="365" t="s">
        <v>157</v>
      </c>
      <c r="B54" s="361">
        <f>'Sources and Uses Budget'!C54</f>
        <v>10505500</v>
      </c>
      <c r="C54" s="367">
        <f>SUM(C45:C53)</f>
        <v>0</v>
      </c>
      <c r="D54" s="367">
        <f>SUM(D45:D53)</f>
        <v>10505500</v>
      </c>
      <c r="E54" s="361">
        <f>'Sources and Uses Budget'!S54</f>
        <v>9484833</v>
      </c>
      <c r="F54" s="367">
        <f>SUM(F45:F53)</f>
        <v>0</v>
      </c>
      <c r="G54" s="367">
        <f>SUM(G45:G53)</f>
        <v>9484833</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70000</v>
      </c>
      <c r="C56" s="362"/>
      <c r="D56" s="362">
        <f>B56</f>
        <v>70000</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70000</v>
      </c>
      <c r="C62" s="361">
        <f>SUM(C56:C61)</f>
        <v>0</v>
      </c>
      <c r="D62" s="361">
        <f>SUM(D56:D61)</f>
        <v>70000</v>
      </c>
      <c r="E62" s="363"/>
      <c r="F62" s="363"/>
      <c r="G62" s="363"/>
      <c r="H62" s="363"/>
      <c r="I62" s="363"/>
      <c r="J62" s="363"/>
      <c r="K62" s="359"/>
    </row>
    <row r="63" spans="1:11" s="360" customFormat="1">
      <c r="A63" s="370" t="s">
        <v>301</v>
      </c>
      <c r="B63" s="361">
        <f>'Sources and Uses Budget'!C63</f>
        <v>70435823</v>
      </c>
      <c r="C63" s="361">
        <f>SUM(C8+C11+C13+C14+C15+C26+C27+C38+C42+C43+C54+C62)</f>
        <v>0</v>
      </c>
      <c r="D63" s="361">
        <f>SUM(D8+D11+D13+D14+D15+D26+D27+D38+D42+D43+D54+D62)</f>
        <v>70435823</v>
      </c>
      <c r="E63" s="361">
        <f>'Sources and Uses Budget'!S63</f>
        <v>65845156</v>
      </c>
      <c r="F63" s="361">
        <f>SUM(F10+F13+F14+F15+F26+F27+F38+F42+F43+F54)</f>
        <v>0</v>
      </c>
      <c r="G63" s="361">
        <f>SUM(G10+G13+G14+G15+G26+G27+G38+G42+G43+G54)</f>
        <v>65845156</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135000</v>
      </c>
      <c r="C65" s="362"/>
      <c r="D65" s="362">
        <f>B65</f>
        <v>135000</v>
      </c>
      <c r="E65" s="361">
        <f>'Sources and Uses Budget'!S65</f>
        <v>135000</v>
      </c>
      <c r="F65" s="362"/>
      <c r="G65" s="362">
        <f>E65</f>
        <v>135000</v>
      </c>
      <c r="H65" s="361">
        <f>'Sources and Uses Budget'!T65</f>
        <v>0</v>
      </c>
      <c r="I65" s="362"/>
      <c r="J65" s="362"/>
      <c r="K65" s="359"/>
    </row>
    <row r="66" spans="1:11" s="360" customFormat="1" ht="24">
      <c r="A66" s="283" t="s">
        <v>1641</v>
      </c>
      <c r="B66" s="361">
        <f>'Sources and Uses Budget'!C66</f>
        <v>100000</v>
      </c>
      <c r="C66" s="362"/>
      <c r="D66" s="362">
        <f t="shared" ref="D66:D69" si="6">B66</f>
        <v>100000</v>
      </c>
      <c r="E66" s="361">
        <f>'Sources and Uses Budget'!S66</f>
        <v>100000</v>
      </c>
      <c r="F66" s="362"/>
      <c r="G66" s="362">
        <f t="shared" ref="G66:G69" si="7">E66</f>
        <v>100000</v>
      </c>
      <c r="H66" s="361">
        <f>'Sources and Uses Budget'!T66</f>
        <v>0</v>
      </c>
      <c r="I66" s="362"/>
      <c r="J66" s="362"/>
      <c r="K66" s="359"/>
    </row>
    <row r="67" spans="1:11" s="360" customFormat="1" ht="24">
      <c r="A67" s="283" t="s">
        <v>1642</v>
      </c>
      <c r="B67" s="361">
        <f>'Sources and Uses Budget'!C67</f>
        <v>4250000</v>
      </c>
      <c r="C67" s="362"/>
      <c r="D67" s="362">
        <f t="shared" si="6"/>
        <v>4250000</v>
      </c>
      <c r="E67" s="361">
        <f>'Sources and Uses Budget'!S67</f>
        <v>4250000</v>
      </c>
      <c r="F67" s="362"/>
      <c r="G67" s="362">
        <f t="shared" si="7"/>
        <v>4250000</v>
      </c>
      <c r="H67" s="361">
        <f>'Sources and Uses Budget'!T67</f>
        <v>0</v>
      </c>
      <c r="I67" s="362"/>
      <c r="J67" s="362"/>
      <c r="K67" s="359"/>
    </row>
    <row r="68" spans="1:11" s="360" customFormat="1">
      <c r="A68" s="283" t="s">
        <v>1648</v>
      </c>
      <c r="B68" s="361">
        <f>'Sources and Uses Budget'!C68</f>
        <v>0</v>
      </c>
      <c r="C68" s="362"/>
      <c r="D68" s="362">
        <f t="shared" si="6"/>
        <v>0</v>
      </c>
      <c r="E68" s="361">
        <f>'Sources and Uses Budget'!S68</f>
        <v>0</v>
      </c>
      <c r="F68" s="362"/>
      <c r="G68" s="362">
        <f t="shared" si="7"/>
        <v>0</v>
      </c>
      <c r="H68" s="361">
        <f>'Sources and Uses Budget'!T68</f>
        <v>0</v>
      </c>
      <c r="I68" s="362"/>
      <c r="J68" s="362"/>
      <c r="K68" s="359"/>
    </row>
    <row r="69" spans="1:11" s="360" customFormat="1">
      <c r="A69" s="364" t="str">
        <f>'Sources and Uses Budget'!$A69</f>
        <v>Other: Transaction Legal</v>
      </c>
      <c r="B69" s="361">
        <f>'Sources and Uses Budget'!C69</f>
        <v>120000</v>
      </c>
      <c r="C69" s="362"/>
      <c r="D69" s="362">
        <f t="shared" si="6"/>
        <v>120000</v>
      </c>
      <c r="E69" s="361">
        <f>'Sources and Uses Budget'!S69</f>
        <v>120000</v>
      </c>
      <c r="F69" s="362"/>
      <c r="G69" s="362">
        <f t="shared" si="7"/>
        <v>120000</v>
      </c>
      <c r="H69" s="361">
        <f>'Sources and Uses Budget'!T69</f>
        <v>0</v>
      </c>
      <c r="I69" s="362"/>
      <c r="J69" s="362"/>
      <c r="K69" s="359"/>
    </row>
    <row r="70" spans="1:11" s="360" customFormat="1">
      <c r="A70" s="365" t="s">
        <v>601</v>
      </c>
      <c r="B70" s="361">
        <f>'Sources and Uses Budget'!C70</f>
        <v>4605000</v>
      </c>
      <c r="C70" s="361">
        <f>SUM(C64:C69)</f>
        <v>0</v>
      </c>
      <c r="D70" s="361">
        <f>SUM(D64:D69)</f>
        <v>4605000</v>
      </c>
      <c r="E70" s="361">
        <f>'Sources and Uses Budget'!S70</f>
        <v>4605000</v>
      </c>
      <c r="F70" s="367">
        <f>SUM(F65:F69)</f>
        <v>0</v>
      </c>
      <c r="G70" s="367">
        <f>SUM(G65:G69)</f>
        <v>4605000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800000</v>
      </c>
      <c r="C75" s="362"/>
      <c r="D75" s="362">
        <f>B75</f>
        <v>800000</v>
      </c>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800000</v>
      </c>
      <c r="C77" s="361">
        <f>SUM(C72:C76)</f>
        <v>0</v>
      </c>
      <c r="D77" s="361">
        <f>SUM(D72:D76)</f>
        <v>800000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3000000</v>
      </c>
      <c r="C79" s="362"/>
      <c r="D79" s="362">
        <f>B79</f>
        <v>3000000</v>
      </c>
      <c r="E79" s="361">
        <f>'Sources and Uses Budget'!S79</f>
        <v>3000000</v>
      </c>
      <c r="F79" s="362"/>
      <c r="G79" s="362">
        <f>E79</f>
        <v>3000000</v>
      </c>
      <c r="H79" s="361">
        <f>'Sources and Uses Budget'!T79</f>
        <v>0</v>
      </c>
      <c r="I79" s="362"/>
      <c r="J79" s="362"/>
      <c r="K79" s="359"/>
    </row>
    <row r="80" spans="1:11" s="360" customFormat="1">
      <c r="A80" s="364" t="s">
        <v>58</v>
      </c>
      <c r="B80" s="361">
        <f>'Sources and Uses Budget'!C80</f>
        <v>613500</v>
      </c>
      <c r="C80" s="362"/>
      <c r="D80" s="362">
        <f>B80</f>
        <v>613500</v>
      </c>
      <c r="E80" s="361">
        <f>'Sources and Uses Budget'!S80</f>
        <v>613500</v>
      </c>
      <c r="F80" s="362"/>
      <c r="G80" s="362">
        <f>E80</f>
        <v>613500</v>
      </c>
      <c r="H80" s="361">
        <f>'Sources and Uses Budget'!T80</f>
        <v>0</v>
      </c>
      <c r="I80" s="362"/>
      <c r="J80" s="362"/>
      <c r="K80" s="359"/>
    </row>
    <row r="81" spans="1:11" s="360" customFormat="1">
      <c r="A81" s="365" t="s">
        <v>1209</v>
      </c>
      <c r="B81" s="361">
        <f>'Sources and Uses Budget'!C81</f>
        <v>3613500</v>
      </c>
      <c r="C81" s="361">
        <f>SUM(C79:C80)</f>
        <v>0</v>
      </c>
      <c r="D81" s="361">
        <f>SUM(D79:D80)</f>
        <v>3613500</v>
      </c>
      <c r="E81" s="361">
        <f>'Sources and Uses Budget'!S81</f>
        <v>3613500</v>
      </c>
      <c r="F81" s="361">
        <f>SUM(F79:F80)</f>
        <v>0</v>
      </c>
      <c r="G81" s="361">
        <f>SUM(G79:G80)</f>
        <v>3613500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0</v>
      </c>
      <c r="C83" s="362"/>
      <c r="D83" s="362">
        <f>B83</f>
        <v>0</v>
      </c>
      <c r="E83" s="363"/>
      <c r="F83" s="363"/>
      <c r="G83" s="363"/>
      <c r="H83" s="363"/>
      <c r="I83" s="363"/>
      <c r="J83" s="363"/>
      <c r="K83" s="359"/>
    </row>
    <row r="84" spans="1:11" s="360" customFormat="1">
      <c r="A84" s="145" t="s">
        <v>767</v>
      </c>
      <c r="B84" s="361">
        <f>'Sources and Uses Budget'!C84</f>
        <v>50000</v>
      </c>
      <c r="C84" s="362"/>
      <c r="D84" s="362">
        <f t="shared" ref="D84:D95" si="8">B84</f>
        <v>50000</v>
      </c>
      <c r="E84" s="361">
        <f>'Sources and Uses Budget'!S84</f>
        <v>50000</v>
      </c>
      <c r="F84" s="362"/>
      <c r="G84" s="362">
        <f>E84</f>
        <v>50000</v>
      </c>
      <c r="H84" s="361">
        <f>'Sources and Uses Budget'!T84</f>
        <v>0</v>
      </c>
      <c r="I84" s="362"/>
      <c r="J84" s="362"/>
      <c r="K84" s="359"/>
    </row>
    <row r="85" spans="1:11" s="360" customFormat="1">
      <c r="A85" s="145" t="s">
        <v>768</v>
      </c>
      <c r="B85" s="361">
        <f>'Sources and Uses Budget'!C85</f>
        <v>0</v>
      </c>
      <c r="C85" s="362"/>
      <c r="D85" s="362">
        <f t="shared" si="8"/>
        <v>0</v>
      </c>
      <c r="E85" s="361">
        <f>'Sources and Uses Budget'!S85</f>
        <v>0</v>
      </c>
      <c r="F85" s="362"/>
      <c r="G85" s="362">
        <f t="shared" ref="G85:G95" si="9">E85</f>
        <v>0</v>
      </c>
      <c r="H85" s="361">
        <f>'Sources and Uses Budget'!T85</f>
        <v>0</v>
      </c>
      <c r="I85" s="362"/>
      <c r="J85" s="362"/>
      <c r="K85" s="359"/>
    </row>
    <row r="86" spans="1:11" s="360" customFormat="1">
      <c r="A86" s="145" t="s">
        <v>769</v>
      </c>
      <c r="B86" s="361">
        <f>'Sources and Uses Budget'!C86</f>
        <v>477677</v>
      </c>
      <c r="C86" s="362"/>
      <c r="D86" s="362">
        <f t="shared" si="8"/>
        <v>477677</v>
      </c>
      <c r="E86" s="361">
        <f>'Sources and Uses Budget'!S86</f>
        <v>477677</v>
      </c>
      <c r="F86" s="362"/>
      <c r="G86" s="362">
        <f t="shared" si="9"/>
        <v>477677</v>
      </c>
      <c r="H86" s="361">
        <f>'Sources and Uses Budget'!T86</f>
        <v>0</v>
      </c>
      <c r="I86" s="362"/>
      <c r="J86" s="362"/>
      <c r="K86" s="359"/>
    </row>
    <row r="87" spans="1:11" s="360" customFormat="1">
      <c r="A87" s="145" t="s">
        <v>770</v>
      </c>
      <c r="B87" s="361">
        <f>'Sources and Uses Budget'!C87</f>
        <v>0</v>
      </c>
      <c r="C87" s="362"/>
      <c r="D87" s="362">
        <f t="shared" si="8"/>
        <v>0</v>
      </c>
      <c r="E87" s="361">
        <f>'Sources and Uses Budget'!S87</f>
        <v>0</v>
      </c>
      <c r="F87" s="362"/>
      <c r="G87" s="362">
        <f t="shared" si="9"/>
        <v>0</v>
      </c>
      <c r="H87" s="361">
        <f>'Sources and Uses Budget'!T87</f>
        <v>0</v>
      </c>
      <c r="I87" s="362"/>
      <c r="J87" s="362"/>
      <c r="K87" s="359"/>
    </row>
    <row r="88" spans="1:11" s="360" customFormat="1">
      <c r="A88" s="145" t="s">
        <v>771</v>
      </c>
      <c r="B88" s="361">
        <f>'Sources and Uses Budget'!C88</f>
        <v>0</v>
      </c>
      <c r="C88" s="362"/>
      <c r="D88" s="362">
        <f t="shared" si="8"/>
        <v>0</v>
      </c>
      <c r="E88" s="363"/>
      <c r="F88" s="363"/>
      <c r="G88" s="363"/>
      <c r="H88" s="363"/>
      <c r="I88" s="363"/>
      <c r="J88" s="363"/>
      <c r="K88" s="359"/>
    </row>
    <row r="89" spans="1:11" s="360" customFormat="1">
      <c r="A89" s="145" t="s">
        <v>772</v>
      </c>
      <c r="B89" s="361">
        <f>'Sources and Uses Budget'!C89</f>
        <v>350000</v>
      </c>
      <c r="C89" s="362"/>
      <c r="D89" s="362">
        <f t="shared" si="8"/>
        <v>350000</v>
      </c>
      <c r="E89" s="361">
        <f>'Sources and Uses Budget'!S89</f>
        <v>350000</v>
      </c>
      <c r="F89" s="362"/>
      <c r="G89" s="362">
        <f t="shared" si="9"/>
        <v>350000</v>
      </c>
      <c r="H89" s="361">
        <f>'Sources and Uses Budget'!T89</f>
        <v>0</v>
      </c>
      <c r="I89" s="362"/>
      <c r="J89" s="362"/>
      <c r="K89" s="359"/>
    </row>
    <row r="90" spans="1:11" s="360" customFormat="1">
      <c r="A90" s="145" t="s">
        <v>773</v>
      </c>
      <c r="B90" s="361">
        <f>'Sources and Uses Budget'!C90</f>
        <v>0</v>
      </c>
      <c r="C90" s="362"/>
      <c r="D90" s="362">
        <f t="shared" si="8"/>
        <v>0</v>
      </c>
      <c r="E90" s="361">
        <f>'Sources and Uses Budget'!S90</f>
        <v>0</v>
      </c>
      <c r="F90" s="362"/>
      <c r="G90" s="362">
        <f t="shared" si="9"/>
        <v>0</v>
      </c>
      <c r="H90" s="361">
        <f>'Sources and Uses Budget'!T90</f>
        <v>0</v>
      </c>
      <c r="I90" s="362"/>
      <c r="J90" s="362"/>
      <c r="K90" s="359"/>
    </row>
    <row r="91" spans="1:11" s="360" customFormat="1">
      <c r="A91" s="155" t="s">
        <v>371</v>
      </c>
      <c r="B91" s="361">
        <f>'Sources and Uses Budget'!C91</f>
        <v>86000</v>
      </c>
      <c r="C91" s="362"/>
      <c r="D91" s="362">
        <f t="shared" si="8"/>
        <v>86000</v>
      </c>
      <c r="E91" s="361">
        <f>'Sources and Uses Budget'!S91</f>
        <v>50000</v>
      </c>
      <c r="F91" s="362"/>
      <c r="G91" s="362">
        <f t="shared" si="9"/>
        <v>50000</v>
      </c>
      <c r="H91" s="361">
        <f>'Sources and Uses Budget'!T91</f>
        <v>0</v>
      </c>
      <c r="I91" s="362"/>
      <c r="J91" s="362"/>
      <c r="K91" s="359"/>
    </row>
    <row r="92" spans="1:11" s="360" customFormat="1">
      <c r="A92" s="508" t="s">
        <v>1211</v>
      </c>
      <c r="B92" s="361">
        <f>'Sources and Uses Budget'!C92</f>
        <v>15000</v>
      </c>
      <c r="C92" s="362"/>
      <c r="D92" s="362">
        <f t="shared" si="8"/>
        <v>15000</v>
      </c>
      <c r="E92" s="361">
        <f>'Sources and Uses Budget'!S92</f>
        <v>15000</v>
      </c>
      <c r="F92" s="362"/>
      <c r="G92" s="362">
        <f t="shared" si="9"/>
        <v>15000</v>
      </c>
      <c r="H92" s="361">
        <f>'Sources and Uses Budget'!T92</f>
        <v>0</v>
      </c>
      <c r="I92" s="362"/>
      <c r="J92" s="362"/>
      <c r="K92" s="359"/>
    </row>
    <row r="93" spans="1:11" s="360" customFormat="1">
      <c r="A93" s="364" t="str">
        <f>'Sources and Uses Budget'!$A93</f>
        <v>Other: (Specify)</v>
      </c>
      <c r="B93" s="361">
        <f>'Sources and Uses Budget'!C93</f>
        <v>0</v>
      </c>
      <c r="C93" s="362"/>
      <c r="D93" s="362">
        <f t="shared" si="8"/>
        <v>0</v>
      </c>
      <c r="E93" s="361">
        <f>'Sources and Uses Budget'!S93</f>
        <v>0</v>
      </c>
      <c r="F93" s="362"/>
      <c r="G93" s="362">
        <f t="shared" si="9"/>
        <v>0</v>
      </c>
      <c r="H93" s="361">
        <f>'Sources and Uses Budget'!T93</f>
        <v>0</v>
      </c>
      <c r="I93" s="362"/>
      <c r="J93" s="362"/>
      <c r="K93" s="359"/>
    </row>
    <row r="94" spans="1:11" s="360" customFormat="1">
      <c r="A94" s="364" t="str">
        <f>'Sources and Uses Budget'!$A94</f>
        <v>Other: (Specify)</v>
      </c>
      <c r="B94" s="361">
        <f>'Sources and Uses Budget'!C94</f>
        <v>0</v>
      </c>
      <c r="C94" s="362"/>
      <c r="D94" s="362">
        <f t="shared" si="8"/>
        <v>0</v>
      </c>
      <c r="E94" s="361">
        <f>'Sources and Uses Budget'!S94</f>
        <v>0</v>
      </c>
      <c r="F94" s="362"/>
      <c r="G94" s="362">
        <f t="shared" si="9"/>
        <v>0</v>
      </c>
      <c r="H94" s="361">
        <f>'Sources and Uses Budget'!T94</f>
        <v>0</v>
      </c>
      <c r="I94" s="362"/>
      <c r="J94" s="362"/>
      <c r="K94" s="359"/>
    </row>
    <row r="95" spans="1:11" s="360" customFormat="1">
      <c r="A95" s="364" t="str">
        <f>'Sources and Uses Budget'!$A95</f>
        <v>Other: (Specify)</v>
      </c>
      <c r="B95" s="361">
        <f>'Sources and Uses Budget'!C95</f>
        <v>0</v>
      </c>
      <c r="C95" s="362"/>
      <c r="D95" s="362">
        <f t="shared" si="8"/>
        <v>0</v>
      </c>
      <c r="E95" s="361">
        <f>'Sources and Uses Budget'!S95</f>
        <v>0</v>
      </c>
      <c r="F95" s="362"/>
      <c r="G95" s="362">
        <f t="shared" si="9"/>
        <v>0</v>
      </c>
      <c r="H95" s="361">
        <f>'Sources and Uses Budget'!T95</f>
        <v>0</v>
      </c>
      <c r="I95" s="362"/>
      <c r="J95" s="362"/>
      <c r="K95" s="359"/>
    </row>
    <row r="96" spans="1:11" s="360" customFormat="1">
      <c r="A96" s="365" t="s">
        <v>774</v>
      </c>
      <c r="B96" s="361">
        <f>'Sources and Uses Budget'!C96</f>
        <v>978677</v>
      </c>
      <c r="C96" s="361">
        <f>SUM(C83:C95)</f>
        <v>0</v>
      </c>
      <c r="D96" s="361">
        <f>SUM(D83:D95)</f>
        <v>978677</v>
      </c>
      <c r="E96" s="361">
        <f>'Sources and Uses Budget'!S96</f>
        <v>942677</v>
      </c>
      <c r="F96" s="367">
        <f>SUM(F84:F87,F89:F95)</f>
        <v>0</v>
      </c>
      <c r="G96" s="367">
        <f>SUM(G84:G87,G89:G95)</f>
        <v>942677</v>
      </c>
      <c r="H96" s="361">
        <f>'Sources and Uses Budget'!T96</f>
        <v>0</v>
      </c>
      <c r="I96" s="361">
        <f>SUM(I84:I87,I89:I95)</f>
        <v>0</v>
      </c>
      <c r="J96" s="361">
        <f>SUM(J84:J87,J89:J95)</f>
        <v>0</v>
      </c>
      <c r="K96" s="359"/>
    </row>
    <row r="97" spans="1:11" s="360" customFormat="1">
      <c r="A97" s="365" t="s">
        <v>1029</v>
      </c>
      <c r="B97" s="361">
        <f>'Sources and Uses Budget'!C97</f>
        <v>80433000</v>
      </c>
      <c r="C97" s="361">
        <f>SUM(C63+C70+C77+C81+C96)</f>
        <v>0</v>
      </c>
      <c r="D97" s="361">
        <f>SUM(D63+D70+D77+D81+D96)</f>
        <v>80433000</v>
      </c>
      <c r="E97" s="361">
        <f>'Sources and Uses Budget'!S97</f>
        <v>75006333</v>
      </c>
      <c r="F97" s="367">
        <f>SUM(+F63+F70+F81+F96)</f>
        <v>0</v>
      </c>
      <c r="G97" s="367">
        <f>SUM(+G63+G70+G81+G96)</f>
        <v>75006333</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11250000</v>
      </c>
      <c r="C99" s="362"/>
      <c r="D99" s="362">
        <f>B99</f>
        <v>11250000</v>
      </c>
      <c r="E99" s="361">
        <f>'Sources and Uses Budget'!S99</f>
        <v>11250000</v>
      </c>
      <c r="F99" s="362"/>
      <c r="G99" s="362">
        <f>E99</f>
        <v>11250000</v>
      </c>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11250000</v>
      </c>
      <c r="C104" s="361">
        <f>SUM(C99:C103)</f>
        <v>0</v>
      </c>
      <c r="D104" s="361">
        <f>SUM(D99:D103)</f>
        <v>11250000</v>
      </c>
      <c r="E104" s="361">
        <f>'Sources and Uses Budget'!S104</f>
        <v>11250000</v>
      </c>
      <c r="F104" s="367">
        <f>SUM(F99:F103)</f>
        <v>0</v>
      </c>
      <c r="G104" s="367">
        <f>SUM(G99:G103)</f>
        <v>11250000</v>
      </c>
      <c r="H104" s="361">
        <f>'Sources and Uses Budget'!T104</f>
        <v>0</v>
      </c>
      <c r="I104" s="367">
        <f>SUM(I99:I103)</f>
        <v>0</v>
      </c>
      <c r="J104" s="367">
        <f>SUM(J99:J103)</f>
        <v>0</v>
      </c>
      <c r="K104" s="359"/>
    </row>
    <row r="105" spans="1:11" s="360" customFormat="1">
      <c r="A105" s="365" t="s">
        <v>1030</v>
      </c>
      <c r="B105" s="361">
        <f>'Sources and Uses Budget'!C105</f>
        <v>91683000</v>
      </c>
      <c r="C105" s="367">
        <f>SUM(C97+C104)</f>
        <v>0</v>
      </c>
      <c r="D105" s="367">
        <f>SUM(D97+D104)</f>
        <v>91683000</v>
      </c>
      <c r="E105" s="361">
        <f>'Sources and Uses Budget'!S105</f>
        <v>86256333</v>
      </c>
      <c r="F105" s="367">
        <f>F97+F104</f>
        <v>0</v>
      </c>
      <c r="G105" s="367">
        <f>G97+G104</f>
        <v>86256333</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86256333</v>
      </c>
      <c r="F107" s="367">
        <f>F105+F106</f>
        <v>0</v>
      </c>
      <c r="G107" s="367">
        <f>G105+G106</f>
        <v>86256333</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19" t="s">
        <v>2456</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2455</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1" t="str">
        <f>IF(Application!H18="","",Application!H18)</f>
        <v>West Hills Family Apartments</v>
      </c>
      <c r="M4" s="2312"/>
      <c r="N4" s="2312"/>
      <c r="O4" s="2312"/>
      <c r="P4" s="2312"/>
      <c r="Q4" s="2312"/>
      <c r="R4" s="2312"/>
      <c r="S4" s="2312"/>
      <c r="T4" s="2312"/>
      <c r="U4" s="2312"/>
      <c r="V4" s="2312"/>
      <c r="W4" s="2312"/>
      <c r="X4" s="2312"/>
      <c r="Y4" s="2312"/>
      <c r="Z4" s="2312"/>
      <c r="AA4" s="2312"/>
      <c r="AB4" s="2312"/>
      <c r="AC4" s="2313"/>
      <c r="AD4" s="1190"/>
      <c r="AE4" s="1190"/>
      <c r="AF4" s="2307" t="s">
        <v>2454</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2453</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1" t="str">
        <f>IF(Application!H16="","",Application!H16)</f>
        <v>Las Palmas Foundation</v>
      </c>
      <c r="M6" s="2312"/>
      <c r="N6" s="2312"/>
      <c r="O6" s="2312"/>
      <c r="P6" s="2312"/>
      <c r="Q6" s="2312"/>
      <c r="R6" s="2312"/>
      <c r="S6" s="2312"/>
      <c r="T6" s="2312"/>
      <c r="U6" s="2312"/>
      <c r="V6" s="2312"/>
      <c r="W6" s="2312"/>
      <c r="X6" s="2312"/>
      <c r="Y6" s="2312"/>
      <c r="Z6" s="2312"/>
      <c r="AA6" s="2312"/>
      <c r="AB6" s="2312"/>
      <c r="AC6" s="2313"/>
      <c r="AD6" s="1190"/>
      <c r="AE6" s="1190"/>
      <c r="AF6" s="2314" t="s">
        <v>2451</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2450</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2448</v>
      </c>
      <c r="AG8" s="2314"/>
      <c r="AH8" s="2314"/>
      <c r="AI8" s="2314"/>
      <c r="AJ8" s="2314"/>
      <c r="AK8" s="2314"/>
      <c r="AL8" s="2314"/>
      <c r="AM8" s="2314"/>
      <c r="AN8" s="2314"/>
      <c r="AO8" s="2314"/>
      <c r="AP8" s="2315" t="s">
        <v>2098</v>
      </c>
      <c r="AQ8" s="2315"/>
      <c r="AR8" s="2315"/>
      <c r="AS8" s="2315"/>
      <c r="AT8" s="2315"/>
      <c r="AU8" s="2315"/>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2447</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10">
        <f>Application!AO627</f>
        <v>37683556</v>
      </c>
      <c r="O10" s="2310"/>
      <c r="P10" s="2310"/>
      <c r="Q10" s="2310"/>
      <c r="R10" s="2310"/>
      <c r="S10" s="2310"/>
      <c r="T10" s="2310"/>
      <c r="U10" s="1190"/>
      <c r="V10" s="1190"/>
      <c r="W10" s="1190"/>
      <c r="X10" s="1193"/>
      <c r="Y10" s="1193"/>
      <c r="Z10" s="1193"/>
      <c r="AA10" s="1193"/>
      <c r="AB10" s="1193"/>
      <c r="AC10" s="1193"/>
      <c r="AD10" s="1193"/>
      <c r="AE10" s="1193"/>
      <c r="AF10" s="2307" t="s">
        <v>2444</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2441</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298" t="s">
        <v>2439</v>
      </c>
      <c r="C13" s="2299"/>
      <c r="D13" s="2299"/>
      <c r="E13" s="2299"/>
      <c r="F13" s="2299"/>
      <c r="G13" s="2299"/>
      <c r="H13" s="2299"/>
      <c r="I13" s="2299"/>
      <c r="J13" s="2299"/>
      <c r="K13" s="2299"/>
      <c r="L13" s="2299"/>
      <c r="M13" s="2299"/>
      <c r="N13" s="2299"/>
      <c r="O13" s="2299"/>
      <c r="P13" s="2300"/>
      <c r="Q13" s="2301" t="s">
        <v>669</v>
      </c>
      <c r="R13" s="2302"/>
      <c r="S13" s="2302"/>
      <c r="T13" s="2303"/>
      <c r="U13" s="1193"/>
      <c r="V13" s="1190"/>
      <c r="W13" s="1190"/>
      <c r="X13" s="1190"/>
      <c r="Y13" s="1190"/>
      <c r="Z13" s="1190"/>
      <c r="AA13" s="2288" t="s">
        <v>2438</v>
      </c>
      <c r="AB13" s="2288"/>
      <c r="AC13" s="2288"/>
      <c r="AD13" s="2288"/>
      <c r="AE13" s="2288"/>
      <c r="AF13" s="2288"/>
      <c r="AG13" s="2288"/>
      <c r="AH13" s="2288"/>
      <c r="AI13" s="2288"/>
      <c r="AJ13" s="2288"/>
      <c r="AK13" s="2288"/>
      <c r="AL13" s="2288"/>
      <c r="AM13" s="2288"/>
      <c r="AN13" s="2288"/>
      <c r="AO13" s="2304">
        <f>Application!W473</f>
        <v>24</v>
      </c>
      <c r="AP13" s="2305"/>
      <c r="AQ13" s="2305"/>
      <c r="AR13" s="2305"/>
      <c r="AS13" s="2305"/>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2436</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2435</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2434</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2433</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2432</v>
      </c>
      <c r="C18" s="2292"/>
      <c r="D18" s="2292"/>
      <c r="E18" s="2292"/>
      <c r="F18" s="2292"/>
      <c r="G18" s="2292"/>
      <c r="H18" s="2292"/>
      <c r="I18" s="2293"/>
      <c r="J18" s="2294" t="s">
        <v>1586</v>
      </c>
      <c r="K18" s="2295"/>
      <c r="L18" s="2295"/>
      <c r="M18" s="2295"/>
      <c r="N18" s="2295"/>
      <c r="O18" s="2296"/>
      <c r="P18" s="2294" t="s">
        <v>323</v>
      </c>
      <c r="Q18" s="2295"/>
      <c r="R18" s="2295"/>
      <c r="S18" s="2295"/>
      <c r="T18" s="2295"/>
      <c r="U18" s="2296"/>
      <c r="V18" s="2294" t="s">
        <v>324</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2431</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35</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20</v>
      </c>
      <c r="W19" s="2281"/>
      <c r="X19" s="2281"/>
      <c r="Y19" s="2281"/>
      <c r="Z19" s="2281"/>
      <c r="AA19" s="2282"/>
      <c r="AB19" s="2280" cm="1">
        <f t="array" ref="AB19">SUMPRODUCT((Application!$B$714:$B$738 = 'CalHFA Addendum'!AB$18)*(Application!$AC$714:$AC$738 = 'CalHFA Addendum'!$B19),Application!$G$714:$G$738)</f>
        <v>15</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0.21875</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0</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0</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18</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0</v>
      </c>
      <c r="W22" s="2281"/>
      <c r="X22" s="2281"/>
      <c r="Y22" s="2281"/>
      <c r="Z22" s="2281"/>
      <c r="AA22" s="2282"/>
      <c r="AB22" s="2280" cm="1">
        <f t="array" ref="AB22">SUMPRODUCT((Application!$B$714:$B$738 = 'CalHFA Addendum'!AB$18)*(Application!$AC$714:$AC$738 = 'CalHFA Addendum'!$B22),Application!$G$714:$G$738)</f>
        <v>18</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0.1125</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105</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11</v>
      </c>
      <c r="W23" s="2281"/>
      <c r="X23" s="2281"/>
      <c r="Y23" s="2281"/>
      <c r="Z23" s="2281"/>
      <c r="AA23" s="2282"/>
      <c r="AB23" s="2280" cm="1">
        <f t="array" ref="AB23">SUMPRODUCT((Application!$B$714:$B$738 = 'CalHFA Addendum'!AB$18)*(Application!$AC$714:$AC$738 = 'CalHFA Addendum'!$B23),Application!$G$714:$G$738)</f>
        <v>47</v>
      </c>
      <c r="AC23" s="2281"/>
      <c r="AD23" s="2281"/>
      <c r="AE23" s="2281"/>
      <c r="AF23" s="2281"/>
      <c r="AG23" s="2282"/>
      <c r="AH23" s="2280" cm="1">
        <f t="array" ref="AH23">SUMPRODUCT((Application!$B$714:$B$738 = 'CalHFA Addendum'!AH$18)*(Application!$AC$714:$AC$738 = 'CalHFA Addendum'!$B23),Application!$G$714:$G$738)</f>
        <v>47</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0.65625</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2430</v>
      </c>
      <c r="C28" s="2269"/>
      <c r="D28" s="2269"/>
      <c r="E28" s="2269"/>
      <c r="F28" s="2269"/>
      <c r="G28" s="2269"/>
      <c r="H28" s="2269"/>
      <c r="I28" s="2270"/>
      <c r="J28" s="2271">
        <f>SUM(P28:AS28)</f>
        <v>2</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2</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1.2500000000000001E-2</v>
      </c>
      <c r="AU28" s="2275"/>
      <c r="AV28" s="2275"/>
      <c r="AW28" s="2275"/>
      <c r="AX28" s="2275"/>
      <c r="AY28" s="2276"/>
      <c r="AZ28" s="1190"/>
      <c r="BA28" s="1190"/>
      <c r="BB28" s="1190"/>
      <c r="BC28" s="1190"/>
      <c r="BD28" s="1190"/>
      <c r="BE28" s="1194"/>
    </row>
    <row r="29" spans="1:58" thickBot="1">
      <c r="A29" s="1190"/>
      <c r="B29" s="2251" t="s">
        <v>1586</v>
      </c>
      <c r="C29" s="2224"/>
      <c r="D29" s="2224"/>
      <c r="E29" s="2224"/>
      <c r="F29" s="2224"/>
      <c r="G29" s="2224"/>
      <c r="H29" s="2224"/>
      <c r="I29" s="2225"/>
      <c r="J29" s="2223">
        <f>SUM(J19:O28)</f>
        <v>160</v>
      </c>
      <c r="K29" s="2224"/>
      <c r="L29" s="2224"/>
      <c r="M29" s="2224"/>
      <c r="N29" s="2224"/>
      <c r="O29" s="2225"/>
      <c r="P29" s="2223">
        <f>SUM(P19:U28)</f>
        <v>0</v>
      </c>
      <c r="Q29" s="2224"/>
      <c r="R29" s="2224"/>
      <c r="S29" s="2224"/>
      <c r="T29" s="2224"/>
      <c r="U29" s="2225"/>
      <c r="V29" s="2223">
        <f>SUM(V19:AA28)</f>
        <v>31</v>
      </c>
      <c r="W29" s="2224"/>
      <c r="X29" s="2224"/>
      <c r="Y29" s="2224"/>
      <c r="Z29" s="2224"/>
      <c r="AA29" s="2225"/>
      <c r="AB29" s="2223">
        <f>SUM(AB19:AG28)</f>
        <v>82</v>
      </c>
      <c r="AC29" s="2224"/>
      <c r="AD29" s="2224"/>
      <c r="AE29" s="2224"/>
      <c r="AF29" s="2224"/>
      <c r="AG29" s="2225"/>
      <c r="AH29" s="2223">
        <f>SUM(AH19:AM28)</f>
        <v>47</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2429</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2428</v>
      </c>
      <c r="C32" s="2233"/>
      <c r="D32" s="2233"/>
      <c r="E32" s="2233"/>
      <c r="F32" s="2233"/>
      <c r="G32" s="2233"/>
      <c r="H32" s="2233"/>
      <c r="I32" s="2233"/>
      <c r="J32" s="2236" t="s">
        <v>2427</v>
      </c>
      <c r="K32" s="2237"/>
      <c r="L32" s="2237"/>
      <c r="M32" s="2237"/>
      <c r="N32" s="2236" t="s">
        <v>2426</v>
      </c>
      <c r="O32" s="2237"/>
      <c r="P32" s="2237"/>
      <c r="Q32" s="2239"/>
      <c r="R32" s="2241" t="s">
        <v>2425</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2424</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2423</v>
      </c>
      <c r="AT35" s="2253"/>
      <c r="AU35" s="2253"/>
      <c r="AV35" s="2253"/>
      <c r="AW35" s="2253"/>
      <c r="AX35" s="2261"/>
      <c r="AY35" s="2252" t="s">
        <v>2422</v>
      </c>
      <c r="AZ35" s="2253"/>
      <c r="BA35" s="2253"/>
      <c r="BB35" s="2253"/>
      <c r="BC35" s="2253"/>
      <c r="BD35" s="2254"/>
      <c r="BE35" s="1194"/>
    </row>
    <row r="36" spans="1:58" ht="15.75" customHeight="1">
      <c r="A36" s="1190"/>
      <c r="B36" s="2156" t="s">
        <v>2421</v>
      </c>
      <c r="C36" s="2157"/>
      <c r="D36" s="2157"/>
      <c r="E36" s="2157"/>
      <c r="F36" s="2157"/>
      <c r="G36" s="2157"/>
      <c r="H36" s="2157"/>
      <c r="I36" s="2157"/>
      <c r="J36" s="2221" t="s">
        <v>2420</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2419</v>
      </c>
      <c r="C37" s="2157"/>
      <c r="D37" s="2157"/>
      <c r="E37" s="2157"/>
      <c r="F37" s="2157"/>
      <c r="G37" s="2157"/>
      <c r="H37" s="2157"/>
      <c r="I37" s="2157"/>
      <c r="J37" s="2221" t="s">
        <v>2418</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2417</v>
      </c>
      <c r="C38" s="2157"/>
      <c r="D38" s="2157"/>
      <c r="E38" s="2157"/>
      <c r="F38" s="2157"/>
      <c r="G38" s="2157"/>
      <c r="H38" s="2157"/>
      <c r="I38" s="2157"/>
      <c r="J38" s="2221" t="s">
        <v>2416</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2415</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2415</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2414</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2414</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2413</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2412</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2411</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2335</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299</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2408</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2401</v>
      </c>
      <c r="C51" s="2099"/>
      <c r="D51" s="2099"/>
      <c r="E51" s="2099"/>
      <c r="F51" s="2099"/>
      <c r="G51" s="2099"/>
      <c r="H51" s="2099"/>
      <c r="I51" s="2099"/>
      <c r="J51" s="2099" t="s">
        <v>2407</v>
      </c>
      <c r="K51" s="2099"/>
      <c r="L51" s="2099"/>
      <c r="M51" s="2099"/>
      <c r="N51" s="2099"/>
      <c r="O51" s="2099"/>
      <c r="P51" s="2099"/>
      <c r="Q51" s="2099"/>
      <c r="R51" s="2200" t="s">
        <v>2406</v>
      </c>
      <c r="S51" s="2200"/>
      <c r="T51" s="2200"/>
      <c r="U51" s="2200"/>
      <c r="V51" s="2200"/>
      <c r="W51" s="2200"/>
      <c r="X51" s="2200"/>
      <c r="Y51" s="2200"/>
      <c r="Z51" s="2200" t="s">
        <v>2405</v>
      </c>
      <c r="AA51" s="2200"/>
      <c r="AB51" s="2200"/>
      <c r="AC51" s="2200"/>
      <c r="AD51" s="2200"/>
      <c r="AE51" s="2200"/>
      <c r="AF51" s="2200"/>
      <c r="AG51" s="2200"/>
      <c r="AH51" s="2200" t="s">
        <v>2404</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2403</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2402</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1586</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2401</v>
      </c>
      <c r="C59" s="2190"/>
      <c r="D59" s="2190"/>
      <c r="E59" s="2190"/>
      <c r="F59" s="2190"/>
      <c r="G59" s="2190"/>
      <c r="H59" s="2190"/>
      <c r="I59" s="2191"/>
      <c r="J59" s="2097" t="s">
        <v>2400</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2398</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2397</v>
      </c>
      <c r="AD68" s="2023"/>
      <c r="AE68" s="2023"/>
      <c r="AF68" s="2023"/>
      <c r="AG68" s="2023"/>
      <c r="AH68" s="2023"/>
      <c r="AI68" s="2023"/>
      <c r="AJ68" s="2023"/>
      <c r="AK68" s="2023"/>
      <c r="AL68" s="2023"/>
      <c r="AM68" s="2023"/>
      <c r="AN68" s="2023"/>
      <c r="AO68" s="2023"/>
      <c r="AP68" s="2023"/>
      <c r="AQ68" s="2023"/>
      <c r="AR68" s="2023"/>
      <c r="AS68" s="2023"/>
      <c r="AT68" s="2023"/>
      <c r="AU68" s="2023"/>
      <c r="AV68" s="2173" t="s">
        <v>669</v>
      </c>
      <c r="AW68" s="2079"/>
      <c r="AX68" s="2079"/>
      <c r="AY68" s="2079"/>
      <c r="AZ68" s="2079"/>
      <c r="BA68" s="2079"/>
      <c r="BB68" s="2079"/>
      <c r="BC68" s="2080"/>
      <c r="BD68" s="1190"/>
      <c r="BE68" s="1194"/>
      <c r="BM68" s="1199" t="s">
        <v>2396</v>
      </c>
    </row>
    <row r="69" spans="1:94" ht="15.75" customHeight="1" thickTop="1" thickBot="1">
      <c r="A69" s="1190"/>
      <c r="B69" s="2174" t="s">
        <v>2395</v>
      </c>
      <c r="C69" s="2175"/>
      <c r="D69" s="2175"/>
      <c r="E69" s="2175"/>
      <c r="F69" s="2175"/>
      <c r="G69" s="2175"/>
      <c r="H69" s="2175"/>
      <c r="I69" s="2175"/>
      <c r="J69" s="2175"/>
      <c r="K69" s="2175"/>
      <c r="L69" s="2175"/>
      <c r="M69" s="2175"/>
      <c r="N69" s="2175"/>
      <c r="O69" s="2176" t="s">
        <v>2394</v>
      </c>
      <c r="P69" s="2177"/>
      <c r="Q69" s="2177"/>
      <c r="R69" s="2177"/>
      <c r="S69" s="2177"/>
      <c r="T69" s="2177"/>
      <c r="U69" s="2177"/>
      <c r="V69" s="2177"/>
      <c r="W69" s="2177"/>
      <c r="X69" s="2177"/>
      <c r="Y69" s="2177"/>
      <c r="Z69" s="2177"/>
      <c r="AA69" s="2178"/>
      <c r="AB69" s="1190"/>
      <c r="AC69" s="2179" t="s">
        <v>2393</v>
      </c>
      <c r="AD69" s="2180"/>
      <c r="AE69" s="2180"/>
      <c r="AF69" s="2180"/>
      <c r="AG69" s="2180"/>
      <c r="AH69" s="2180"/>
      <c r="AI69" s="2180"/>
      <c r="AJ69" s="2180"/>
      <c r="AK69" s="2180"/>
      <c r="AL69" s="2180"/>
      <c r="AM69" s="2180"/>
      <c r="AN69" s="2180"/>
      <c r="AO69" s="2180"/>
      <c r="AP69" s="2180"/>
      <c r="AQ69" s="2180"/>
      <c r="AR69" s="2180"/>
      <c r="AS69" s="2180"/>
      <c r="AT69" s="2180"/>
      <c r="AU69" s="2180"/>
      <c r="AV69" s="2173" t="s">
        <v>669</v>
      </c>
      <c r="AW69" s="2079"/>
      <c r="AX69" s="2079"/>
      <c r="AY69" s="2079"/>
      <c r="AZ69" s="2079"/>
      <c r="BA69" s="2079"/>
      <c r="BB69" s="2079"/>
      <c r="BC69" s="2080"/>
      <c r="BD69" s="1190"/>
      <c r="BE69" s="1194"/>
      <c r="BM69" s="1200" t="s">
        <v>545</v>
      </c>
    </row>
    <row r="70" spans="1:94" ht="15.75" customHeight="1">
      <c r="A70" s="1190"/>
      <c r="B70" s="2156" t="s">
        <v>2392</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2391</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669</v>
      </c>
    </row>
    <row r="71" spans="1:94" ht="15.75" customHeight="1" thickBot="1">
      <c r="A71" s="1190"/>
      <c r="B71" s="2156" t="s">
        <v>2390</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2389</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2388</v>
      </c>
    </row>
    <row r="72" spans="1:94" ht="15.75" customHeight="1">
      <c r="A72" s="1190"/>
      <c r="B72" s="2156" t="s">
        <v>2387</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2386</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2385</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2330</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2383</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2382</v>
      </c>
      <c r="C81" s="2151"/>
      <c r="D81" s="2151"/>
      <c r="E81" s="2151"/>
      <c r="F81" s="2151"/>
      <c r="G81" s="2151"/>
      <c r="H81" s="2151"/>
      <c r="I81" s="2151"/>
      <c r="J81" s="2151"/>
      <c r="K81" s="2151"/>
      <c r="L81" s="2151"/>
      <c r="M81" s="2151"/>
      <c r="N81" s="2151"/>
      <c r="O81" s="2151"/>
      <c r="P81" s="2151"/>
      <c r="Q81" s="2151"/>
      <c r="R81" s="2132" t="s">
        <v>2188</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2381</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2380</v>
      </c>
      <c r="AK83" s="2121"/>
      <c r="AL83" s="2121"/>
      <c r="AM83" s="2121"/>
      <c r="AN83" s="2121"/>
      <c r="AO83" s="2121"/>
      <c r="AP83" s="2121"/>
      <c r="AQ83" s="2121"/>
      <c r="AR83" s="2121"/>
      <c r="AS83" s="2121"/>
      <c r="AT83" s="2121"/>
      <c r="AU83" s="2121"/>
      <c r="AV83" s="2121"/>
      <c r="AW83" s="2121"/>
      <c r="AX83" s="2121"/>
      <c r="AY83" s="2137" t="s">
        <v>545</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2370</v>
      </c>
      <c r="J84" s="2099"/>
      <c r="K84" s="2099"/>
      <c r="L84" s="2099"/>
      <c r="M84" s="2099"/>
      <c r="N84" s="2099"/>
      <c r="O84" s="2099" t="s">
        <v>2346</v>
      </c>
      <c r="P84" s="2099"/>
      <c r="Q84" s="2099"/>
      <c r="R84" s="2099"/>
      <c r="S84" s="2099"/>
      <c r="T84" s="2099"/>
      <c r="U84" s="2099"/>
      <c r="V84" s="2135" t="s">
        <v>2345</v>
      </c>
      <c r="W84" s="2135"/>
      <c r="X84" s="2135"/>
      <c r="Y84" s="2135"/>
      <c r="Z84" s="2135"/>
      <c r="AA84" s="2135"/>
      <c r="AB84" s="2069" t="s">
        <v>2369</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2368</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2367</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2374</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2366</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2378</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2377</v>
      </c>
      <c r="C94" s="2151"/>
      <c r="D94" s="2151"/>
      <c r="E94" s="2151"/>
      <c r="F94" s="2151"/>
      <c r="G94" s="2151"/>
      <c r="H94" s="2151"/>
      <c r="I94" s="2151"/>
      <c r="J94" s="2151"/>
      <c r="K94" s="2151"/>
      <c r="L94" s="2151"/>
      <c r="M94" s="2151"/>
      <c r="N94" s="2151"/>
      <c r="O94" s="2151"/>
      <c r="P94" s="2151"/>
      <c r="Q94" s="2152"/>
      <c r="R94" s="2132" t="s">
        <v>2188</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2376</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2375</v>
      </c>
      <c r="AK96" s="2121"/>
      <c r="AL96" s="2121"/>
      <c r="AM96" s="2121"/>
      <c r="AN96" s="2121"/>
      <c r="AO96" s="2121"/>
      <c r="AP96" s="2121"/>
      <c r="AQ96" s="2121"/>
      <c r="AR96" s="2121"/>
      <c r="AS96" s="2121"/>
      <c r="AT96" s="2121"/>
      <c r="AU96" s="2121"/>
      <c r="AV96" s="2121"/>
      <c r="AW96" s="2121"/>
      <c r="AX96" s="2121"/>
      <c r="AY96" s="2137" t="s">
        <v>545</v>
      </c>
      <c r="AZ96" s="2137"/>
      <c r="BA96" s="2137"/>
      <c r="BB96" s="2138"/>
      <c r="BC96" s="1190"/>
      <c r="BD96" s="1190"/>
      <c r="BE96" s="1194"/>
      <c r="BQ96" s="1256" t="str">
        <f>Application!M243&amp;IF(TRIM(Application!AA249)&lt;&gt;""," ("&amp;Application!AA249&amp;")","")</f>
        <v>Las Palmas Foundation</v>
      </c>
      <c r="BR96" s="1259">
        <f>Application!AH246</f>
        <v>1E-3</v>
      </c>
      <c r="CM96" s="1188"/>
      <c r="CN96" s="1188"/>
      <c r="CO96" s="1188"/>
      <c r="CP96" s="1188"/>
    </row>
    <row r="97" spans="1:94" ht="15.75" customHeight="1">
      <c r="A97" s="1190"/>
      <c r="B97" s="2131"/>
      <c r="C97" s="2099"/>
      <c r="D97" s="2099"/>
      <c r="E97" s="2099"/>
      <c r="F97" s="2099"/>
      <c r="G97" s="2099"/>
      <c r="H97" s="2099"/>
      <c r="I97" s="2099" t="s">
        <v>2370</v>
      </c>
      <c r="J97" s="2099"/>
      <c r="K97" s="2099"/>
      <c r="L97" s="2099"/>
      <c r="M97" s="2099"/>
      <c r="N97" s="2099"/>
      <c r="O97" s="2099" t="s">
        <v>2346</v>
      </c>
      <c r="P97" s="2099"/>
      <c r="Q97" s="2099"/>
      <c r="R97" s="2099"/>
      <c r="S97" s="2099"/>
      <c r="T97" s="2099"/>
      <c r="U97" s="2099"/>
      <c r="V97" s="2135" t="s">
        <v>2345</v>
      </c>
      <c r="W97" s="2135"/>
      <c r="X97" s="2135"/>
      <c r="Y97" s="2135"/>
      <c r="Z97" s="2135"/>
      <c r="AA97" s="2135"/>
      <c r="AB97" s="2069" t="s">
        <v>2369</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Elysian West Hills, LLC (Capstone Equities, LLC / Elysian Housing, LLC)</v>
      </c>
      <c r="BR97" s="1259">
        <f>Application!AH254</f>
        <v>8.9999999999999993E-3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2368</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2367</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2374</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2366</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Aperto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2371</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2370</v>
      </c>
      <c r="J108" s="2099"/>
      <c r="K108" s="2099"/>
      <c r="L108" s="2099"/>
      <c r="M108" s="2099"/>
      <c r="N108" s="2099"/>
      <c r="O108" s="2099" t="s">
        <v>2346</v>
      </c>
      <c r="P108" s="2099"/>
      <c r="Q108" s="2099"/>
      <c r="R108" s="2099"/>
      <c r="S108" s="2099"/>
      <c r="T108" s="2099"/>
      <c r="U108" s="2099"/>
      <c r="V108" s="2135" t="s">
        <v>2345</v>
      </c>
      <c r="W108" s="2135"/>
      <c r="X108" s="2135"/>
      <c r="Y108" s="2135"/>
      <c r="Z108" s="2135"/>
      <c r="AA108" s="2135"/>
      <c r="AB108" s="2069" t="s">
        <v>2369</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2368</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2367</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2366</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2364</v>
      </c>
      <c r="C117" s="2105"/>
      <c r="D117" s="2105"/>
      <c r="E117" s="2105"/>
      <c r="F117" s="2105"/>
      <c r="G117" s="2105"/>
      <c r="H117" s="2105"/>
      <c r="I117" s="2105"/>
      <c r="J117" s="2105"/>
      <c r="K117" s="2105"/>
      <c r="L117" s="2105"/>
      <c r="M117" s="2105"/>
      <c r="N117" s="2105"/>
      <c r="O117" s="2105"/>
      <c r="P117" s="2105"/>
      <c r="Q117" s="2105"/>
      <c r="R117" s="2105"/>
      <c r="S117" s="2105"/>
      <c r="T117" s="2105"/>
      <c r="U117" s="2108" t="s">
        <v>545</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2364</v>
      </c>
      <c r="C121" s="2113"/>
      <c r="D121" s="2113"/>
      <c r="E121" s="2113"/>
      <c r="F121" s="2113"/>
      <c r="G121" s="2113"/>
      <c r="H121" s="2113"/>
      <c r="I121" s="2113"/>
      <c r="J121" s="2113"/>
      <c r="K121" s="2113"/>
      <c r="L121" s="2113"/>
      <c r="M121" s="2113"/>
      <c r="N121" s="2113"/>
      <c r="O121" s="2113"/>
      <c r="P121" s="2113"/>
      <c r="Q121" s="2113"/>
      <c r="R121" s="2113"/>
      <c r="S121" s="2113"/>
      <c r="T121" s="2113"/>
      <c r="U121" s="2116" t="s">
        <v>545</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2362</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1576</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2361</v>
      </c>
      <c r="J127" s="2099"/>
      <c r="K127" s="2099"/>
      <c r="L127" s="2099"/>
      <c r="M127" s="2099"/>
      <c r="N127" s="2099"/>
      <c r="O127" s="2100" t="s">
        <v>2360</v>
      </c>
      <c r="P127" s="2100"/>
      <c r="Q127" s="2100"/>
      <c r="R127" s="2100"/>
      <c r="S127" s="2100"/>
      <c r="T127" s="2100"/>
      <c r="U127" s="2101"/>
      <c r="V127" s="1190"/>
      <c r="W127" s="1190"/>
      <c r="X127" s="2039" t="s">
        <v>2330</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2344</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2343</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2358</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2346</v>
      </c>
      <c r="J134" s="2074"/>
      <c r="K134" s="2074"/>
      <c r="L134" s="2074"/>
      <c r="M134" s="2074"/>
      <c r="N134" s="2074"/>
      <c r="O134" s="2074"/>
      <c r="P134" s="2074" t="s">
        <v>2345</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2344</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2343</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2357</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545</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2356</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2355</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545</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2354</v>
      </c>
      <c r="C142" s="2082"/>
      <c r="D142" s="2082"/>
      <c r="E142" s="2082"/>
      <c r="F142" s="2082"/>
      <c r="G142" s="2082"/>
      <c r="H142" s="2082"/>
      <c r="I142" s="2082"/>
      <c r="J142" s="2082"/>
      <c r="K142" s="2082"/>
      <c r="L142" s="2082"/>
      <c r="M142" s="2082"/>
      <c r="N142" s="2082"/>
      <c r="O142" s="2082"/>
      <c r="P142" s="2082"/>
      <c r="Q142" s="2082"/>
      <c r="R142" s="2083" t="s">
        <v>2353</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249</v>
      </c>
      <c r="BD142" s="1190"/>
      <c r="BE142" s="1194"/>
    </row>
    <row r="143" spans="1:57" ht="15.75" customHeight="1">
      <c r="A143" s="1190"/>
      <c r="B143" s="2085" t="s">
        <v>2352</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2349</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2348</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2346</v>
      </c>
      <c r="J157" s="2074"/>
      <c r="K157" s="2074"/>
      <c r="L157" s="2074"/>
      <c r="M157" s="2074"/>
      <c r="N157" s="2074"/>
      <c r="O157" s="2074"/>
      <c r="P157" s="2074" t="s">
        <v>2347</v>
      </c>
      <c r="Q157" s="2074"/>
      <c r="R157" s="2074"/>
      <c r="S157" s="2074"/>
      <c r="T157" s="2074"/>
      <c r="U157" s="2075"/>
      <c r="V157" s="1190"/>
      <c r="W157" s="1190"/>
      <c r="X157" s="2036"/>
      <c r="Y157" s="2037"/>
      <c r="Z157" s="2037"/>
      <c r="AA157" s="2037"/>
      <c r="AB157" s="2037"/>
      <c r="AC157" s="2037"/>
      <c r="AD157" s="2037"/>
      <c r="AE157" s="2074" t="s">
        <v>2346</v>
      </c>
      <c r="AF157" s="2074"/>
      <c r="AG157" s="2074"/>
      <c r="AH157" s="2074"/>
      <c r="AI157" s="2074"/>
      <c r="AJ157" s="2074"/>
      <c r="AK157" s="2074"/>
      <c r="AL157" s="2074" t="s">
        <v>2345</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2344</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2344</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2343</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2342</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2327</v>
      </c>
      <c r="D163" s="2037"/>
      <c r="E163" s="2037"/>
      <c r="F163" s="2037"/>
      <c r="G163" s="2037"/>
      <c r="H163" s="2037"/>
      <c r="I163" s="2037"/>
      <c r="J163" s="2037"/>
      <c r="K163" s="2037"/>
      <c r="L163" s="2037"/>
      <c r="M163" s="2037"/>
      <c r="N163" s="2037"/>
      <c r="O163" s="2037"/>
      <c r="P163" s="2037"/>
      <c r="Q163" s="2037" t="s">
        <v>2341</v>
      </c>
      <c r="R163" s="2037"/>
      <c r="S163" s="2037"/>
      <c r="T163" s="2069" t="s">
        <v>2340</v>
      </c>
      <c r="U163" s="2069"/>
      <c r="V163" s="2069"/>
      <c r="W163" s="2069"/>
      <c r="X163" s="2069"/>
      <c r="Y163" s="2069"/>
      <c r="Z163" s="2069"/>
      <c r="AA163" s="2069"/>
      <c r="AB163" s="2037" t="s">
        <v>2339</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2338</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2337</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2336</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2335</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169</v>
      </c>
      <c r="D168" s="2052"/>
      <c r="E168" s="2052"/>
      <c r="F168" s="2053" t="s">
        <v>2316</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169</v>
      </c>
      <c r="D169" s="2052"/>
      <c r="E169" s="2052"/>
      <c r="F169" s="2053" t="s">
        <v>2316</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169</v>
      </c>
      <c r="D170" s="2058"/>
      <c r="E170" s="2058"/>
      <c r="F170" s="2059" t="s">
        <v>2316</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2334</v>
      </c>
      <c r="D172" s="2023"/>
      <c r="E172" s="2023"/>
      <c r="F172" s="2023"/>
      <c r="G172" s="2023"/>
      <c r="H172" s="2023"/>
      <c r="I172" s="2023"/>
      <c r="J172" s="2023"/>
      <c r="K172" s="2023"/>
      <c r="L172" s="2023"/>
      <c r="M172" s="2023"/>
      <c r="N172" s="2032"/>
      <c r="O172" s="1190"/>
      <c r="P172" s="2033" t="s">
        <v>2333</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2332</v>
      </c>
      <c r="D173" s="2037"/>
      <c r="E173" s="2037"/>
      <c r="F173" s="2037"/>
      <c r="G173" s="2037"/>
      <c r="H173" s="2037"/>
      <c r="I173" s="2037" t="s">
        <v>2331</v>
      </c>
      <c r="J173" s="2037"/>
      <c r="K173" s="2037"/>
      <c r="L173" s="2037"/>
      <c r="M173" s="2037"/>
      <c r="N173" s="2038"/>
      <c r="O173" s="1190"/>
      <c r="P173" s="2039" t="s">
        <v>2330</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2329</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2327</v>
      </c>
      <c r="D184" s="2023"/>
      <c r="E184" s="2023"/>
      <c r="F184" s="2023"/>
      <c r="G184" s="2023"/>
      <c r="H184" s="2023"/>
      <c r="I184" s="2023"/>
      <c r="J184" s="2023"/>
      <c r="K184" s="2023"/>
      <c r="L184" s="2023"/>
      <c r="M184" s="2023"/>
      <c r="N184" s="2023" t="s">
        <v>2328</v>
      </c>
      <c r="O184" s="2023"/>
      <c r="P184" s="2023"/>
      <c r="Q184" s="2023"/>
      <c r="R184" s="2023"/>
      <c r="S184" s="2023"/>
      <c r="T184" s="2023"/>
      <c r="U184" s="2024" t="s">
        <v>2327</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2326</v>
      </c>
      <c r="D185" s="2002"/>
      <c r="E185" s="2002"/>
      <c r="F185" s="2002"/>
      <c r="G185" s="2002"/>
      <c r="H185" s="2002"/>
      <c r="I185" s="2002"/>
      <c r="J185" s="2002"/>
      <c r="K185" s="2002"/>
      <c r="L185" s="2002"/>
      <c r="M185" s="2002"/>
      <c r="N185" s="2012">
        <f>'Sources and Uses Budget'!B105</f>
        <v>91683000</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2325</v>
      </c>
      <c r="D186" s="2002"/>
      <c r="E186" s="2002"/>
      <c r="F186" s="2002"/>
      <c r="G186" s="2002"/>
      <c r="H186" s="2002"/>
      <c r="I186" s="2002"/>
      <c r="J186" s="2002"/>
      <c r="K186" s="2002"/>
      <c r="L186" s="2002"/>
      <c r="M186" s="2002"/>
      <c r="N186" s="2012">
        <f>N185/J29</f>
        <v>573018.75</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2324</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2323</v>
      </c>
      <c r="D188" s="2002"/>
      <c r="E188" s="2002"/>
      <c r="F188" s="2002"/>
      <c r="G188" s="2002"/>
      <c r="H188" s="2002"/>
      <c r="I188" s="2002"/>
      <c r="J188" s="2002"/>
      <c r="K188" s="2002"/>
      <c r="L188" s="2002"/>
      <c r="M188" s="2002"/>
      <c r="N188" s="2031">
        <f>SUM('Sources and Uses Budget'!B85:B86)</f>
        <v>477677</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2322</v>
      </c>
      <c r="D189" s="2002"/>
      <c r="E189" s="2002"/>
      <c r="F189" s="2002"/>
      <c r="G189" s="2002"/>
      <c r="H189" s="2002"/>
      <c r="I189" s="2002"/>
      <c r="J189" s="2002"/>
      <c r="K189" s="2002"/>
      <c r="L189" s="2002"/>
      <c r="M189" s="2002"/>
      <c r="N189" s="2031">
        <f>'Sources and Uses Budget'!B8</f>
        <v>3500000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2320</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2321</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2320</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2319</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2318</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299</v>
      </c>
      <c r="D192" s="1994"/>
      <c r="E192" s="1986" t="s">
        <v>2316</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2317</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299</v>
      </c>
      <c r="D193" s="1985"/>
      <c r="E193" s="1986" t="s">
        <v>2316</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299</v>
      </c>
      <c r="D194" s="1973"/>
      <c r="E194" s="1974" t="s">
        <v>2316</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2315</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2314</v>
      </c>
      <c r="D195" s="1956"/>
      <c r="E195" s="1956"/>
      <c r="F195" s="1956"/>
      <c r="G195" s="1956"/>
      <c r="H195" s="1956"/>
      <c r="I195" s="1956"/>
      <c r="J195" s="1956"/>
      <c r="K195" s="1956"/>
      <c r="L195" s="1956"/>
      <c r="M195" s="1956"/>
      <c r="N195" s="1957">
        <f>SUM(N187:T194)</f>
        <v>3977677</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2313</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2312</v>
      </c>
      <c r="D196" s="1966"/>
      <c r="E196" s="1966"/>
      <c r="F196" s="1966"/>
      <c r="G196" s="1966"/>
      <c r="H196" s="1966"/>
      <c r="I196" s="1966"/>
      <c r="J196" s="1966"/>
      <c r="K196" s="1966"/>
      <c r="L196" s="1966"/>
      <c r="M196" s="1966"/>
      <c r="N196" s="1967">
        <f>(N185-N195)/J29</f>
        <v>548158.26875000005</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2311</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2310</v>
      </c>
      <c r="D200" s="1953"/>
      <c r="E200" s="1953"/>
      <c r="F200" s="1953"/>
      <c r="G200" s="1953"/>
      <c r="H200" s="1953"/>
      <c r="I200" s="1953"/>
      <c r="J200" s="1953"/>
      <c r="K200" s="1953"/>
      <c r="L200" s="1953"/>
      <c r="M200" s="1953"/>
      <c r="N200" s="1953"/>
      <c r="O200" s="1954" t="s">
        <v>2309</v>
      </c>
      <c r="P200" s="1954"/>
      <c r="Q200" s="1954"/>
      <c r="R200" s="1954"/>
      <c r="S200" s="1954"/>
      <c r="T200" s="1954"/>
      <c r="U200" s="1954"/>
      <c r="V200" s="1954"/>
      <c r="W200" s="1954"/>
      <c r="X200" s="1954" t="s">
        <v>2308</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2307</v>
      </c>
      <c r="D201" s="1945"/>
      <c r="E201" s="1945"/>
      <c r="F201" s="1945"/>
      <c r="G201" s="1945"/>
      <c r="H201" s="1945"/>
      <c r="I201" s="1945"/>
      <c r="J201" s="1945"/>
      <c r="K201" s="1945"/>
      <c r="L201" s="1945"/>
      <c r="M201" s="1945"/>
      <c r="N201" s="1945"/>
      <c r="O201" s="1946" t="s">
        <v>2306</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854</v>
      </c>
      <c r="D202" s="1945"/>
      <c r="E202" s="1945"/>
      <c r="F202" s="1945"/>
      <c r="G202" s="1945"/>
      <c r="H202" s="1945"/>
      <c r="I202" s="1945"/>
      <c r="J202" s="1945"/>
      <c r="K202" s="1945"/>
      <c r="L202" s="1945"/>
      <c r="M202" s="1945"/>
      <c r="N202" s="1945"/>
      <c r="O202" s="1946" t="s">
        <v>2306</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2305</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2304</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2303</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2302</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2301</v>
      </c>
      <c r="D207" s="1924"/>
      <c r="E207" s="1924"/>
      <c r="F207" s="1925"/>
      <c r="G207" s="1929" t="s">
        <v>2300</v>
      </c>
      <c r="H207" s="1924"/>
      <c r="I207" s="1924"/>
      <c r="J207" s="1924"/>
      <c r="K207" s="1924"/>
      <c r="L207" s="1924"/>
      <c r="M207" s="1924"/>
      <c r="N207" s="1924"/>
      <c r="O207" s="1925"/>
      <c r="P207" s="1931" t="s">
        <v>2299</v>
      </c>
      <c r="Q207" s="1932"/>
      <c r="R207" s="1932"/>
      <c r="S207" s="1932"/>
      <c r="T207" s="1933"/>
      <c r="U207" s="1937" t="s">
        <v>2298</v>
      </c>
      <c r="V207" s="1938"/>
      <c r="W207" s="1938"/>
      <c r="X207" s="1939"/>
      <c r="Y207" s="1937" t="s">
        <v>2297</v>
      </c>
      <c r="Z207" s="1938"/>
      <c r="AA207" s="1938"/>
      <c r="AB207" s="1939"/>
      <c r="AC207" s="1937" t="s">
        <v>2296</v>
      </c>
      <c r="AD207" s="1938"/>
      <c r="AE207" s="1938"/>
      <c r="AF207" s="1939"/>
      <c r="AG207" s="1929" t="s">
        <v>2295</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1884</v>
      </c>
      <c r="H209" s="1914"/>
      <c r="I209" s="1914"/>
      <c r="J209" s="1914"/>
      <c r="K209" s="1914"/>
      <c r="L209" s="1914"/>
      <c r="M209" s="1914"/>
      <c r="N209" s="1914"/>
      <c r="O209" s="1914"/>
      <c r="P209" s="1915"/>
      <c r="Q209" s="1918"/>
      <c r="R209" s="1918"/>
      <c r="S209" s="1918"/>
      <c r="T209" s="1918"/>
      <c r="U209" s="1916" t="s">
        <v>1884</v>
      </c>
      <c r="V209" s="1916"/>
      <c r="W209" s="1916"/>
      <c r="X209" s="1916"/>
      <c r="Y209" s="1916" t="s">
        <v>1884</v>
      </c>
      <c r="Z209" s="1916"/>
      <c r="AA209" s="1916"/>
      <c r="AB209" s="1916"/>
      <c r="AC209" s="1917" t="s">
        <v>1884</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1884</v>
      </c>
      <c r="H210" s="1914"/>
      <c r="I210" s="1914"/>
      <c r="J210" s="1914"/>
      <c r="K210" s="1914"/>
      <c r="L210" s="1914"/>
      <c r="M210" s="1914"/>
      <c r="N210" s="1914"/>
      <c r="O210" s="1914"/>
      <c r="P210" s="1915"/>
      <c r="Q210" s="1915"/>
      <c r="R210" s="1915"/>
      <c r="S210" s="1915"/>
      <c r="T210" s="1915"/>
      <c r="U210" s="1916" t="s">
        <v>1884</v>
      </c>
      <c r="V210" s="1916"/>
      <c r="W210" s="1916"/>
      <c r="X210" s="1916"/>
      <c r="Y210" s="1916" t="s">
        <v>1884</v>
      </c>
      <c r="Z210" s="1916"/>
      <c r="AA210" s="1916"/>
      <c r="AB210" s="1916"/>
      <c r="AC210" s="1917" t="s">
        <v>1884</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1884</v>
      </c>
      <c r="H211" s="1914"/>
      <c r="I211" s="1914"/>
      <c r="J211" s="1914"/>
      <c r="K211" s="1914"/>
      <c r="L211" s="1914"/>
      <c r="M211" s="1914"/>
      <c r="N211" s="1914"/>
      <c r="O211" s="1914"/>
      <c r="P211" s="1915"/>
      <c r="Q211" s="1915"/>
      <c r="R211" s="1915"/>
      <c r="S211" s="1915"/>
      <c r="T211" s="1915"/>
      <c r="U211" s="1916" t="s">
        <v>1884</v>
      </c>
      <c r="V211" s="1916"/>
      <c r="W211" s="1916"/>
      <c r="X211" s="1916"/>
      <c r="Y211" s="1916" t="s">
        <v>1884</v>
      </c>
      <c r="Z211" s="1916"/>
      <c r="AA211" s="1916"/>
      <c r="AB211" s="1916"/>
      <c r="AC211" s="1917" t="s">
        <v>1884</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1884</v>
      </c>
      <c r="H212" s="1914"/>
      <c r="I212" s="1914"/>
      <c r="J212" s="1914"/>
      <c r="K212" s="1914"/>
      <c r="L212" s="1914"/>
      <c r="M212" s="1914"/>
      <c r="N212" s="1914"/>
      <c r="O212" s="1914"/>
      <c r="P212" s="1915"/>
      <c r="Q212" s="1915"/>
      <c r="R212" s="1915"/>
      <c r="S212" s="1915"/>
      <c r="T212" s="1915"/>
      <c r="U212" s="1916" t="s">
        <v>1884</v>
      </c>
      <c r="V212" s="1916"/>
      <c r="W212" s="1916"/>
      <c r="X212" s="1916"/>
      <c r="Y212" s="1916" t="s">
        <v>1884</v>
      </c>
      <c r="Z212" s="1916"/>
      <c r="AA212" s="1916"/>
      <c r="AB212" s="1916"/>
      <c r="AC212" s="1917" t="s">
        <v>1884</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1884</v>
      </c>
      <c r="H213" s="1914"/>
      <c r="I213" s="1914"/>
      <c r="J213" s="1914"/>
      <c r="K213" s="1914"/>
      <c r="L213" s="1914"/>
      <c r="M213" s="1914"/>
      <c r="N213" s="1914"/>
      <c r="O213" s="1914"/>
      <c r="P213" s="1915"/>
      <c r="Q213" s="1915"/>
      <c r="R213" s="1915"/>
      <c r="S213" s="1915"/>
      <c r="T213" s="1915"/>
      <c r="U213" s="1916" t="s">
        <v>1884</v>
      </c>
      <c r="V213" s="1916"/>
      <c r="W213" s="1916"/>
      <c r="X213" s="1916"/>
      <c r="Y213" s="1916" t="s">
        <v>1884</v>
      </c>
      <c r="Z213" s="1916"/>
      <c r="AA213" s="1916"/>
      <c r="AB213" s="1916"/>
      <c r="AC213" s="1917" t="s">
        <v>1884</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1884</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1884</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1884</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2294</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2292</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2291</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2290</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2289</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2287</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2286</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2285</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2284</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2283</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441</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2282</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2281</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0" workbookViewId="0">
      <selection activeCell="AB50" sqref="AB50:AF50"/>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2" t="s">
        <v>1280</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NON-DDA/
NON-QCT Building(s)</v>
      </c>
      <c r="U7" s="2352"/>
      <c r="V7" s="2352"/>
      <c r="W7" s="2352"/>
      <c r="X7" s="2352"/>
      <c r="Y7" s="2352" t="str">
        <f>IF(T25=100%,"",'Sources and Basis Breakdown'!G2)</f>
        <v/>
      </c>
      <c r="Z7" s="2352"/>
      <c r="AA7" s="2352"/>
      <c r="AB7" s="2352"/>
      <c r="AC7" s="2352"/>
      <c r="AD7" s="2352" t="str">
        <f xml:space="preserve"> IF(T25=100%, 'Sources and Basis Breakdown'!J2,'Sources and Basis Breakdown'!I2)</f>
        <v>30% PVC for Acquisition
NON-DDA/
NON-QCT Building(s)</v>
      </c>
      <c r="AE7" s="2352"/>
      <c r="AF7" s="2352"/>
      <c r="AG7" s="2352"/>
      <c r="AH7" s="2352"/>
      <c r="AI7" s="2352" t="str">
        <f>IF(T25=100%,"",'Sources and Basis Breakdown'!J2)</f>
        <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374</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86256333</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497</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501</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7" t="s">
        <v>960</v>
      </c>
      <c r="D18" s="1567"/>
      <c r="E18" s="1567"/>
      <c r="F18" s="1567"/>
      <c r="G18" s="1567"/>
      <c r="H18" s="1567"/>
      <c r="I18" s="1567"/>
      <c r="J18" s="1567"/>
      <c r="K18" s="1567"/>
      <c r="L18" s="1567"/>
      <c r="M18" s="1567"/>
      <c r="N18" s="1567"/>
      <c r="O18" s="1567"/>
      <c r="P18" s="1567"/>
      <c r="Q18" s="1567"/>
      <c r="R18" s="1567"/>
      <c r="S18" s="1568"/>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7" t="s">
        <v>960</v>
      </c>
      <c r="D19" s="1567"/>
      <c r="E19" s="1567"/>
      <c r="F19" s="1567"/>
      <c r="G19" s="1567"/>
      <c r="H19" s="1567"/>
      <c r="I19" s="1567"/>
      <c r="J19" s="1567"/>
      <c r="K19" s="1567"/>
      <c r="L19" s="1567"/>
      <c r="M19" s="1567"/>
      <c r="N19" s="1567"/>
      <c r="O19" s="1567"/>
      <c r="P19" s="1567"/>
      <c r="Q19" s="1567"/>
      <c r="R19" s="1567"/>
      <c r="S19" s="1568"/>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86256333</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Application!AJ1053</f>
        <v>188034296.31999999</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1264</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86256333</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425</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86256333</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86256333</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1266</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1265</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53" t="s">
        <v>368</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86256333</v>
      </c>
      <c r="Z38" s="2332"/>
      <c r="AA38" s="2332"/>
      <c r="AB38" s="2332"/>
      <c r="AC38" s="2332"/>
      <c r="AD38" s="2332">
        <f>IF(T24&gt;=(T23+Y23+AD23+AI23),AD28+AI28,0)</f>
        <v>0</v>
      </c>
      <c r="AE38" s="2332"/>
      <c r="AF38" s="2332"/>
      <c r="AG38" s="2332"/>
      <c r="AH38" s="2332"/>
    </row>
    <row r="39" spans="1:76" ht="12.95" customHeight="1">
      <c r="B39" s="2338" t="s">
        <v>1691</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3450253</v>
      </c>
      <c r="Z40" s="2332"/>
      <c r="AA40" s="2332"/>
      <c r="AB40" s="2332"/>
      <c r="AC40" s="2332"/>
      <c r="AD40" s="235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3450253</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586</v>
      </c>
      <c r="C46" s="404" t="s">
        <v>281</v>
      </c>
    </row>
    <row r="47" spans="1:76" ht="12.95" customHeight="1">
      <c r="D47" s="404" t="s">
        <v>282</v>
      </c>
      <c r="AB47" s="2346">
        <f>'Sources and Uses Budget'!B105-MAX(IF('Sources and Uses Budget'!B15="",0,'Sources and Uses Budget'!B15),IF(Application!AG394="",0,Application!AG394))</f>
        <v>91683000</v>
      </c>
      <c r="AC47" s="2347"/>
      <c r="AD47" s="2347"/>
      <c r="AE47" s="2347"/>
      <c r="AF47" s="2348"/>
    </row>
    <row r="48" spans="1:76" ht="12.95" customHeight="1">
      <c r="D48" s="404" t="s">
        <v>21</v>
      </c>
      <c r="AB48" s="2346">
        <f>Application!AO639-MAX(IF('Sources and Uses Budget'!B15="",0,'Sources and Uses Budget'!B15),IF(Application!AG394="",0,Application!AG394))</f>
        <v>49593844</v>
      </c>
      <c r="AC48" s="2347"/>
      <c r="AD48" s="2347"/>
      <c r="AE48" s="2347"/>
      <c r="AF48" s="2348"/>
    </row>
    <row r="49" spans="1:76" ht="12.95" customHeight="1">
      <c r="D49" s="404" t="s">
        <v>91</v>
      </c>
      <c r="AB49" s="2346">
        <f>AB47-AB48</f>
        <v>42089156</v>
      </c>
      <c r="AC49" s="2347"/>
      <c r="AD49" s="2347"/>
      <c r="AE49" s="2347"/>
      <c r="AF49" s="2348"/>
    </row>
    <row r="50" spans="1:76" ht="12.95" customHeight="1">
      <c r="D50" s="404" t="s">
        <v>681</v>
      </c>
      <c r="AA50" s="415"/>
      <c r="AB50" s="2334">
        <v>0.91990806514176648</v>
      </c>
      <c r="AC50" s="2335"/>
      <c r="AD50" s="2335"/>
      <c r="AE50" s="2335"/>
      <c r="AF50" s="2336"/>
    </row>
    <row r="51" spans="1:76" s="417" customFormat="1" ht="12.95" customHeight="1">
      <c r="A51" s="402"/>
      <c r="B51" s="402"/>
      <c r="C51" s="402"/>
      <c r="D51" s="402"/>
      <c r="E51" s="2345" t="s">
        <v>2611</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6">
        <f>ROUND(IF(ISERROR((AB49/AB50)),0,(AB49/AB50)),0)</f>
        <v>45753655</v>
      </c>
      <c r="AC54" s="2347"/>
      <c r="AD54" s="2347"/>
      <c r="AE54" s="2347"/>
      <c r="AF54" s="2348"/>
    </row>
    <row r="55" spans="1:76" ht="12.95" customHeight="1">
      <c r="D55" s="404" t="s">
        <v>332</v>
      </c>
      <c r="AB55" s="2346">
        <f>(AB54/10)</f>
        <v>4575365.5</v>
      </c>
      <c r="AC55" s="2347"/>
      <c r="AD55" s="2347"/>
      <c r="AE55" s="2347"/>
      <c r="AF55" s="2348"/>
    </row>
    <row r="56" spans="1:76" ht="12.95" customHeight="1">
      <c r="D56" s="404" t="s">
        <v>756</v>
      </c>
      <c r="AB56" s="2346">
        <f>ROUND((IF((Y41&lt;AB55),Y41,AB55)),0)</f>
        <v>3450253</v>
      </c>
      <c r="AC56" s="2347"/>
      <c r="AD56" s="2347"/>
      <c r="AE56" s="2347"/>
      <c r="AF56" s="2348"/>
    </row>
    <row r="57" spans="1:76" ht="12.95" customHeight="1">
      <c r="D57" s="404" t="s">
        <v>755</v>
      </c>
      <c r="AB57" s="2346">
        <f>ROUND((10*AB56*AB50),0)</f>
        <v>31739156</v>
      </c>
      <c r="AC57" s="2347"/>
      <c r="AD57" s="2347"/>
      <c r="AE57" s="2347"/>
      <c r="AF57" s="2348"/>
    </row>
    <row r="58" spans="1:76" ht="12.95" customHeight="1">
      <c r="D58" s="404"/>
      <c r="AB58" s="423"/>
      <c r="AC58" s="423"/>
      <c r="AD58" s="423"/>
      <c r="AE58" s="423"/>
      <c r="AF58" s="423"/>
    </row>
    <row r="59" spans="1:76" ht="12.95" customHeight="1">
      <c r="D59" s="404" t="s">
        <v>754</v>
      </c>
      <c r="AB59" s="2330">
        <f>AB49-AB57</f>
        <v>10350000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589</v>
      </c>
      <c r="C63" s="205" t="s">
        <v>1248</v>
      </c>
      <c r="Y63" s="2341" t="s">
        <v>984</v>
      </c>
      <c r="Z63" s="2341"/>
      <c r="AA63" s="2341"/>
      <c r="AB63" s="2341"/>
      <c r="AC63" s="2341"/>
      <c r="AD63" s="2341" t="s">
        <v>368</v>
      </c>
      <c r="AE63" s="2341"/>
      <c r="AF63" s="2341"/>
      <c r="AG63" s="2341"/>
      <c r="AH63" s="234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86256333</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0.3</v>
      </c>
      <c r="Z67" s="2331"/>
      <c r="AA67" s="2331"/>
      <c r="AB67" s="2331"/>
      <c r="AC67" s="2331"/>
      <c r="AD67" s="2331">
        <f>IF(Application!Z205="15% set-aside with qualifying low value rehab", 0.95,IF(OR(Application!D211="At-Risk",'Points System'!B13="Yes"),0.13,0))</f>
        <v>0</v>
      </c>
      <c r="AE67" s="2331"/>
      <c r="AF67" s="2331"/>
      <c r="AG67" s="2331"/>
      <c r="AH67" s="2331"/>
    </row>
    <row r="68" spans="1:36" ht="12.95" customHeight="1">
      <c r="C68" s="404"/>
      <c r="D68" s="205" t="s">
        <v>2224</v>
      </c>
      <c r="Y68" s="2332">
        <f>ROUND(Y64*Y67,0)</f>
        <v>25876900</v>
      </c>
      <c r="Z68" s="2333"/>
      <c r="AA68" s="2333"/>
      <c r="AB68" s="2333"/>
      <c r="AC68" s="2333"/>
      <c r="AD68" s="2332">
        <f>ROUND(AD64*AD67,0)</f>
        <v>0</v>
      </c>
      <c r="AE68" s="2333"/>
      <c r="AF68" s="2333"/>
      <c r="AG68" s="2333"/>
      <c r="AH68" s="2333"/>
    </row>
    <row r="69" spans="1:36" ht="12.95" customHeight="1">
      <c r="C69" s="404"/>
      <c r="D69" s="205" t="s">
        <v>2225</v>
      </c>
      <c r="Y69" s="2332">
        <f>IF(OR(Application!Z205="State Farmworker Credit",Application!Z205="$500M (Farmworker Housing)"),Y68+AD68,MIN(Y68+AD68,200000*(Application!G753+Application!O777)))</f>
        <v>25876900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4">
        <v>0.9</v>
      </c>
      <c r="AC72" s="2335"/>
      <c r="AD72" s="2335"/>
      <c r="AE72" s="2335"/>
      <c r="AF72" s="2336"/>
    </row>
    <row r="73" spans="1:36" ht="12.95" customHeight="1">
      <c r="A73" s="404"/>
      <c r="C73" s="404"/>
      <c r="D73" s="404"/>
      <c r="E73" s="2337" t="s">
        <v>1251</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5">
        <f>ROUND(IF(ISERROR((AB59/AB72)),0,(AB59/AB72)),0)</f>
        <v>11500000</v>
      </c>
      <c r="AC77" s="2325"/>
      <c r="AD77" s="2325"/>
      <c r="AE77" s="2325"/>
      <c r="AF77" s="2325"/>
    </row>
    <row r="78" spans="1:36" ht="12.95" customHeight="1">
      <c r="C78" s="404"/>
      <c r="D78" s="205" t="s">
        <v>1253</v>
      </c>
      <c r="AB78" s="2326">
        <f>ROUNDUP(MIN(Y69,AB77),0)</f>
        <v>11500000</v>
      </c>
      <c r="AC78" s="2327"/>
      <c r="AD78" s="2327"/>
      <c r="AE78" s="2327"/>
      <c r="AF78" s="2328"/>
    </row>
    <row r="79" spans="1:36" ht="12.95" customHeight="1">
      <c r="C79" s="404"/>
      <c r="D79" s="205" t="s">
        <v>1254</v>
      </c>
      <c r="AB79" s="2329">
        <f>AB78*AB72</f>
        <v>10350000</v>
      </c>
      <c r="AC79" s="2329"/>
      <c r="AD79" s="2329"/>
      <c r="AE79" s="2329"/>
      <c r="AF79" s="2329"/>
    </row>
    <row r="80" spans="1:36" ht="12.95" customHeight="1">
      <c r="C80" s="404"/>
      <c r="D80" s="404"/>
      <c r="AB80" s="425"/>
      <c r="AC80" s="425"/>
      <c r="AD80" s="425"/>
      <c r="AE80" s="425"/>
      <c r="AF80" s="425"/>
    </row>
    <row r="81" spans="1:78" ht="12.95" customHeight="1">
      <c r="D81" s="404" t="s">
        <v>754</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5" workbookViewId="0">
      <selection activeCell="Y718" sqref="Y71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3" t="s">
        <v>1300</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1305</v>
      </c>
      <c r="AF7" s="2404"/>
      <c r="AG7" s="2404"/>
      <c r="AH7" s="2404"/>
      <c r="AI7" s="2404"/>
      <c r="AJ7" s="2404"/>
      <c r="AK7" s="240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591</v>
      </c>
      <c r="C13" s="2394"/>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591</v>
      </c>
      <c r="C16" s="2394"/>
      <c r="D16" s="547"/>
      <c r="E16" s="2405" t="s">
        <v>1307</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591</v>
      </c>
      <c r="C22" s="2394"/>
      <c r="D22" s="547"/>
      <c r="E22" s="2430" t="s">
        <v>1310</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591</v>
      </c>
      <c r="C25" s="2394"/>
      <c r="D25" s="547"/>
      <c r="E25" s="2395" t="s">
        <v>2033</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591</v>
      </c>
      <c r="C28" s="2394"/>
      <c r="D28" s="547"/>
      <c r="E28" s="2418" t="s">
        <v>2248</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4" t="s">
        <v>591</v>
      </c>
      <c r="C33" s="2394"/>
      <c r="D33" s="547"/>
      <c r="E33" s="2430" t="s">
        <v>2250</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591</v>
      </c>
      <c r="C36" s="2394"/>
      <c r="D36" s="547"/>
      <c r="E36" s="2395" t="s">
        <v>2251</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591</v>
      </c>
      <c r="C40" s="2394"/>
      <c r="D40" s="547"/>
      <c r="E40" s="2395" t="s">
        <v>2249</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591</v>
      </c>
      <c r="C45" s="2394"/>
      <c r="D45" s="1142"/>
      <c r="E45" s="2395" t="s">
        <v>2008</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591</v>
      </c>
      <c r="C52" s="2394"/>
      <c r="D52" s="540"/>
      <c r="E52" s="2395" t="s">
        <v>2013</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591</v>
      </c>
      <c r="C56" s="2394"/>
      <c r="D56" s="540"/>
      <c r="E56" s="2415" t="s">
        <v>2014</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591</v>
      </c>
      <c r="C58" s="2394"/>
      <c r="D58" s="540"/>
      <c r="E58" s="2395" t="s">
        <v>2015</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1314</v>
      </c>
      <c r="AF65" s="2404"/>
      <c r="AG65" s="2404"/>
      <c r="AH65" s="2404"/>
      <c r="AI65" s="2404"/>
      <c r="AJ65" s="2404"/>
      <c r="AK65" s="240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591</v>
      </c>
      <c r="C68" s="2394"/>
      <c r="D68" s="547" t="s">
        <v>1315</v>
      </c>
      <c r="E68" s="2405" t="s">
        <v>2016</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10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1316</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545</v>
      </c>
      <c r="C74" s="2394"/>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545</v>
      </c>
      <c r="F75" s="2394"/>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591</v>
      </c>
      <c r="F76" s="239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591</v>
      </c>
      <c r="F77" s="239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591</v>
      </c>
      <c r="F79" s="2394"/>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591</v>
      </c>
      <c r="C81" s="2394"/>
      <c r="D81" s="547" t="s">
        <v>1320</v>
      </c>
      <c r="E81" s="2395" t="s">
        <v>1740</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1305</v>
      </c>
      <c r="AF87" s="2404"/>
      <c r="AG87" s="2404"/>
      <c r="AH87" s="2404"/>
      <c r="AI87" s="2404"/>
      <c r="AJ87" s="2404"/>
      <c r="AK87" s="240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591</v>
      </c>
      <c r="C90" s="2394"/>
      <c r="D90" s="547" t="s">
        <v>1315</v>
      </c>
      <c r="E90" s="2405" t="s">
        <v>1325</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0.6</v>
      </c>
      <c r="F93" s="2389"/>
      <c r="G93" s="2389"/>
      <c r="H93" s="2389"/>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0</v>
      </c>
      <c r="F94" s="2391"/>
      <c r="G94" s="2391"/>
      <c r="H94" s="239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0</v>
      </c>
      <c r="F95" s="2422"/>
      <c r="G95" s="2422"/>
      <c r="H95" s="24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545</v>
      </c>
      <c r="C98" s="2394"/>
      <c r="D98" s="547" t="s">
        <v>1317</v>
      </c>
      <c r="E98" s="2405" t="s">
        <v>1725</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0.6</v>
      </c>
      <c r="F103" s="2389"/>
      <c r="G103" s="2389"/>
      <c r="H103" s="2389"/>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0.22151898734177214</v>
      </c>
      <c r="F104" s="2389"/>
      <c r="G104" s="2389"/>
      <c r="H104" s="2389"/>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v>
      </c>
      <c r="F105" s="2389"/>
      <c r="G105" s="2389"/>
      <c r="H105" s="2389"/>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1314</v>
      </c>
      <c r="AF112" s="2404"/>
      <c r="AG112" s="2404"/>
      <c r="AH112" s="2404"/>
      <c r="AI112" s="2404"/>
      <c r="AJ112" s="2404"/>
      <c r="AK112" s="2404"/>
      <c r="AL112" s="540"/>
      <c r="AM112" s="540"/>
      <c r="AN112" s="535"/>
      <c r="AO112" s="536" t="str">
        <f>Application!B718</f>
        <v>1 Bedroom</v>
      </c>
      <c r="AQ112" s="536">
        <f>Application!O718</f>
        <v>822</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1957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983</v>
      </c>
    </row>
    <row r="115" spans="1:52" s="536" customFormat="1" ht="12.75" customHeight="1">
      <c r="A115" s="540"/>
      <c r="B115" s="2394" t="s">
        <v>545</v>
      </c>
      <c r="C115" s="2394"/>
      <c r="D115" s="547" t="s">
        <v>1315</v>
      </c>
      <c r="E115" s="2405" t="s">
        <v>1857</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2 Bedrooms</v>
      </c>
      <c r="AQ115" s="536">
        <f>Application!O721</f>
        <v>2005</v>
      </c>
      <c r="AU115" s="536" t="s">
        <v>1840</v>
      </c>
      <c r="AV115" s="595" t="s">
        <v>1841</v>
      </c>
      <c r="AW115" s="536" t="s">
        <v>1842</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2 Bedrooms</v>
      </c>
      <c r="AQ116" s="536">
        <f>Application!O722</f>
        <v>2346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3 Bedrooms</v>
      </c>
      <c r="AQ117" s="536">
        <f>Application!O723</f>
        <v>2708</v>
      </c>
      <c r="AU117" s="856" t="str">
        <f>J124</f>
        <v>1-bedroom</v>
      </c>
      <c r="AV117" s="536">
        <f t="array" ref="AV117">SUM(IF(Application!B718:F752="1 Bedroom",Application!G718:J752))</f>
        <v>31</v>
      </c>
      <c r="AW117" s="1011">
        <f>AV117/AV122</f>
        <v>0.19620253164556961</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f>Application!B724</f>
        <v>0</v>
      </c>
      <c r="AQ118" s="536">
        <f>Application!O724</f>
        <v>0</v>
      </c>
      <c r="AU118" s="856" t="str">
        <f>O124</f>
        <v>2-bedroom</v>
      </c>
      <c r="AV118" s="536">
        <f t="array" ref="AV118">SUM(IF(Application!B718:F752="2 Bedrooms",Application!G718:J752))</f>
        <v>80</v>
      </c>
      <c r="AW118" s="1011">
        <f>AV118/AV122</f>
        <v>0.50632911392405067</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f>Application!B725</f>
        <v>0</v>
      </c>
      <c r="AQ119" s="536">
        <f>Application!O725</f>
        <v>0</v>
      </c>
      <c r="AU119" s="856" t="str">
        <f>T124</f>
        <v>3-bedroom</v>
      </c>
      <c r="AV119" s="536">
        <f t="array" ref="AV119">SUM(IF(Application!B718:F752="3 Bedrooms",Application!G718:J752))</f>
        <v>47</v>
      </c>
      <c r="AW119" s="1011">
        <f>AV119/AV122</f>
        <v>0.29746835443037972</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158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1588</v>
      </c>
      <c r="F124" s="2389"/>
      <c r="G124" s="2389"/>
      <c r="H124" s="2389"/>
      <c r="I124" s="577"/>
      <c r="J124" s="2389" t="s">
        <v>1631</v>
      </c>
      <c r="K124" s="2389"/>
      <c r="L124" s="2389"/>
      <c r="M124" s="2389"/>
      <c r="N124" s="577"/>
      <c r="O124" s="2389" t="s">
        <v>1632</v>
      </c>
      <c r="P124" s="2389"/>
      <c r="Q124" s="2389"/>
      <c r="R124" s="2389"/>
      <c r="S124" s="577"/>
      <c r="T124" s="2389" t="s">
        <v>1334</v>
      </c>
      <c r="U124" s="2389"/>
      <c r="V124" s="2389"/>
      <c r="W124" s="2389"/>
      <c r="X124" s="577"/>
      <c r="Y124" s="2389" t="s">
        <v>1633</v>
      </c>
      <c r="Z124" s="2389"/>
      <c r="AA124" s="2389"/>
      <c r="AB124" s="2389"/>
      <c r="AC124" s="577"/>
      <c r="AD124" s="2389" t="s">
        <v>1634</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v>2671</v>
      </c>
      <c r="K127" s="2449"/>
      <c r="L127" s="2449"/>
      <c r="M127" s="2449"/>
      <c r="N127" s="864"/>
      <c r="O127" s="2449">
        <v>2950</v>
      </c>
      <c r="P127" s="2449"/>
      <c r="Q127" s="2449"/>
      <c r="R127" s="2449"/>
      <c r="S127" s="864"/>
      <c r="T127" s="2449">
        <v>3546</v>
      </c>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1224.741935483871</v>
      </c>
      <c r="K130" s="2442"/>
      <c r="L130" s="2442"/>
      <c r="M130" s="2442"/>
      <c r="N130" s="864"/>
      <c r="O130" s="2442">
        <f>Application!EH670</f>
        <v>2013.7125000000001</v>
      </c>
      <c r="P130" s="2442"/>
      <c r="Q130" s="2442"/>
      <c r="R130" s="2442"/>
      <c r="S130" s="868"/>
      <c r="T130" s="2442">
        <f>Application!EM670</f>
        <v>2708</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0.54146689049649155</v>
      </c>
      <c r="K133" s="2391"/>
      <c r="L133" s="2391"/>
      <c r="M133" s="2641"/>
      <c r="N133" s="577"/>
      <c r="O133" s="2640">
        <f>(O127-O130)/O127</f>
        <v>0.31738559322033894</v>
      </c>
      <c r="P133" s="2391"/>
      <c r="Q133" s="2391"/>
      <c r="R133" s="2641"/>
      <c r="S133" s="577"/>
      <c r="T133" s="2640">
        <f>(T127-T130)/T127</f>
        <v>0.23632261703327692</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8.66169215531091E-2</v>
      </c>
      <c r="K136" s="2444"/>
      <c r="L136" s="2444"/>
      <c r="M136" s="2445"/>
      <c r="N136" s="577"/>
      <c r="O136" s="2443">
        <f>IF(((O133-0.1)*AW118)&gt;0,((O133-0.1)*AW118),0)</f>
        <v>0.11006865479510833</v>
      </c>
      <c r="P136" s="2444"/>
      <c r="Q136" s="2444"/>
      <c r="R136" s="2445"/>
      <c r="S136" s="577"/>
      <c r="T136" s="2443">
        <f>IF(((T133-0.1)*AW119)&gt;0,((T133-0.1)*AW119),0)</f>
        <v>4.055166456053174E-2</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0.23</v>
      </c>
      <c r="F138" s="2391"/>
      <c r="G138" s="2391"/>
      <c r="H138" s="2641"/>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4" t="s">
        <v>1314</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1338</v>
      </c>
      <c r="AG148" s="2439"/>
      <c r="AH148" s="2439"/>
      <c r="AI148" s="2439"/>
      <c r="AJ148" s="2439"/>
      <c r="AK148" s="2439"/>
      <c r="AL148" s="243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2612</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6" t="s">
        <v>1341</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67" t="s">
        <v>591</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6" t="s">
        <v>1343</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2475</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2476</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2474</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591</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1352</v>
      </c>
      <c r="AG168" s="2439"/>
      <c r="AH168" s="2439"/>
      <c r="AI168" s="2439"/>
      <c r="AJ168" s="2439"/>
      <c r="AK168" s="2439"/>
      <c r="AL168" s="243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1350</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591</v>
      </c>
      <c r="AG172" s="2467"/>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6" t="s">
        <v>1343</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8" t="str">
        <f>Application!AA335</f>
        <v>Aperto Property Management</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1314</v>
      </c>
      <c r="AF186" s="2404"/>
      <c r="AG186" s="2404"/>
      <c r="AH186" s="2404"/>
      <c r="AI186" s="2404"/>
      <c r="AJ186" s="2404"/>
      <c r="AK186" s="240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4" t="s">
        <v>1041</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1363</v>
      </c>
      <c r="AG188" s="2439"/>
      <c r="AH188" s="2439"/>
      <c r="AI188" s="2439"/>
      <c r="AJ188" s="2439"/>
      <c r="AK188" s="2439"/>
      <c r="AL188" s="2439"/>
      <c r="AN188" s="597"/>
      <c r="AP188" s="550" t="s">
        <v>1043</v>
      </c>
      <c r="AQ188" s="550">
        <v>10</v>
      </c>
    </row>
    <row r="189" spans="1:73" s="550" customFormat="1" ht="12.75" customHeight="1">
      <c r="A189" s="536"/>
      <c r="B189" s="2465" t="s">
        <v>1726</v>
      </c>
      <c r="C189" s="2465"/>
      <c r="D189" s="2465"/>
      <c r="E189" s="2465"/>
      <c r="F189" s="2465"/>
      <c r="G189" s="2465"/>
      <c r="H189" s="2465"/>
      <c r="I189" s="2465"/>
      <c r="J189" s="2465"/>
      <c r="K189" s="2465"/>
      <c r="L189" s="2465"/>
      <c r="M189" s="2465"/>
      <c r="N189" s="2465"/>
      <c r="O189" s="2465"/>
      <c r="P189" s="2465"/>
      <c r="Q189" s="2465"/>
      <c r="R189" s="2465"/>
      <c r="S189" s="2465"/>
      <c r="T189" s="2440" t="s">
        <v>591</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4">
        <f>IF(AK84&gt;0,VLOOKUP($B$188,AP185:AQ191,2,FALSE),0)</f>
        <v>10</v>
      </c>
      <c r="AL191" s="2475"/>
      <c r="AM191" s="2476"/>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1372</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2729</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v>12000000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1627</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1590</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6">
        <f>SUM(AD199:AJ209)-AD210</f>
        <v>12000000</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1607</v>
      </c>
      <c r="J222" s="2455"/>
      <c r="K222" s="2455"/>
      <c r="L222" s="536"/>
      <c r="M222" s="536"/>
      <c r="N222" s="536"/>
      <c r="O222" s="536"/>
      <c r="P222" s="536"/>
      <c r="Q222" s="536"/>
      <c r="R222" s="536"/>
      <c r="S222" s="536"/>
      <c r="T222" s="2643" t="s">
        <v>1601</v>
      </c>
      <c r="U222" s="2643"/>
      <c r="V222" s="2643"/>
      <c r="W222" s="2643"/>
      <c r="X222" s="2643"/>
      <c r="Y222" s="2643"/>
      <c r="Z222" s="849"/>
      <c r="AA222" s="489"/>
      <c r="AB222" s="2450" t="s">
        <v>1602</v>
      </c>
      <c r="AC222" s="2450"/>
      <c r="AD222" s="2450"/>
      <c r="AE222" s="2450"/>
      <c r="AF222" s="2450"/>
      <c r="AG222" s="2450"/>
      <c r="AH222" s="827"/>
      <c r="AI222" s="827"/>
      <c r="AJ222" s="827"/>
      <c r="AK222" s="610"/>
    </row>
    <row r="223" spans="1:37">
      <c r="A223" s="605"/>
      <c r="B223" s="2453" t="s">
        <v>1587</v>
      </c>
      <c r="C223" s="2453"/>
      <c r="D223" s="2453"/>
      <c r="E223" s="2453"/>
      <c r="F223" s="2453"/>
      <c r="G223" s="2453"/>
      <c r="I223" s="2454" t="s">
        <v>1608</v>
      </c>
      <c r="J223" s="2454"/>
      <c r="K223" s="2454"/>
      <c r="L223" s="1008"/>
      <c r="N223" s="2460" t="s">
        <v>1603</v>
      </c>
      <c r="O223" s="2460"/>
      <c r="P223" s="2460"/>
      <c r="Q223" s="2460"/>
      <c r="R223" s="2460"/>
      <c r="T223" s="2460" t="s">
        <v>1604</v>
      </c>
      <c r="U223" s="2460"/>
      <c r="V223" s="2460"/>
      <c r="W223" s="2460"/>
      <c r="X223" s="2460"/>
      <c r="Y223" s="2460"/>
      <c r="Z223" s="850"/>
      <c r="AA223" s="489"/>
      <c r="AB223" s="2597" t="s">
        <v>1605</v>
      </c>
      <c r="AC223" s="2597"/>
      <c r="AD223" s="2597"/>
      <c r="AE223" s="2597"/>
      <c r="AF223" s="2597"/>
      <c r="AG223" s="2597"/>
      <c r="AH223" s="827"/>
      <c r="AI223" s="827"/>
      <c r="AJ223" s="827"/>
      <c r="AK223" s="610"/>
    </row>
    <row r="224" spans="1:37">
      <c r="A224" s="605"/>
      <c r="B224" s="2457" t="s">
        <v>1184</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1184</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1184</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1184</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1184</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1184</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1184</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1184</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1184</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1184</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12000000</v>
      </c>
      <c r="AH268" s="2477"/>
      <c r="AI268" s="2477"/>
      <c r="AJ268" s="2477"/>
      <c r="AK268" s="2477"/>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91683000</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0.26</v>
      </c>
      <c r="AH270" s="2478"/>
      <c r="AI270" s="2478"/>
      <c r="AJ270" s="2478"/>
      <c r="AK270" s="2478"/>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545</v>
      </c>
      <c r="D278" s="2471"/>
      <c r="E278" s="547"/>
      <c r="F278" s="2628" t="s">
        <v>2024</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1363</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1382</v>
      </c>
      <c r="B292" s="1641"/>
      <c r="C292" s="2467" t="s">
        <v>545</v>
      </c>
      <c r="D292" s="2471"/>
      <c r="E292" s="547"/>
      <c r="F292" s="2499" t="s">
        <v>1383</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2017</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3" t="s">
        <v>2025</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1384</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1385</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1386</v>
      </c>
      <c r="B302" s="1641"/>
      <c r="C302" s="2471" t="s">
        <v>591</v>
      </c>
      <c r="D302" s="247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1" t="s">
        <v>2019</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1" t="s">
        <v>1389</v>
      </c>
      <c r="B310" s="1641"/>
      <c r="C310" s="2471" t="s">
        <v>591</v>
      </c>
      <c r="D310" s="247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3" t="s">
        <v>2026</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1184</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1184</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09" t="s">
        <v>1184</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09" t="s">
        <v>1184</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1" t="s">
        <v>1392</v>
      </c>
      <c r="B333" s="1641"/>
      <c r="C333" s="2471" t="s">
        <v>591</v>
      </c>
      <c r="D333" s="2471"/>
      <c r="E333" s="547"/>
      <c r="F333" s="2395" t="s">
        <v>2027</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4">
        <f>IF(NOT(OR(Application!M355="Yes",Application!M356="Yes")),0,AP295)</f>
        <v>10</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4" t="s">
        <v>1314</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1454</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6"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2092</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2207</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1455</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3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1456</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7</v>
      </c>
      <c r="AS359" s="539" t="s">
        <v>1457</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581</v>
      </c>
      <c r="AP361" s="696">
        <f>IF(C407="Yes",5,0)</f>
        <v>0</v>
      </c>
      <c r="AS361" s="539" t="s">
        <v>1878</v>
      </c>
    </row>
    <row r="362" spans="1:46" s="550" customFormat="1" ht="12.75" customHeight="1">
      <c r="A362" s="603"/>
      <c r="B362" s="611"/>
      <c r="C362" s="2535" t="s">
        <v>2231</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763</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584</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6"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3" t="s">
        <v>1458</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456</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461</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646</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1">
        <f>Application!DU802-U374</f>
        <v>332</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6">
        <f>IF(AP375&gt;0,AP375,0)</f>
        <v>0</v>
      </c>
      <c r="AR375" s="2536"/>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7" t="s">
        <v>1460</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591</v>
      </c>
      <c r="D381" s="247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1462</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7" t="s">
        <v>1463</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591</v>
      </c>
      <c r="D389" s="247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1462</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7" t="s">
        <v>1465</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545</v>
      </c>
      <c r="D397" s="247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1467</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591</v>
      </c>
      <c r="D399" s="247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1462</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7" t="s">
        <v>1471</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591</v>
      </c>
      <c r="D407" s="247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1462</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545</v>
      </c>
      <c r="D409" s="247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1474</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591</v>
      </c>
      <c r="D412" s="2471"/>
      <c r="E412" s="715" t="s">
        <v>1475</v>
      </c>
      <c r="F412" s="2517" t="s">
        <v>1476</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1462</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7" t="s">
        <v>1478</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591</v>
      </c>
      <c r="D421" s="247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1462</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591</v>
      </c>
      <c r="D423" s="247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1474</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7" t="s">
        <v>1482</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6"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591</v>
      </c>
      <c r="D430" s="247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1462</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517" t="s">
        <v>1485</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591</v>
      </c>
      <c r="D442" s="247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1462</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7" t="s">
        <v>1488</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591</v>
      </c>
      <c r="D449" s="247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1462</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591</v>
      </c>
      <c r="D453" s="2521"/>
      <c r="E453" s="715" t="s">
        <v>1497</v>
      </c>
      <c r="F453" s="2517" t="s">
        <v>1498</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1462</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850000000000001"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591</v>
      </c>
      <c r="D457" s="2471"/>
      <c r="E457" s="715" t="s">
        <v>1503</v>
      </c>
      <c r="F457" s="2517" t="s">
        <v>1504</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1462</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7" t="s">
        <v>1507</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591</v>
      </c>
      <c r="D466" s="247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1462</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5" t="s">
        <v>1511</v>
      </c>
      <c r="AF472" s="2515"/>
      <c r="AG472" s="2515"/>
      <c r="AH472" s="2515"/>
      <c r="AI472" s="2515"/>
      <c r="AJ472" s="2515"/>
      <c r="AK472" s="2515"/>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0" t="s">
        <v>591</v>
      </c>
      <c r="D478" s="2541"/>
      <c r="E478" s="761" t="s">
        <v>507</v>
      </c>
      <c r="F478" s="2542" t="s">
        <v>1517</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6" t="s">
        <v>591</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7" t="s">
        <v>545</v>
      </c>
      <c r="D482" s="2618"/>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5" t="s">
        <v>591</v>
      </c>
      <c r="W485" s="2615"/>
      <c r="X485" s="261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5" t="s">
        <v>591</v>
      </c>
      <c r="W487" s="2615"/>
      <c r="X487" s="261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5" t="s">
        <v>591</v>
      </c>
      <c r="W492" s="2615"/>
      <c r="X492" s="261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5"/>
      <c r="E495" s="2605"/>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5" t="s">
        <v>591</v>
      </c>
      <c r="W496" s="2615"/>
      <c r="X496" s="261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5" t="s">
        <v>591</v>
      </c>
      <c r="W498" s="2615"/>
      <c r="X498" s="261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591</v>
      </c>
      <c r="D501" s="2541"/>
      <c r="E501" s="761" t="s">
        <v>507</v>
      </c>
      <c r="F501" s="2542" t="s">
        <v>1517</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591</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591</v>
      </c>
      <c r="D505" s="2541"/>
      <c r="E505" s="761" t="s">
        <v>757</v>
      </c>
      <c r="F505" s="2612" t="s">
        <v>1539</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591</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591</v>
      </c>
      <c r="D510" s="2541"/>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591</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591</v>
      </c>
      <c r="D515" s="2545"/>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591</v>
      </c>
      <c r="D519" s="2545"/>
      <c r="F519" s="795" t="s">
        <v>1547</v>
      </c>
      <c r="G519" s="2518" t="s">
        <v>1548</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591</v>
      </c>
      <c r="D523" s="2547"/>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591</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1560</v>
      </c>
      <c r="AF538" s="2404"/>
      <c r="AG538" s="2404"/>
      <c r="AH538" s="2404"/>
      <c r="AI538" s="2404"/>
      <c r="AJ538" s="2404"/>
      <c r="AK538" s="240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545</v>
      </c>
      <c r="D541" s="2471"/>
      <c r="E541" s="551"/>
      <c r="F541" s="2598" t="s">
        <v>1561</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545</v>
      </c>
      <c r="D544" s="247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1563</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1564</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102192553</v>
      </c>
      <c r="AQ550" s="2620"/>
      <c r="AR550" s="2620"/>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86256333</v>
      </c>
      <c r="AG551" s="2477"/>
      <c r="AH551" s="2477"/>
      <c r="AI551" s="2477"/>
      <c r="AJ551" s="2477"/>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188034296.31999999</v>
      </c>
      <c r="AG552" s="2625"/>
      <c r="AH552" s="2625"/>
      <c r="AI552" s="2625"/>
      <c r="AJ552" s="2625"/>
      <c r="AK552" s="595"/>
      <c r="AL552" s="595"/>
      <c r="AM552" s="595"/>
      <c r="AN552" s="597"/>
      <c r="AP552" s="2620">
        <f>Application!AJ1045</f>
        <v>0</v>
      </c>
      <c r="AQ552" s="2620"/>
      <c r="AR552" s="26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1.08</v>
      </c>
      <c r="AG553" s="2626"/>
      <c r="AH553" s="2626"/>
      <c r="AI553" s="2626"/>
      <c r="AJ553" s="2626"/>
      <c r="AK553" s="595"/>
      <c r="AL553" s="595"/>
      <c r="AM553" s="595"/>
      <c r="AN553" s="597"/>
      <c r="AP553" s="2623">
        <f>Application!AJ1049</f>
        <v>44964723.32</v>
      </c>
      <c r="AQ553" s="2623"/>
      <c r="AR553" s="262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0.44</v>
      </c>
      <c r="AQ554" s="2619"/>
      <c r="AR554" s="2619"/>
      <c r="AS554" s="550" t="s">
        <v>2171</v>
      </c>
    </row>
    <row r="555" spans="1:49" s="550" customFormat="1" ht="12.75" customHeight="1">
      <c r="A555" s="624"/>
      <c r="B555" s="2556" t="s">
        <v>2031</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143069573</v>
      </c>
      <c r="AQ556" s="2529"/>
      <c r="AR556" s="2529"/>
      <c r="AS556" s="550" t="s">
        <v>2173</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188034296.31999999</v>
      </c>
      <c r="AQ557" s="2620"/>
      <c r="AR557" s="26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5">
        <f>IFERROR(IF(AND(C541="N/A",C544="N/A"),0,IF(AF553=0,0,IF((AF553*100)&gt;12,12,(AF553*100)))),0)</f>
        <v>12</v>
      </c>
      <c r="AL559" s="2565"/>
      <c r="AM559" s="2566"/>
      <c r="AN559" s="597"/>
      <c r="AP559" s="2637">
        <f>AP556+(AP550*AP554)</f>
        <v>188034296.31999999</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1314</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2022</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1338</v>
      </c>
      <c r="AG578" s="2439"/>
      <c r="AH578" s="2439"/>
      <c r="AI578" s="2439"/>
      <c r="AJ578" s="2439"/>
      <c r="AK578" s="2439"/>
      <c r="AL578" s="243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1396</v>
      </c>
      <c r="AG585" s="2439"/>
      <c r="AH585" s="2439"/>
      <c r="AI585" s="2439"/>
      <c r="AJ585" s="2439"/>
      <c r="AK585" s="2439"/>
      <c r="AL585" s="243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1378</v>
      </c>
      <c r="AG591" s="2439"/>
      <c r="AH591" s="2439"/>
      <c r="AI591" s="2439"/>
      <c r="AJ591" s="2439"/>
      <c r="AK591" s="2439"/>
      <c r="AL591" s="243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1399</v>
      </c>
      <c r="AG597" s="2439"/>
      <c r="AH597" s="2439"/>
      <c r="AI597" s="2439"/>
      <c r="AJ597" s="2439"/>
      <c r="AK597" s="2439"/>
      <c r="AL597" s="243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5" t="s">
        <v>1184</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1352</v>
      </c>
      <c r="AG603" s="2439"/>
      <c r="AH603" s="2439"/>
      <c r="AI603" s="2439"/>
      <c r="AJ603" s="2439"/>
      <c r="AK603" s="2439"/>
      <c r="AL603" s="243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3" t="s">
        <v>687</v>
      </c>
      <c r="I606" s="2523"/>
      <c r="J606" s="936"/>
      <c r="K606" s="936"/>
      <c r="L606" s="936"/>
      <c r="N606" s="22"/>
      <c r="O606" s="22"/>
      <c r="P606" s="22"/>
      <c r="Q606" s="1151" t="s">
        <v>2176</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4" t="s">
        <v>591</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7" t="s">
        <v>591</v>
      </c>
      <c r="C616" s="2467"/>
      <c r="D616" s="642"/>
      <c r="E616" s="2494" t="s">
        <v>1403</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4">
        <f>VLOOKUP($H$606,$AO$586:$AP$591,2,FALSE)+IF(R606=AO594,0,VLOOKUP($I$614,$AO$613:$AP$615,2,FALSE))</f>
        <v>7</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2" t="s">
        <v>1694</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1352</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7" t="s">
        <v>591</v>
      </c>
      <c r="Y634" s="246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1408</v>
      </c>
      <c r="AG636" s="2439"/>
      <c r="AH636" s="2439"/>
      <c r="AI636" s="2439"/>
      <c r="AJ636" s="2439"/>
      <c r="AK636" s="2439"/>
      <c r="AL636" s="243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3" t="s">
        <v>687</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4">
        <f>VLOOKUP($H$638,$AO$605:$AP$607,2,FALSE)</f>
        <v>3</v>
      </c>
      <c r="AK640" s="2476"/>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4" t="s">
        <v>2097</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1352</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1408</v>
      </c>
      <c r="AG647" s="2439"/>
      <c r="AH647" s="2439"/>
      <c r="AI647" s="2439"/>
      <c r="AJ647" s="2439"/>
      <c r="AK647" s="2439"/>
      <c r="AL647" s="243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3" t="s">
        <v>591</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4">
        <f>VLOOKUP(H650,AT605:AU607,2,FALSE)</f>
        <v>0</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4" t="s">
        <v>1418</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1378</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4" t="s">
        <v>1419</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1399</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4" t="s">
        <v>1420</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1352</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591</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4" t="s">
        <v>1421</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1399</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4" t="s">
        <v>1422</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1352</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4" t="s">
        <v>1423</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1408</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4" t="s">
        <v>1424</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1425</v>
      </c>
      <c r="AG681" s="2439"/>
      <c r="AH681" s="2439"/>
      <c r="AI681" s="2439"/>
      <c r="AJ681" s="2439"/>
      <c r="AK681" s="2439"/>
      <c r="AL681" s="2439"/>
      <c r="AM681" s="596"/>
      <c r="AN681" s="597"/>
      <c r="AO681" s="611" t="s">
        <v>687</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3" t="s">
        <v>509</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4">
        <f>VLOOKUP($H$685,$AO$633:$AP$640,2,FALSE)</f>
        <v>4</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158</v>
      </c>
    </row>
    <row r="691" spans="1:51" s="550" customFormat="1" ht="12.75" customHeight="1">
      <c r="A691" s="679"/>
      <c r="B691" s="536"/>
      <c r="C691" s="948"/>
      <c r="D691" s="663" t="s">
        <v>687</v>
      </c>
      <c r="E691" s="2530" t="s">
        <v>2189</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1352</v>
      </c>
      <c r="AG691" s="2439"/>
      <c r="AH691" s="2439"/>
      <c r="AI691" s="2439"/>
      <c r="AJ691" s="2439"/>
      <c r="AK691" s="2439"/>
      <c r="AL691" s="2439"/>
      <c r="AN691" s="597"/>
      <c r="AW691" s="22" t="s">
        <v>2184</v>
      </c>
      <c r="AX691" s="550">
        <f>Application!DE753</f>
        <v>47</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4" t="s">
        <v>2133</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1352</v>
      </c>
      <c r="AG694" s="2439"/>
      <c r="AH694" s="2439"/>
      <c r="AI694" s="2439"/>
      <c r="AJ694" s="2439"/>
      <c r="AK694" s="2439"/>
      <c r="AL694" s="2439"/>
      <c r="AN694" s="597"/>
      <c r="AW694" s="22" t="s">
        <v>2187</v>
      </c>
      <c r="AX694" s="550">
        <f>AX691+AX692+AX693</f>
        <v>47</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1</v>
      </c>
      <c r="AP695" s="2529"/>
      <c r="AW695" s="22" t="s">
        <v>2188</v>
      </c>
      <c r="AX695" s="550">
        <f>IFERROR(AX694/AX690,0)</f>
        <v>0.29746835443037972</v>
      </c>
      <c r="AY695" s="550">
        <f>IFERROR(AX694/(AX690-AX689),0)</f>
        <v>0.29746835443037972</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4" t="s">
        <v>2134</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1408</v>
      </c>
      <c r="AG699" s="2439"/>
      <c r="AH699" s="2439"/>
      <c r="AI699" s="2439"/>
      <c r="AJ699" s="2439"/>
      <c r="AK699" s="2439"/>
      <c r="AL699" s="2439"/>
      <c r="AN699" s="597"/>
      <c r="AO699" s="611" t="s">
        <v>509</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4" t="s">
        <v>1693</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3" t="s">
        <v>509</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4">
        <f>VLOOKUP($H$709,$AO$703:$AP$706,2,FALSE)</f>
        <v>3</v>
      </c>
      <c r="AK711" s="2476"/>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1352</v>
      </c>
      <c r="AG715" s="2439"/>
      <c r="AH715" s="2439"/>
      <c r="AI715" s="2439"/>
      <c r="AJ715" s="2439"/>
      <c r="AK715" s="2439"/>
      <c r="AL715" s="2439"/>
      <c r="AM715" s="550"/>
      <c r="AN715" s="684"/>
      <c r="AP715" s="570" t="s">
        <v>1432</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1408</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1400</v>
      </c>
      <c r="E723" s="936"/>
      <c r="F723" s="936"/>
      <c r="G723" s="936"/>
      <c r="H723" s="2523" t="s">
        <v>591</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4" t="s">
        <v>1696</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1352</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4" t="s">
        <v>1439</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1408</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3" t="s">
        <v>591</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4" t="s">
        <v>1442</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1352</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4" t="s">
        <v>1443</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1408</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3" t="s">
        <v>687</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4">
        <f>VLOOKUP($H$751,$AO$680:$AP$682,2,FALSE)</f>
        <v>3</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4" t="s">
        <v>1445</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1408</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4" t="s">
        <v>1446</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1425</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3" t="s">
        <v>687</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4" t="s">
        <v>1692</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1408</v>
      </c>
      <c r="AG769" s="2439"/>
      <c r="AH769" s="2439"/>
      <c r="AI769" s="2439"/>
      <c r="AJ769" s="2439"/>
      <c r="AK769" s="2439"/>
      <c r="AL769" s="2439"/>
      <c r="AM769" s="613"/>
      <c r="AN769" s="684"/>
      <c r="AO769" s="550" t="s">
        <v>591</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1352</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3" t="s">
        <v>591</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4" t="s">
        <v>2032</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1352</v>
      </c>
      <c r="AG785" s="2439"/>
      <c r="AH785" s="2439"/>
      <c r="AI785" s="2439"/>
      <c r="AJ785" s="2439"/>
      <c r="AK785" s="2439"/>
      <c r="AL785" s="2439"/>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3" t="s">
        <v>545</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4">
        <f>VLOOKUP($H$790,$AO$784:$AP$785,2,FALSE)</f>
        <v>3</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1568</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1569</v>
      </c>
      <c r="U802" s="2571"/>
      <c r="V802" s="2571"/>
      <c r="W802" s="2571"/>
      <c r="X802" s="2571"/>
      <c r="Y802" s="2572"/>
      <c r="Z802" s="2570" t="s">
        <v>1570</v>
      </c>
      <c r="AA802" s="2571"/>
      <c r="AB802" s="2571"/>
      <c r="AC802" s="2571"/>
      <c r="AD802" s="2571"/>
      <c r="AE802" s="2572"/>
      <c r="AF802" s="2570" t="s">
        <v>1571</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757</v>
      </c>
      <c r="B804" s="2550" t="s">
        <v>1304</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1541</v>
      </c>
      <c r="B805" s="2550" t="s">
        <v>1313</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1550</v>
      </c>
      <c r="B806" s="2550" t="s">
        <v>1323</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1572</v>
      </c>
      <c r="B807" s="2550" t="s">
        <v>1333</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1573</v>
      </c>
      <c r="B808" s="2550" t="s">
        <v>1574</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1575</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1576</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1361</v>
      </c>
      <c r="B811" s="2550" t="s">
        <v>1577</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1370</v>
      </c>
      <c r="B812" s="2550" t="s">
        <v>1371</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589</v>
      </c>
      <c r="B813" s="2550" t="s">
        <v>1578</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0" t="s">
        <v>1579</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0" t="s">
        <v>1381</v>
      </c>
      <c r="C815" s="2550"/>
      <c r="D815" s="2550"/>
      <c r="E815" s="2550"/>
      <c r="F815" s="2550"/>
      <c r="G815" s="2550"/>
      <c r="H815" s="2550"/>
      <c r="I815" s="2550"/>
      <c r="J815" s="2550"/>
      <c r="K815" s="2550"/>
      <c r="L815" s="2550"/>
      <c r="M815" s="2550"/>
      <c r="N815" s="2550"/>
      <c r="O815" s="2550"/>
      <c r="P815" s="2550"/>
      <c r="Q815" s="2550"/>
      <c r="R815" s="2550"/>
      <c r="S815" s="2551"/>
      <c r="T815" s="2576">
        <f>AK338</f>
        <v>10</v>
      </c>
      <c r="U815" s="2576"/>
      <c r="V815" s="2576"/>
      <c r="W815" s="2576"/>
      <c r="X815" s="2576"/>
      <c r="Y815" s="2576"/>
      <c r="Z815" s="2582">
        <v>10</v>
      </c>
      <c r="AA815" s="2583"/>
      <c r="AB815" s="2583"/>
      <c r="AC815" s="2583"/>
      <c r="AD815" s="2583"/>
      <c r="AE815" s="2584"/>
      <c r="AF815" s="2582">
        <f>IF(T815&gt;Z815,Z815,T815)</f>
        <v>10</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69">
        <f>AK338</f>
        <v>10</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0" t="s">
        <v>845</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0" t="s">
        <v>1559</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0" t="s">
        <v>1581</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1582</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1583</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1584</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120</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Jessica Chuidian-Ingersoll</cp:lastModifiedBy>
  <cp:lastPrinted>2024-12-09T20:28:29Z</cp:lastPrinted>
  <dcterms:created xsi:type="dcterms:W3CDTF">2007-12-27T18:26:28Z</dcterms:created>
  <dcterms:modified xsi:type="dcterms:W3CDTF">2025-09-09T00:09:50Z</dcterms:modified>
</cp:coreProperties>
</file>