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Z:\Frank\2025 Consulting\TCAC\Perkins\"/>
    </mc:Choice>
  </mc:AlternateContent>
  <xr:revisionPtr revIDLastSave="0" documentId="13_ncr:1_{2A7982B2-B986-4C46-BDC8-BD2FEE0D8B15}" xr6:coauthVersionLast="47" xr6:coauthVersionMax="47" xr10:uidLastSave="{00000000-0000-0000-0000-000000000000}"/>
  <bookViews>
    <workbookView xWindow="-120" yWindow="-120" windowWidth="38640" windowHeight="15720" tabRatio="911"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6" i="3" l="1"/>
  <c r="AM555" i="3"/>
  <c r="AB243" i="20"/>
  <c r="AB240" i="20"/>
  <c r="AD199" i="20"/>
  <c r="AO640" i="3"/>
  <c r="AO630" i="3"/>
  <c r="AO627" i="3"/>
  <c r="AF627" i="3" s="1"/>
  <c r="C99" i="4"/>
  <c r="E31" i="4"/>
  <c r="Q632" i="3"/>
  <c r="M961" i="3"/>
  <c r="AA918" i="3"/>
  <c r="W861" i="3"/>
  <c r="T858" i="3"/>
  <c r="W866" i="3"/>
  <c r="W854" i="3"/>
  <c r="Q627" i="3"/>
  <c r="Q558" i="3"/>
  <c r="Q559" i="3"/>
  <c r="Q554" i="3"/>
  <c r="AM557"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9" i="8"/>
  <c r="I9"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J6" i="8" s="1"/>
  <c r="A7" i="8"/>
  <c r="D7" i="8"/>
  <c r="I7" i="8" s="1"/>
  <c r="A8" i="8"/>
  <c r="D8" i="8"/>
  <c r="I8" i="8" s="1"/>
  <c r="A9" i="8"/>
  <c r="D9" i="8"/>
  <c r="A10" i="8"/>
  <c r="D10" i="8"/>
  <c r="I10" i="8" s="1"/>
  <c r="J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J11" i="8" l="1"/>
  <c r="J5" i="8"/>
  <c r="J8"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7" i="21" l="1"/>
  <c r="O26" i="21"/>
  <c r="O25" i="21"/>
  <c r="O24" i="21"/>
  <c r="O23" i="21"/>
  <c r="O22" i="21"/>
  <c r="O21" i="2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16" i="3"/>
  <c r="BE44" i="3"/>
  <c r="F457" i="3"/>
  <c r="AC456"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<sst xmlns="http://schemas.openxmlformats.org/spreadsheetml/2006/main" count="5017" uniqueCount="2730">
  <si>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</si>
  <si>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</si>
  <si>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</si>
  <si>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</si>
  <si>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</si>
  <si>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</si>
  <si>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</si>
  <si>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</si>
  <si>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</si>
  <si>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</si>
  <si>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</si>
  <si>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</si>
  <si>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</si>
  <si>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</si>
  <si>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</si>
  <si>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</si>
  <si>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</si>
  <si>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</si>
  <si>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</si>
  <si>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</si>
  <si>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</si>
  <si>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</si>
  <si>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</si>
  <si>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</si>
  <si>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</si>
  <si>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</si>
  <si>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</si>
  <si>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</si>
  <si>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</si>
  <si>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</si>
  <si>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</si>
  <si>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</si>
  <si>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</si>
  <si>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</si>
  <si>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</si>
  <si>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</si>
  <si>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</si>
  <si>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</si>
  <si>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</si>
  <si>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</si>
  <si>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</si>
  <si>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</si>
  <si>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</si>
  <si>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</si>
  <si>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</si>
  <si>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</si>
  <si>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</si>
  <si>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</si>
  <si>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</si>
  <si>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</si>
  <si>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</si>
  <si>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</si>
  <si>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</si>
  <si>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</si>
  <si>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</si>
  <si>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</si>
  <si>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</si>
  <si>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</si>
  <si>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</si>
  <si>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</si>
  <si>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</si>
  <si>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</si>
  <si>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</si>
  <si>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</si>
  <si>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</si>
  <si>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</si>
  <si>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</si>
  <si>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</si>
  <si>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</si>
  <si>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</si>
  <si>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</si>
  <si>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</si>
  <si>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</si>
  <si>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</si>
  <si>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</si>
  <si>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</si>
  <si>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</si>
  <si>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</si>
  <si>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</si>
  <si>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</si>
  <si>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</si>
  <si>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</si>
  <si>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</si>
  <si>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</si>
  <si>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</si>
  <si>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</si>
  <si>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</si>
  <si>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</si>
  <si>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</si>
  <si>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</si>
  <si>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</si>
  <si>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</si>
  <si>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</si>
  <si>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</si>
  <si>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</si>
  <si>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</si>
  <si>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</si>
  <si>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</si>
  <si>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</si>
  <si>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</si>
  <si>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</si>
  <si>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</si>
  <si>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</si>
  <si>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</si>
  <si>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</si>
  <si>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</si>
  <si>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</si>
  <si>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</si>
  <si>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</si>
  <si>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</si>
  <si>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</si>
  <si>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</si>
  <si>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</si>
  <si>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</si>
  <si>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</si>
  <si>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</si>
  <si>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</si>
  <si>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</si>
  <si>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</si>
  <si>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</si>
  <si>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</si>
  <si>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</si>
  <si>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</si>
  <si>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</si>
  <si>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</si>
  <si>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</si>
  <si>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</si>
  <si>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</si>
  <si>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</si>
  <si>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</si>
  <si>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</si>
  <si>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</si>
  <si>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</si>
  <si>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</si>
  <si>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</si>
  <si>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</si>
  <si>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</si>
  <si>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</si>
  <si>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</si>
  <si>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</si>
  <si>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</si>
  <si>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</si>
  <si>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</si>
  <si>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</si>
  <si>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</si>
  <si>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</si>
  <si>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</si>
  <si>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</si>
  <si>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</si>
  <si>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</si>
  <si>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</si>
  <si>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</si>
  <si>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</si>
  <si>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</si>
  <si>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</si>
  <si>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</si>
  <si>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</si>
  <si>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</si>
  <si>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</si>
  <si>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</si>
  <si>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</si>
  <si>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</si>
  <si>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</si>
  <si>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</si>
  <si>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</si>
  <si>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</si>
  <si>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</si>
  <si>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</si>
  <si>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</si>
  <si>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</si>
  <si>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</si>
  <si>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</si>
  <si>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</si>
  <si>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</si>
  <si>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</si>
  <si>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</si>
  <si>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</si>
  <si>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</si>
  <si>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</si>
  <si>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</si>
  <si>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</si>
  <si>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</si>
  <si>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</si>
  <si>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</si>
  <si>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</si>
  <si>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</si>
  <si>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</si>
  <si>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</si>
  <si>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</si>
  <si>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</si>
  <si>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</si>
  <si>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</si>
  <si>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</si>
  <si>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</si>
  <si>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</si>
  <si>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</si>
  <si>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</si>
  <si>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</si>
  <si>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</si>
  <si>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</si>
  <si>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</si>
  <si>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</si>
  <si>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</si>
  <si>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</si>
  <si>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</si>
  <si>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</si>
  <si>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</si>
  <si>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</si>
  <si>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</si>
  <si>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</si>
  <si>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</si>
  <si>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</si>
  <si>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</si>
  <si>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</si>
  <si>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</si>
  <si>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</si>
  <si>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</si>
  <si>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</si>
  <si>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</si>
  <si>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</si>
  <si>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</si>
  <si>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</si>
  <si>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</si>
  <si>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</si>
  <si>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</si>
  <si>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</si>
  <si>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</si>
  <si>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</si>
  <si>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</si>
  <si>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</si>
  <si>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</si>
  <si>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</si>
  <si>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</si>
  <si>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</si>
  <si>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</si>
  <si>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</si>
  <si>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</si>
  <si>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</si>
  <si>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</si>
  <si>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</si>
  <si>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</si>
  <si>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</si>
  <si>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</si>
  <si>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</si>
  <si>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</si>
  <si>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</si>
  <si>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</si>
  <si>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</si>
  <si>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</si>
  <si>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</si>
  <si>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</si>
  <si>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</si>
  <si>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</si>
  <si>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</si>
  <si>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</si>
  <si>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</si>
  <si>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</si>
  <si>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</si>
  <si>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</si>
  <si>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</si>
  <si>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</si>
  <si>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</si>
  <si>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</si>
  <si>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</si>
  <si>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</si>
  <si>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</si>
  <si>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</si>
  <si>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</si>
  <si>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</si>
  <si>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</si>
  <si>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</si>
  <si>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</si>
  <si>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</si>
  <si>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</si>
  <si>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</si>
  <si>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</si>
  <si>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</si>
  <si>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</si>
  <si>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</si>
  <si>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</si>
  <si>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</si>
  <si>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</si>
  <si>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</si>
  <si>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</si>
  <si>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</si>
  <si>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</si>
  <si>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</si>
  <si>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</si>
  <si>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</si>
  <si>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</si>
  <si>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</si>
  <si>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</si>
  <si>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</si>
  <si>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</si>
  <si>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</si>
  <si>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</si>
  <si>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</si>
  <si>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</si>
  <si>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</si>
  <si>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</si>
  <si>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</si>
  <si>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</si>
  <si>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</si>
  <si>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</si>
  <si>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</si>
  <si>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</si>
  <si>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</si>
  <si>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</si>
  <si>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</si>
  <si>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</si>
  <si>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</si>
  <si>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</si>
  <si>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</si>
  <si>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</si>
  <si>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</si>
  <si>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</si>
  <si>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</si>
  <si>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</si>
  <si>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</si>
  <si>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</si>
  <si>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</si>
  <si>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</si>
  <si>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</si>
  <si>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</si>
  <si>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</si>
  <si>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</si>
  <si>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</si>
  <si>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</si>
  <si>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</si>
  <si>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</si>
  <si>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</si>
  <si>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</si>
  <si>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</si>
  <si>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</si>
  <si>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</si>
  <si>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</si>
  <si>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</si>
  <si>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</si>
  <si>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</si>
  <si>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</si>
  <si>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</si>
  <si>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</si>
  <si>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</si>
  <si>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</si>
  <si>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</si>
  <si>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</si>
  <si>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</si>
  <si>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</si>
  <si>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</si>
  <si>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</si>
  <si>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</si>
  <si>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</si>
  <si>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</si>
  <si>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</si>
  <si>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</si>
  <si>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</si>
  <si>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</si>
  <si>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</si>
  <si>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</si>
  <si>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</si>
  <si>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</si>
  <si>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</si>
  <si>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</si>
  <si>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</si>
  <si>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</si>
  <si>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</si>
  <si>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</si>
  <si>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</si>
  <si>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</si>
  <si>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</si>
  <si>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</si>
  <si>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</si>
  <si>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</si>
  <si>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</si>
  <si>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</si>
  <si>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</si>
  <si>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</si>
  <si>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</si>
  <si>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</si>
  <si>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</si>
  <si>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</si>
  <si>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</si>
  <si>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</si>
  <si>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</si>
  <si>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</si>
  <si>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</si>
  <si>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</si>
  <si>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</si>
  <si>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</si>
  <si>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</si>
  <si>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</si>
  <si>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</si>
  <si>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</si>
  <si>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</si>
  <si>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</si>
  <si>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</si>
  <si>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</si>
  <si>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</si>
  <si>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</si>
  <si>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</si>
  <si>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</si>
  <si>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</si>
  <si>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</si>
  <si>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</si>
  <si>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</si>
  <si>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</si>
  <si>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</si>
  <si>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</si>
  <si>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</si>
  <si>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</si>
  <si>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</si>
  <si>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</si>
  <si>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</si>
  <si>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</si>
  <si>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</si>
  <si>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</si>
  <si>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</si>
  <si>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</si>
  <si>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</si>
  <si>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</si>
  <si>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</si>
  <si>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</si>
  <si>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</si>
  <si>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</si>
  <si>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</si>
  <si>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</si>
  <si>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</si>
  <si>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</si>
  <si>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</si>
  <si>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</si>
  <si>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</si>
  <si>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</si>
  <si>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</si>
  <si>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</si>
  <si>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</si>
  <si>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</si>
  <si>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</si>
  <si>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</si>
  <si>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</si>
  <si>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</si>
  <si>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</si>
  <si>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</si>
  <si>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</si>
  <si>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</si>
  <si>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</si>
  <si>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</si>
  <si>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</si>
  <si>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</si>
  <si>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</si>
  <si>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</si>
  <si>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</si>
  <si>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</si>
  <si>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</si>
  <si>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</si>
  <si>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</si>
  <si>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</si>
  <si>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</si>
  <si>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</si>
  <si>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</si>
  <si>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</si>
  <si>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</si>
  <si>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</si>
  <si>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</si>
  <si>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</si>
  <si>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</si>
  <si>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</si>
  <si>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</si>
  <si>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</si>
  <si>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</si>
  <si>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</si>
  <si>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</si>
  <si>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</si>
  <si>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</si>
  <si>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</si>
  <si>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</si>
  <si>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</si>
  <si>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</si>
  <si>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</si>
  <si>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</si>
  <si>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</si>
  <si>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</si>
  <si>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</si>
  <si>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</si>
  <si>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</si>
  <si>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</si>
  <si>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</si>
  <si>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</si>
  <si>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</si>
  <si>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</si>
  <si>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</si>
  <si>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</si>
  <si>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</si>
  <si>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</si>
  <si>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</si>
  <si>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</si>
  <si>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</si>
  <si>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</si>
  <si>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</si>
  <si>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</si>
  <si>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</si>
  <si>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</si>
  <si>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</si>
  <si>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</si>
  <si>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</si>
  <si>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</si>
  <si>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</si>
  <si>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</si>
  <si>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</si>
  <si>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</si>
  <si>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</si>
  <si>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</si>
  <si>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</si>
  <si>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</si>
  <si>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</si>
  <si>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</si>
  <si>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</si>
  <si>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</si>
  <si>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</si>
  <si>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</si>
  <si>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</si>
  <si>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</si>
  <si>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</si>
  <si>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</si>
  <si>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</si>
  <si>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</si>
  <si>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</si>
  <si>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</si>
  <si>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</si>
  <si>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</si>
  <si>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</si>
  <si>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</si>
  <si>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</si>
  <si>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</si>
  <si>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</si>
  <si>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</si>
  <si>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</si>
  <si>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</si>
  <si>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</si>
  <si>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</si>
  <si>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</si>
  <si>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</si>
  <si>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</si>
  <si>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</si>
  <si>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</si>
  <si>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</si>
  <si>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</si>
  <si>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</si>
  <si>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</si>
  <si>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</si>
  <si>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</si>
  <si>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</si>
  <si>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</si>
  <si>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</si>
  <si>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</si>
  <si>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</si>
  <si>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</si>
  <si>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</si>
  <si>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</si>
  <si>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</si>
  <si>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</si>
  <si>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</si>
  <si>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</si>
  <si>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</si>
  <si>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</si>
  <si>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</si>
  <si>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</si>
  <si>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</si>
  <si>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</si>
  <si>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</si>
  <si>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</si>
  <si>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</si>
  <si>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</si>
  <si>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</si>
  <si>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</si>
  <si>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</si>
  <si>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</si>
  <si>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</si>
  <si>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</si>
  <si>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</si>
  <si>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</si>
  <si>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</si>
  <si>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</si>
  <si>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</si>
  <si>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</si>
  <si>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</si>
  <si>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</si>
  <si>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</si>
  <si>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</si>
  <si>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</si>
  <si>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</si>
  <si>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</si>
  <si>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</si>
  <si>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</si>
  <si>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</si>
  <si>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</si>
  <si>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</si>
  <si>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</si>
  <si>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</si>
  <si>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</si>
  <si>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</si>
  <si>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</si>
  <si>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</si>
  <si>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</si>
  <si>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</si>
  <si>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</si>
  <si>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</si>
  <si>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</si>
  <si>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</si>
  <si>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</si>
  <si>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</si>
  <si>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</si>
  <si>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</si>
  <si>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</si>
  <si>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</si>
  <si>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</si>
  <si>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</si>
  <si>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</si>
  <si>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</si>
  <si>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</si>
  <si>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</si>
  <si>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</si>
  <si>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</si>
  <si>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</si>
  <si>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</si>
  <si>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</si>
  <si>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</si>
  <si>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</si>
  <si>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</si>
  <si>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</si>
  <si>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</si>
  <si>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</si>
  <si>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</si>
  <si>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</si>
  <si>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</si>
  <si>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</si>
  <si>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</si>
  <si>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</si>
  <si>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</si>
  <si>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</si>
  <si>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</si>
  <si>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</si>
  <si>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</si>
  <si>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</si>
  <si>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</si>
  <si>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</si>
  <si>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</si>
  <si>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</si>
  <si>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</si>
  <si>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</si>
  <si>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</si>
  <si>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</si>
  <si>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</si>
  <si>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</si>
  <si>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</si>
  <si>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</si>
  <si>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</si>
  <si>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</si>
  <si>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</si>
  <si>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</si>
  <si>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</si>
  <si>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</si>
  <si>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</si>
  <si>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</si>
  <si>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</si>
  <si>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</si>
  <si>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</si>
  <si>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</si>
  <si>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</si>
  <si>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</si>
  <si>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</si>
  <si>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</si>
  <si>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</si>
  <si>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</si>
  <si>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</si>
  <si>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</si>
  <si>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</si>
  <si>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</si>
  <si>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</si>
  <si>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</si>
  <si>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</si>
  <si>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</si>
  <si>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</si>
  <si>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</si>
  <si>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</si>
  <si>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</si>
  <si>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</si>
  <si>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</si>
  <si>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</si>
  <si>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</si>
  <si>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</si>
  <si>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</si>
  <si>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</si>
  <si>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</si>
  <si>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</si>
  <si>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</si>
  <si>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</si>
  <si>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</si>
  <si>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</si>
  <si>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</si>
  <si>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</si>
  <si>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</si>
  <si>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</si>
  <si>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</si>
  <si>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</si>
  <si>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</si>
  <si>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</si>
  <si>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</si>
  <si>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</si>
  <si>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</si>
  <si>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</si>
  <si>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</si>
  <si>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</si>
  <si>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</si>
  <si>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</si>
  <si>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</si>
  <si>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</si>
  <si>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</si>
  <si>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</si>
  <si>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</si>
  <si>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</si>
  <si>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</si>
  <si>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</si>
  <si>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</si>
  <si>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</si>
  <si>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</si>
  <si>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</si>
  <si>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</si>
  <si>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</si>
  <si>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</si>
  <si>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</si>
  <si>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</si>
  <si>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</si>
  <si>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</si>
  <si>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</si>
  <si>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</si>
  <si>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</si>
  <si>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</si>
  <si>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</si>
  <si>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</si>
  <si>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</si>
  <si>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</si>
  <si>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</si>
  <si>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</si>
  <si>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</si>
  <si>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</si>
  <si>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</si>
  <si>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</si>
  <si>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</si>
  <si>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</si>
  <si>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</si>
  <si>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</si>
  <si>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</si>
  <si>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</si>
  <si>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</si>
  <si>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</si>
  <si>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</si>
  <si>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</si>
  <si>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</si>
  <si>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</si>
  <si>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</si>
  <si>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</si>
  <si>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</si>
  <si>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</si>
  <si>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</si>
  <si>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</si>
  <si>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</si>
  <si>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</si>
  <si>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</si>
  <si>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</si>
  <si>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</si>
  <si>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</si>
  <si>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</si>
  <si>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</si>
  <si>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</si>
  <si>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</si>
  <si>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</si>
  <si>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</si>
  <si>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</si>
  <si>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</si>
  <si>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</si>
  <si>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</si>
  <si>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</si>
  <si>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</si>
  <si>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</si>
  <si>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</si>
  <si>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</si>
  <si>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</si>
  <si>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</si>
  <si>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</si>
  <si>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</si>
  <si>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</si>
  <si>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</si>
  <si>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</si>
  <si>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</si>
  <si>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</si>
  <si>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</si>
  <si>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</si>
  <si>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</si>
  <si>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</si>
  <si>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</si>
  <si>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</si>
  <si>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</si>
  <si>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</si>
  <si>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</si>
  <si>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</si>
  <si>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</si>
  <si>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</si>
  <si>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</si>
  <si>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</si>
  <si>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</si>
  <si>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</si>
  <si>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</si>
  <si>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</si>
  <si>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</si>
  <si>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</si>
  <si>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</si>
  <si>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</si>
  <si>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</si>
  <si>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</si>
  <si>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</si>
  <si>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</si>
  <si>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</si>
  <si>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</si>
  <si>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</si>
  <si>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</si>
  <si>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</si>
  <si>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</si>
  <si>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</si>
  <si>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</si>
  <si>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</si>
  <si>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</si>
  <si>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</si>
  <si>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</si>
  <si>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</si>
  <si>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</si>
  <si>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</si>
  <si>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</si>
  <si>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</si>
  <si>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</si>
  <si>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</si>
  <si>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</si>
  <si>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</si>
  <si>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</si>
  <si>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</si>
  <si>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</si>
  <si>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</si>
  <si>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</si>
  <si>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</si>
  <si>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</si>
  <si>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</si>
  <si>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</si>
  <si>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</si>
  <si>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</si>
  <si>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</si>
  <si>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</si>
  <si>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</si>
  <si>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</si>
  <si>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</si>
  <si>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</si>
  <si>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</si>
  <si>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</si>
  <si>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</si>
  <si>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</si>
  <si>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</si>
  <si>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</si>
  <si>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</si>
  <si>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</si>
  <si>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</si>
  <si>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</si>
  <si>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</si>
  <si>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</si>
  <si>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</si>
  <si>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</si>
  <si>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</si>
  <si>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</si>
  <si>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</si>
  <si>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</si>
  <si>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</si>
  <si>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</si>
  <si>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</si>
  <si>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</si>
  <si>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</si>
  <si>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</si>
  <si>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</si>
  <si>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</si>
  <si>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</si>
  <si>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</si>
  <si>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</si>
  <si>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</si>
  <si>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</si>
  <si>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</si>
  <si>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</si>
  <si>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</si>
  <si>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</si>
  <si>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</si>
  <si>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</si>
  <si>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</si>
  <si>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</si>
  <si>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</si>
  <si>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</si>
  <si>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</si>
  <si>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</si>
  <si>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</si>
  <si>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</si>
  <si>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</si>
  <si>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</si>
  <si>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</si>
  <si>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</si>
  <si>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</si>
  <si>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</si>
  <si>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</si>
  <si>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</si>
  <si>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</si>
  <si>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</si>
  <si>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</si>
  <si>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</si>
  <si>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</si>
  <si>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</si>
  <si>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</si>
  <si>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</si>
  <si>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</si>
  <si>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</si>
  <si>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</si>
  <si>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</si>
  <si>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</si>
  <si>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</si>
  <si>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</si>
  <si>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</si>
  <si>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</si>
  <si>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</si>
  <si>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</si>
  <si>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</si>
  <si>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</si>
  <si>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</si>
  <si>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</si>
  <si>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</si>
  <si>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</si>
  <si>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</si>
  <si>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</si>
  <si>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</si>
  <si>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</si>
  <si>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</si>
  <si>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</si>
  <si>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</si>
  <si>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</si>
  <si>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</si>
  <si>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</si>
  <si>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</si>
  <si>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</si>
  <si>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</si>
  <si>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</si>
  <si>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</si>
  <si>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</si>
  <si>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</si>
  <si>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</si>
  <si>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</si>
  <si>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</si>
  <si>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</si>
  <si>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</si>
  <si>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</si>
  <si>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</si>
  <si>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</si>
  <si>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</si>
  <si>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</si>
  <si>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</si>
  <si>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</si>
  <si>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</si>
  <si>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</si>
  <si>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</si>
  <si>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</si>
  <si>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</si>
  <si>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</si>
  <si>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</si>
  <si>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</si>
  <si>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</si>
  <si>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</si>
  <si>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</si>
  <si>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</si>
  <si>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</si>
  <si>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</si>
  <si>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</si>
  <si>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</si>
  <si>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</si>
  <si>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</si>
  <si>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</si>
  <si>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</si>
  <si>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</si>
  <si>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</si>
  <si>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</si>
  <si>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</si>
  <si>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</si>
  <si>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</si>
  <si>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</si>
  <si>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</si>
  <si>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</si>
  <si>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</si>
  <si>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</si>
  <si>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</si>
  <si>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</si>
  <si>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</si>
  <si>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</si>
  <si>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</si>
  <si>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</si>
  <si>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</si>
  <si>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</si>
  <si>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</si>
  <si>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</si>
  <si>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</si>
  <si>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</si>
  <si>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</si>
  <si>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</si>
  <si>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</si>
  <si>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</si>
  <si>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</si>
  <si>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</si>
  <si>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</si>
  <si>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</si>
  <si>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</si>
  <si>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</si>
  <si>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</si>
  <si>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</si>
  <si>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</si>
  <si>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</si>
  <si>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</si>
  <si>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</si>
  <si>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</si>
  <si>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</si>
  <si>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</si>
  <si>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</si>
  <si>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</si>
  <si>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</si>
  <si>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</si>
  <si>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</si>
  <si>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</si>
  <si>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</si>
  <si>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</si>
  <si>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</si>
  <si>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</si>
  <si>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</si>
  <si>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</si>
  <si>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</si>
  <si>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</si>
  <si>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</si>
  <si>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</si>
  <si>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</si>
  <si>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</si>
  <si>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</si>
  <si>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</si>
  <si>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</si>
  <si>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</si>
  <si>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</si>
  <si>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</si>
  <si>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</si>
  <si>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</si>
  <si>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</si>
  <si>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</si>
  <si>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</si>
  <si>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</si>
  <si>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</si>
  <si>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</si>
  <si>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</si>
  <si>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</si>
  <si>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</si>
  <si>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</si>
  <si>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</si>
  <si>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</si>
  <si>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</si>
  <si>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</si>
  <si>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</si>
  <si>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</si>
  <si>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</si>
  <si>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</si>
  <si>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</si>
  <si>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</si>
  <si>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</si>
  <si>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</si>
  <si>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</si>
  <si>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</si>
  <si>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</si>
  <si>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</si>
  <si>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</si>
  <si>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</si>
  <si>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</si>
  <si>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</si>
  <si>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</si>
  <si>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</si>
  <si>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</si>
  <si>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</si>
  <si>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</si>
  <si>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</si>
  <si>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</si>
  <si>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</si>
  <si>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</si>
  <si>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</si>
  <si>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</si>
  <si>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</si>
  <si>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</si>
  <si>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</si>
  <si>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</si>
  <si>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</si>
  <si>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</si>
  <si>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</si>
  <si>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</si>
  <si>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</si>
  <si>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</si>
  <si>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</si>
  <si>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</si>
  <si>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</si>
  <si>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</si>
  <si>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</si>
  <si>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</si>
  <si>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</si>
  <si>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</si>
  <si>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</si>
  <si>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</si>
  <si>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</si>
  <si>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</si>
  <si>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</si>
  <si>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</si>
  <si>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</si>
  <si>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</si>
  <si>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</si>
  <si>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</si>
  <si>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</si>
  <si>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</si>
  <si>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</si>
  <si>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</si>
  <si>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</si>
  <si>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</si>
  <si>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</si>
  <si>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</si>
  <si>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</si>
  <si>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</si>
  <si>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</si>
  <si>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</si>
  <si>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</si>
  <si>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</si>
  <si>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</si>
  <si>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</si>
  <si>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</si>
  <si>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</si>
  <si>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</si>
  <si>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</si>
  <si>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</si>
  <si>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</si>
  <si>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</si>
  <si>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</si>
  <si>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</si>
  <si>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</si>
  <si>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</si>
  <si>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</si>
  <si>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</si>
  <si>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</si>
  <si>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</si>
  <si>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</si>
  <si>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</si>
  <si>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</si>
  <si>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</si>
  <si>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</si>
  <si>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</si>
  <si>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</si>
  <si>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</si>
  <si>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</si>
  <si>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</si>
  <si>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</si>
  <si>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</si>
  <si>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</si>
  <si>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</si>
  <si>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</si>
  <si>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</si>
  <si>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</si>
  <si>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</si>
  <si>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</si>
  <si>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</si>
  <si>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</si>
  <si>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</si>
  <si>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</si>
  <si>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</si>
  <si>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</si>
  <si>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</si>
  <si>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</si>
  <si>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</si>
  <si>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</si>
  <si>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</si>
  <si>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</si>
  <si>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</si>
  <si>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</si>
  <si>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</si>
  <si>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</si>
  <si>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</si>
  <si>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</si>
  <si>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</si>
  <si>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</si>
  <si>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</si>
  <si>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</si>
  <si>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</si>
  <si>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</si>
  <si>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</si>
  <si>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</si>
  <si>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</si>
  <si>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</si>
  <si>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</si>
  <si>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</si>
  <si>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</si>
  <si>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</si>
  <si>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</si>
  <si>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</si>
  <si>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</si>
  <si>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</si>
  <si>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</si>
  <si>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</si>
  <si>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</si>
  <si>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</si>
  <si>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</si>
  <si>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</si>
  <si>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</si>
  <si>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</si>
  <si>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</si>
  <si>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</si>
  <si>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</si>
  <si>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</si>
  <si>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</si>
  <si>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</si>
  <si>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</si>
  <si>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</si>
  <si>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</si>
  <si>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</si>
  <si>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</si>
  <si>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</si>
  <si>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</si>
  <si>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</si>
  <si>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</si>
  <si>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</si>
  <si>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</si>
  <si>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</si>
  <si>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</si>
  <si>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</si>
  <si>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</si>
  <si>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</si>
  <si>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</si>
  <si>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</si>
  <si>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</si>
  <si>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</si>
  <si>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</si>
  <si>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</si>
  <si>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</si>
  <si>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</si>
  <si>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</si>
  <si>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</si>
  <si>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</si>
  <si>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</si>
  <si>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</si>
  <si>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</si>
  <si>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</si>
  <si>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</si>
  <si>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</si>
  <si>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</si>
  <si>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</si>
  <si>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</si>
  <si>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</si>
  <si>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</si>
  <si>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</si>
  <si>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</si>
  <si>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</si>
  <si>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</si>
  <si>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</si>
  <si>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</si>
  <si>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</si>
  <si>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</si>
  <si>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</si>
  <si>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</si>
  <si>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</si>
  <si>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</si>
  <si>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</si>
  <si>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</si>
  <si>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</si>
  <si>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</si>
  <si>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</si>
  <si>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</si>
  <si>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</si>
  <si>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</si>
  <si>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</si>
  <si>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</si>
  <si>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</si>
  <si>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</si>
  <si>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</si>
  <si>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</si>
  <si>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</si>
  <si>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</si>
  <si>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</si>
  <si>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</si>
  <si>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</si>
  <si>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</si>
  <si>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</si>
  <si>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</si>
  <si>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</si>
  <si>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</si>
  <si>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</si>
  <si>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</si>
  <si>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</si>
  <si>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</si>
  <si>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</si>
  <si>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</si>
  <si>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</si>
  <si>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</si>
  <si>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</si>
  <si>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</si>
  <si>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</si>
  <si>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</si>
  <si>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</si>
  <si>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</si>
  <si>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</si>
  <si>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</si>
  <si>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</si>
  <si>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</si>
  <si>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</si>
  <si>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</si>
  <si>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</si>
  <si>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</si>
  <si>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</si>
  <si>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</si>
  <si>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</si>
  <si>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</si>
  <si>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</si>
  <si>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</si>
  <si>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</si>
  <si>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</si>
  <si>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</si>
  <si>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</si>
  <si>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</si>
  <si>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</si>
  <si>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</si>
  <si>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</si>
  <si>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</si>
  <si>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</si>
  <si>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</si>
  <si>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</si>
  <si>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</si>
  <si>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</si>
  <si>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</si>
  <si>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</si>
  <si>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</si>
  <si>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</si>
  <si>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</si>
  <si>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</si>
  <si>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</si>
  <si>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</si>
  <si>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</si>
  <si>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</si>
  <si>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</si>
  <si>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</si>
  <si>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</si>
  <si>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</si>
  <si>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</si>
  <si>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</si>
  <si>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</si>
  <si>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</si>
  <si>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</si>
  <si>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</si>
  <si>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</si>
  <si>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</si>
  <si>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</si>
  <si>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</si>
  <si>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</si>
  <si>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</si>
  <si>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</si>
  <si>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</si>
  <si>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</si>
  <si>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</si>
  <si>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</si>
  <si>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</si>
  <si>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</si>
  <si>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</si>
  <si>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</si>
  <si>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</si>
  <si>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</si>
  <si>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</si>
  <si>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</si>
  <si>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</si>
  <si>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</si>
  <si>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</si>
  <si>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</si>
  <si>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</si>
  <si>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</si>
  <si>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</si>
  <si>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</si>
  <si>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</si>
  <si>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</si>
  <si>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</si>
  <si>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</si>
  <si>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</si>
  <si>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</si>
  <si>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</si>
  <si>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</si>
  <si>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</si>
  <si>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</si>
  <si>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</si>
  <si>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</si>
  <si>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</si>
  <si>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</si>
  <si>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</si>
  <si>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</si>
  <si>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</si>
  <si>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</si>
  <si>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</si>
  <si>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</si>
  <si>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</si>
  <si>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</si>
  <si>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</si>
  <si>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</si>
  <si>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</si>
  <si>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</si>
  <si>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</si>
  <si>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</si>
  <si>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</si>
  <si>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</si>
  <si>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</si>
  <si>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</si>
  <si>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</si>
  <si>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</si>
  <si>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</si>
  <si>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</si>
  <si>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</si>
  <si>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</si>
  <si>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</si>
  <si>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</si>
  <si>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</si>
  <si>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</si>
  <si>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</si>
  <si>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</si>
  <si>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</si>
  <si>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</si>
  <si>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</si>
  <si>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</si>
  <si>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</si>
  <si>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</si>
  <si>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</si>
  <si>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</si>
  <si>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</si>
  <si>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</si>
  <si>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</si>
  <si>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</si>
  <si>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</si>
  <si>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</si>
  <si>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</si>
  <si>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</si>
  <si>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</si>
  <si>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</si>
  <si>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</si>
  <si>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</si>
  <si>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</si>
  <si>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</si>
  <si>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</si>
  <si>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</si>
  <si>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</si>
  <si>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</si>
  <si>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</si>
  <si>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</si>
  <si>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</si>
  <si>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</si>
  <si>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</si>
  <si>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</si>
  <si>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</si>
  <si>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</si>
  <si>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</si>
  <si>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</si>
  <si>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</si>
  <si>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</si>
  <si>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</si>
  <si>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</si>
  <si>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</si>
  <si>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</si>
  <si>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</si>
  <si>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</si>
  <si>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</si>
  <si>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</si>
  <si>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</si>
  <si>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</si>
  <si>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</si>
  <si>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</si>
  <si>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</si>
  <si>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</si>
  <si>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</si>
  <si>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</si>
  <si>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</si>
  <si>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</si>
  <si>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</si>
  <si>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</si>
  <si>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</si>
  <si>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</si>
  <si>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</si>
  <si>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</si>
  <si>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</si>
  <si>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</si>
  <si>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</si>
  <si>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</si>
  <si>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</si>
  <si>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</si>
  <si>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</si>
  <si>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</si>
  <si>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</si>
  <si>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</si>
  <si>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</si>
  <si>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</si>
  <si>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</si>
  <si>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</si>
  <si>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</si>
  <si>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</si>
  <si>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</si>
  <si>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</si>
  <si>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</si>
  <si>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</si>
  <si>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</si>
  <si>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</si>
  <si>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</si>
  <si>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</si>
  <si>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</si>
  <si>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</si>
  <si>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</si>
  <si>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</si>
  <si>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</si>
  <si>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</si>
  <si>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</si>
  <si>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</si>
  <si>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</si>
  <si>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</si>
  <si>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</si>
  <si>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</si>
  <si>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</si>
  <si>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</si>
  <si>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</si>
  <si>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</si>
  <si>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</si>
  <si>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</si>
  <si>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</si>
  <si>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</si>
  <si>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</si>
  <si>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</si>
  <si>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</si>
  <si>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</si>
  <si>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</si>
  <si>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</si>
  <si>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</si>
  <si>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</si>
  <si>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</si>
  <si>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</si>
  <si>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</si>
  <si>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</si>
  <si>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</si>
  <si>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</si>
  <si>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</si>
  <si>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</si>
  <si>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</si>
  <si>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</si>
  <si>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</si>
  <si>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</si>
  <si>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</si>
  <si>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</si>
  <si>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</si>
  <si>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</si>
  <si>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</si>
  <si>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</si>
  <si>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</si>
  <si>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</si>
  <si>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</si>
  <si>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</si>
  <si>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</si>
  <si>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</si>
  <si>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</si>
  <si>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</si>
  <si>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</si>
  <si>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</si>
  <si>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</si>
  <si>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</si>
  <si>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</si>
  <si>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</si>
  <si>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</si>
  <si>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</si>
  <si>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</si>
  <si>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</si>
  <si>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</si>
  <si>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</si>
  <si>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</si>
  <si>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</si>
  <si>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</si>
  <si>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</si>
  <si>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</si>
  <si>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</si>
  <si>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</si>
  <si>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</si>
  <si>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</si>
  <si>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</si>
  <si>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</si>
  <si>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</si>
  <si>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</si>
  <si>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</si>
  <si>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</si>
  <si>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</si>
  <si>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</si>
  <si>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</si>
  <si>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</si>
  <si>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</si>
  <si>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</si>
  <si>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</si>
  <si>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</si>
  <si>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</si>
  <si>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</si>
  <si>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</si>
  <si>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</si>
  <si>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</si>
  <si>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</si>
  <si>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</si>
  <si>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</si>
  <si>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</si>
  <si>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</si>
  <si>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</si>
  <si>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</si>
  <si>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</si>
  <si>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</si>
  <si>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</si>
  <si>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</si>
  <si>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</si>
  <si>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</si>
  <si>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</si>
  <si>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</si>
  <si>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</si>
  <si>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</si>
  <si>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</si>
  <si>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</si>
  <si>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</si>
  <si>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</si>
  <si>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</si>
  <si>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</si>
  <si>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</si>
  <si>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</si>
  <si>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</si>
  <si>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</si>
  <si>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</si>
  <si>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</si>
  <si>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</si>
  <si>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</si>
  <si>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</si>
  <si>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</si>
  <si>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</si>
  <si>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</si>
  <si>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</si>
  <si>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</si>
  <si>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</si>
  <si>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</si>
  <si>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</si>
  <si>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</si>
  <si>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</si>
  <si>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</si>
  <si>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</si>
  <si>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</si>
  <si>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</si>
  <si>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</si>
  <si>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</si>
  <si>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</si>
  <si>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</si>
  <si>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</si>
  <si>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</si>
  <si>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</si>
  <si>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</si>
  <si>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</si>
  <si>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</si>
  <si>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</si>
  <si>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</si>
  <si>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</si>
  <si>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</si>
  <si>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</si>
  <si>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</si>
  <si>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</si>
  <si>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</si>
  <si>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</si>
  <si>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</si>
  <si>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</si>
  <si>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</si>
  <si>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</si>
  <si>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</si>
  <si>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</si>
  <si>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</si>
  <si>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</si>
  <si>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</si>
  <si>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</si>
  <si>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</si>
  <si>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</si>
  <si>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</si>
  <si>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</si>
  <si>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</si>
  <si>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</si>
  <si>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</si>
  <si>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</si>
  <si>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</si>
  <si>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</si>
  <si>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</si>
  <si>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</si>
  <si>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</si>
  <si>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</si>
  <si>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</si>
  <si>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</si>
  <si>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</si>
  <si>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</si>
  <si>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</si>
  <si>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</si>
  <si>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</si>
  <si>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</si>
  <si>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</si>
  <si>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</si>
  <si>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</si>
  <si>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</si>
  <si>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</si>
  <si>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</si>
  <si>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</si>
  <si>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</si>
  <si>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</si>
  <si>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</si>
  <si>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</si>
  <si>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</si>
  <si>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</si>
  <si>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</si>
  <si>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</si>
  <si>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</si>
  <si>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</si>
  <si>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</si>
  <si>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</si>
  <si>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</si>
  <si>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</si>
  <si>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</si>
  <si>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</si>
  <si>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</si>
  <si>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</si>
  <si>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</si>
  <si>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</si>
  <si>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</si>
  <si>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</si>
  <si>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</si>
  <si>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</si>
  <si>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</si>
  <si>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</si>
  <si>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</si>
  <si>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</si>
  <si>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</si>
  <si>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</si>
  <si>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</si>
  <si>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</si>
  <si>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</si>
  <si>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</si>
  <si>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</si>
  <si>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</si>
  <si>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</si>
  <si>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</si>
  <si>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</si>
  <si>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</si>
  <si>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</si>
  <si>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</si>
  <si>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</si>
  <si>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</si>
  <si>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</si>
  <si>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</si>
  <si>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</si>
  <si>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</si>
  <si>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</si>
  <si>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</si>
  <si>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</si>
  <si>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</si>
  <si>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</si>
  <si>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</si>
  <si>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</si>
  <si>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</si>
  <si>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</si>
  <si>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</si>
  <si>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</si>
  <si>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</si>
  <si>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</si>
  <si>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</si>
  <si>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</si>
  <si>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</si>
  <si>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</si>
  <si>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</si>
  <si>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</si>
  <si>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</si>
  <si>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</si>
  <si>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</si>
  <si>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</si>
  <si>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</si>
  <si>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</si>
  <si>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</si>
  <si>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</si>
  <si>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</si>
  <si>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</si>
  <si>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</si>
  <si>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</si>
  <si>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</si>
  <si>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</si>
  <si>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</si>
  <si>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</si>
  <si>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</si>
  <si>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</si>
  <si>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</si>
  <si>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</si>
  <si>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</si>
  <si>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</si>
  <si>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</si>
  <si>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</si>
  <si>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</si>
  <si>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</si>
  <si>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</si>
  <si>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</si>
  <si>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</si>
  <si>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</si>
  <si>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</si>
  <si>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</si>
  <si>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</si>
  <si>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</si>
  <si>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</si>
  <si>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</si>
  <si>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</si>
  <si>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</si>
  <si>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</si>
  <si>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</si>
  <si>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</si>
  <si>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</si>
  <si>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</si>
  <si>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</si>
  <si>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</si>
  <si>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</si>
  <si>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</si>
  <si>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</si>
  <si>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</si>
  <si>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</si>
  <si>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</si>
  <si>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</si>
  <si>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</si>
  <si>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</si>
  <si>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</si>
  <si>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</si>
  <si>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</si>
  <si>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</si>
  <si>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</si>
  <si>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</si>
  <si>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</si>
  <si>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</si>
  <si>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</si>
  <si>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</si>
  <si>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</si>
  <si>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</si>
  <si>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</si>
  <si>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</si>
  <si>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</si>
  <si>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</si>
  <si>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</si>
  <si>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</si>
  <si>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</si>
  <si>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</si>
  <si>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</si>
  <si>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</si>
  <si>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</si>
  <si>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</si>
  <si>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</si>
  <si>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</si>
  <si>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</si>
  <si>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</si>
  <si>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</si>
  <si>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</si>
  <si>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</si>
  <si>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</si>
  <si>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</si>
  <si>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</si>
  <si>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</si>
  <si>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</si>
  <si>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</si>
  <si>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</si>
  <si>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</si>
  <si>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</si>
  <si>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</si>
  <si>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</si>
  <si>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</si>
  <si>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</si>
  <si>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</si>
  <si>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</si>
  <si>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</si>
  <si>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</si>
  <si>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</si>
  <si>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</si>
  <si>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</si>
  <si>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</si>
  <si>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</si>
  <si>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</si>
  <si>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</si>
  <si>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</si>
  <si>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</si>
  <si>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</si>
  <si>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</si>
  <si>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</si>
  <si>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</si>
  <si>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</si>
  <si>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</si>
  <si>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</si>
  <si>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</si>
  <si>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</si>
  <si>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</si>
  <si>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</si>
  <si>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</si>
  <si>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</si>
  <si>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</si>
  <si>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</si>
  <si>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</si>
  <si>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</si>
  <si>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</si>
  <si>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</si>
  <si>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</si>
  <si>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</si>
  <si>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</si>
  <si>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</si>
  <si>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</si>
  <si>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</si>
  <si>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</si>
  <si>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</si>
  <si>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</si>
  <si>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</si>
  <si>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</si>
  <si>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</si>
  <si>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</si>
  <si>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</si>
  <si>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</si>
  <si>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</si>
  <si>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</si>
  <si>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</si>
  <si>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</si>
  <si>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</si>
  <si>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</si>
  <si>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</si>
  <si>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</si>
  <si>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</si>
  <si>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</si>
  <si>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</si>
  <si>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</si>
  <si>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</si>
  <si>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</si>
  <si>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</si>
  <si>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</si>
  <si>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</si>
  <si>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</si>
  <si>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</si>
  <si>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</si>
  <si>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</si>
  <si>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</si>
  <si>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</si>
  <si>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</si>
  <si>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</si>
  <si>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</si>
  <si>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</si>
  <si>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</si>
  <si>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</si>
  <si>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</si>
  <si>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</si>
  <si>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</si>
  <si>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</si>
  <si>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</si>
  <si>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</si>
  <si>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</si>
  <si>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</si>
  <si>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</si>
  <si>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</si>
  <si>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</si>
  <si>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</si>
  <si>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</si>
  <si>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</si>
  <si>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</si>
  <si>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</si>
  <si>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</si>
  <si>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</si>
  <si>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</si>
  <si>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</si>
  <si>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</si>
  <si>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</si>
  <si>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</si>
  <si>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</si>
  <si>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</si>
  <si>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</si>
  <si>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</si>
  <si>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</si>
  <si>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</si>
  <si>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</si>
  <si>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</si>
  <si>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</si>
  <si>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</si>
  <si>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</si>
  <si>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</si>
  <si>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</si>
  <si>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</si>
  <si>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</si>
  <si>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</si>
  <si>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</si>
  <si>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</si>
  <si>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</si>
  <si>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</si>
  <si>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</si>
  <si>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</si>
  <si>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</si>
  <si>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</si>
  <si>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</si>
  <si>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</si>
  <si>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</si>
  <si>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</si>
  <si>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</si>
  <si>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</si>
  <si>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</si>
  <si>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</si>
  <si>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</si>
  <si>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</si>
  <si>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</si>
  <si>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</si>
  <si>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</si>
  <si>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</si>
  <si>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</si>
  <si>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</si>
  <si>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</si>
  <si>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</si>
  <si>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</si>
  <si>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</si>
  <si>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</si>
  <si>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</si>
  <si>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</si>
  <si>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</si>
  <si>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</si>
  <si>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</si>
  <si>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</si>
  <si>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</si>
  <si>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</si>
  <si>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</si>
  <si>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</si>
  <si>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</si>
  <si>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</si>
  <si>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</si>
  <si>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</si>
  <si>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</si>
  <si>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</si>
  <si>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</si>
  <si>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</si>
  <si>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</si>
  <si>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</si>
  <si>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</si>
  <si>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</si>
  <si>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</si>
  <si>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</si>
  <si>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</si>
  <si>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</si>
  <si>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</si>
  <si>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</si>
  <si>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</si>
  <si>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</si>
  <si>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</si>
  <si>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</si>
  <si>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</si>
  <si>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</si>
  <si>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</si>
  <si>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</si>
  <si>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</si>
  <si>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</si>
  <si>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</si>
  <si>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</si>
  <si>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</si>
  <si>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</si>
  <si>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</si>
  <si>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</si>
  <si>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</si>
  <si>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</si>
  <si>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</si>
  <si>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</si>
  <si>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</si>
  <si>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</si>
  <si>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</si>
  <si>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</si>
  <si>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</si>
  <si>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</si>
  <si>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</si>
  <si>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</si>
  <si>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</si>
  <si>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</si>
  <si>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</si>
  <si>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</si>
  <si>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</si>
  <si>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</si>
  <si>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</si>
  <si>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</si>
  <si>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</si>
  <si>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</si>
  <si>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</si>
  <si>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</si>
  <si>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</si>
  <si>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</si>
  <si>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</si>
  <si>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</si>
  <si>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</si>
  <si>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</si>
  <si>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</si>
  <si>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</si>
  <si>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</si>
  <si>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</si>
  <si>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</si>
  <si>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</si>
  <si>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</si>
  <si>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</si>
  <si>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</si>
  <si>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</si>
  <si>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</si>
  <si>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</si>
  <si>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</si>
  <si>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</si>
  <si>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</si>
  <si>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</si>
  <si>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</si>
  <si>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</si>
  <si>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</si>
  <si>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</si>
  <si>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</si>
  <si>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</si>
  <si>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</si>
  <si>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</si>
  <si>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</si>
  <si>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</si>
  <si>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</si>
  <si>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</si>
  <si>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</si>
  <si>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</si>
  <si>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</si>
  <si>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</si>
  <si>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</si>
  <si>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</si>
  <si>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</si>
  <si>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</si>
  <si>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</si>
  <si>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</si>
  <si>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</si>
  <si>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</si>
  <si>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</si>
  <si>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</si>
  <si>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</si>
  <si>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</si>
  <si>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</si>
  <si>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</si>
  <si>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</si>
  <si>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</si>
  <si>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</si>
  <si>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</si>
  <si>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</si>
  <si>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</si>
  <si>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</si>
  <si>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</si>
  <si>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</si>
  <si>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</si>
  <si>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</si>
  <si>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</si>
  <si>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</si>
  <si>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</si>
  <si>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</si>
  <si>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</si>
  <si>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</si>
  <si>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</si>
  <si>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</si>
  <si>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</si>
  <si>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</si>
  <si>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</si>
  <si>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</si>
  <si>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</si>
  <si>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</si>
  <si>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</si>
  <si>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</si>
  <si>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</si>
  <si>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</si>
  <si>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</si>
  <si>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</si>
  <si>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</si>
  <si>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</si>
  <si>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</si>
  <si>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</si>
  <si>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</si>
  <si>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</si>
  <si>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</si>
  <si>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</si>
  <si>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</si>
  <si>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</si>
  <si>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</si>
  <si>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</si>
  <si>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</si>
  <si>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</si>
  <si>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</si>
  <si>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</si>
  <si>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</si>
  <si>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</si>
  <si>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</si>
  <si>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</si>
  <si>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</si>
  <si>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</si>
  <si>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</si>
  <si>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</si>
  <si>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</si>
  <si>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</si>
  <si>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</si>
  <si>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</si>
  <si>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</si>
  <si>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</si>
  <si>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</si>
  <si>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</si>
  <si>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</si>
  <si>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</si>
  <si>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</si>
  <si>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</si>
  <si>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</si>
  <si>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</si>
  <si>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</si>
  <si>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</si>
  <si>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</si>
  <si>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</si>
  <si>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</si>
  <si>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</si>
  <si>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</si>
  <si>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</si>
  <si>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</si>
  <si>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</si>
  <si>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</si>
  <si>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</si>
  <si>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</si>
  <si>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</si>
  <si>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</si>
  <si>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</si>
  <si>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</si>
  <si>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</si>
  <si>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</si>
  <si>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</si>
  <si>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</si>
  <si>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</si>
  <si>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</si>
  <si>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</si>
  <si>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</si>
  <si>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</si>
  <si>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</si>
  <si>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</si>
  <si>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</si>
  <si>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</si>
  <si>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</si>
  <si>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</si>
  <si>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</si>
  <si>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</si>
  <si>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</si>
  <si>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</si>
  <si>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</si>
  <si>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</si>
  <si>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</si>
  <si>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</si>
  <si>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</si>
  <si>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</si>
  <si>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</si>
  <si>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</si>
  <si>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</si>
  <si>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</si>
  <si>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</si>
  <si>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</si>
  <si>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</si>
  <si>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</si>
  <si>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</si>
  <si>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</si>
  <si>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</si>
  <si>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</si>
  <si>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</si>
  <si>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</si>
  <si>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</si>
  <si>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</si>
  <si>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</si>
  <si>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</si>
  <si>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</si>
  <si>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</si>
  <si>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</si>
  <si>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</si>
  <si>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</si>
  <si>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</si>
  <si>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</si>
  <si>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</si>
  <si>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</si>
  <si>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</si>
  <si>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</si>
  <si>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</si>
  <si>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</si>
  <si>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</si>
  <si>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</si>
  <si>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</si>
  <si>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</si>
  <si>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</si>
  <si>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</si>
  <si>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</si>
  <si>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</si>
  <si>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</si>
  <si>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</si>
  <si>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</si>
  <si>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</si>
  <si>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</si>
  <si>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</si>
  <si>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</si>
  <si>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</si>
  <si>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</si>
  <si>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</si>
  <si>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</si>
  <si>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</si>
  <si>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</si>
  <si>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</si>
  <si>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</si>
  <si>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</si>
  <si>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</si>
  <si>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</si>
  <si>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</si>
  <si>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</si>
  <si>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</si>
  <si>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</si>
  <si>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</si>
  <si>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</si>
  <si>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</si>
  <si>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</si>
  <si>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</si>
  <si>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</si>
  <si>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</si>
  <si>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</si>
  <si>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</si>
  <si>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</si>
  <si>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</si>
  <si>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</si>
  <si>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</si>
  <si>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</si>
  <si>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</si>
  <si>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</si>
  <si>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</si>
  <si>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</si>
  <si>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</si>
  <si>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</si>
  <si>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</si>
  <si>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</si>
  <si>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</si>
  <si>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</si>
  <si>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</si>
  <si>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</si>
  <si>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</si>
  <si>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</si>
  <si>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</si>
  <si>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</si>
  <si>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</si>
  <si>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</si>
  <si>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</si>
  <si>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</si>
  <si>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</si>
  <si>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</si>
  <si>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</si>
  <si>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</si>
  <si>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</si>
  <si>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</si>
  <si>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</si>
  <si>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</si>
  <si>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</si>
  <si>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</si>
  <si>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</si>
  <si>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</si>
  <si>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</si>
  <si>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</si>
  <si>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</si>
  <si>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</si>
  <si>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</si>
  <si>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</si>
  <si>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</si>
  <si>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</si>
  <si>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</si>
  <si>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</si>
  <si>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</si>
  <si>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</si>
  <si>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</si>
  <si>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</si>
  <si>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</si>
  <si>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</si>
  <si>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</si>
  <si>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</si>
  <si>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</si>
  <si>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</si>
  <si>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</si>
  <si>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</si>
  <si>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</si>
  <si>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</si>
  <si>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</si>
  <si>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</si>
  <si>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</si>
  <si>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</si>
  <si>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</si>
  <si>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</si>
  <si>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</si>
  <si>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</si>
  <si>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</si>
  <si>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</si>
  <si>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</si>
  <si>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</si>
  <si>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</si>
  <si>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</si>
  <si>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</si>
  <si>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</si>
  <si>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</si>
  <si>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</si>
  <si>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</si>
  <si>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</si>
  <si>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</si>
  <si>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</si>
  <si>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</si>
  <si>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</si>
  <si>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</si>
  <si>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</si>
  <si>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</si>
  <si>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</si>
  <si>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</si>
  <si>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</si>
  <si>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</si>
  <si>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</si>
  <si>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</si>
  <si>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</si>
  <si>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</si>
  <si>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</si>
  <si>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</si>
  <si>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</si>
  <si>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</si>
  <si>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</si>
  <si>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</si>
  <si>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</si>
  <si>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</si>
  <si>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</si>
  <si>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</si>
  <si>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</si>
  <si>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</si>
  <si>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</si>
  <si>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</si>
  <si>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</si>
  <si>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</si>
  <si>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</si>
  <si>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</si>
  <si>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</si>
  <si>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</si>
  <si>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</si>
  <si>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</si>
  <si>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</si>
  <si>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</si>
  <si>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</si>
  <si>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</si>
  <si>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</si>
  <si>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</si>
  <si>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</si>
  <si>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</si>
  <si>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</si>
  <si>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</si>
  <si>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</si>
  <si>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</si>
  <si>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</si>
  <si>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</si>
  <si>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</si>
  <si>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</si>
  <si>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</si>
  <si>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</si>
  <si>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</si>
  <si>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</si>
  <si>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</si>
  <si>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</si>
  <si>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</si>
  <si>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</si>
  <si>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</si>
  <si>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</si>
  <si>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</si>
  <si>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</si>
  <si>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</si>
  <si>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</si>
  <si>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</si>
  <si>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</si>
  <si>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</si>
  <si>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</si>
  <si>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</si>
  <si>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</si>
  <si>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</si>
  <si>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</si>
  <si>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</si>
  <si>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</si>
  <si>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</si>
  <si>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</si>
  <si>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</si>
  <si>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</si>
  <si>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</si>
  <si>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</si>
  <si>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</si>
  <si>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</si>
  <si>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</si>
  <si>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</si>
  <si>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</si>
  <si>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</si>
  <si>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</si>
  <si>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</si>
  <si>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</si>
  <si>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</si>
  <si>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</si>
  <si>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</si>
  <si>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</si>
  <si>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</si>
  <si>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</si>
  <si>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</si>
  <si>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</si>
  <si>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</si>
  <si>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</si>
  <si>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</si>
  <si>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</si>
  <si>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</si>
  <si>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</si>
  <si>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</si>
  <si>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</si>
  <si>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</si>
  <si>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</si>
  <si>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</si>
  <si>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</si>
  <si>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</si>
  <si>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</si>
  <si>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</si>
  <si>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</si>
  <si>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</si>
  <si>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</si>
  <si>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</si>
  <si>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</si>
  <si>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</si>
  <si>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</si>
  <si>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</si>
  <si>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</si>
  <si>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</si>
  <si>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</si>
  <si>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</si>
  <si>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</si>
  <si>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</si>
  <si>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</si>
  <si>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</si>
  <si>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</si>
  <si>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</si>
  <si>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</si>
  <si>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</si>
  <si>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</si>
  <si>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</si>
  <si>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</si>
  <si>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</si>
  <si>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</si>
  <si>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</si>
  <si>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</si>
  <si>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</si>
  <si>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</si>
  <si>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</si>
  <si>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</si>
  <si>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</si>
  <si>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</si>
  <si>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</si>
  <si>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</si>
  <si>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</si>
  <si>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</si>
  <si>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</si>
  <si>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</si>
  <si>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</si>
  <si>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</si>
  <si>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</si>
  <si>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</si>
  <si>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</si>
  <si>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</si>
  <si>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</si>
  <si>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</si>
  <si>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</si>
  <si>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</si>
  <si>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</si>
  <si>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</si>
  <si>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</si>
  <si>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</si>
  <si>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</si>
  <si>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</si>
  <si>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</si>
  <si>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</si>
  <si>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</si>
  <si>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</si>
  <si>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</si>
  <si>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</si>
  <si>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</si>
  <si>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</si>
  <si>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</si>
  <si>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</si>
  <si>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</si>
  <si>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</si>
  <si>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</si>
  <si>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</si>
  <si>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</si>
  <si>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</si>
  <si>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</si>
  <si>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</si>
  <si>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</si>
  <si>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</si>
  <si>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</si>
  <si>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</si>
  <si>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</si>
  <si>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</si>
  <si>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</si>
  <si>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</si>
  <si>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</si>
  <si>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</si>
  <si>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</si>
  <si>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</si>
  <si>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</si>
  <si>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</si>
  <si>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</si>
  <si>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</si>
  <si>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</si>
  <si>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</si>
  <si>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</si>
  <si>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</si>
  <si>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Perkins Place, L.P.</t>
  </si>
  <si>
    <t>September</t>
  </si>
  <si>
    <t xml:space="preserve">Robert P. Havlicek Jr. </t>
  </si>
  <si>
    <t>Executive Director</t>
  </si>
  <si>
    <t>Lompoc</t>
  </si>
  <si>
    <t>County of Santa Barbara Planning &amp; Development</t>
  </si>
  <si>
    <t>n/a New Cuyama is an unincorporated community</t>
  </si>
  <si>
    <t>123 E. Anapamu Street</t>
  </si>
  <si>
    <t>Santa Barbara, CA</t>
  </si>
  <si>
    <t>(805)568-2046</t>
  </si>
  <si>
    <t>Perkins Place</t>
  </si>
  <si>
    <t>60 Perkins Road</t>
  </si>
  <si>
    <t>New Cuyama</t>
  </si>
  <si>
    <t>149-051-005</t>
  </si>
  <si>
    <t>40%/60% Average Income</t>
  </si>
  <si>
    <t>815 West Ocean Avenue</t>
  </si>
  <si>
    <t>CA</t>
  </si>
  <si>
    <t>(805)736-3423</t>
  </si>
  <si>
    <t>bobhavlicek@hasbarco.org</t>
  </si>
  <si>
    <t>SURF Development Company</t>
  </si>
  <si>
    <t>Managing GP</t>
  </si>
  <si>
    <t xml:space="preserve">815 West Ocean Avenue </t>
  </si>
  <si>
    <t xml:space="preserve">Lompoc </t>
  </si>
  <si>
    <t>Robert P. Havlicek Jr.</t>
  </si>
  <si>
    <t>Housing Authority of the County of Santa Barbara</t>
  </si>
  <si>
    <t>Administrative GP</t>
  </si>
  <si>
    <t>Sanrta Barbara Housing Assistance Corporation</t>
  </si>
  <si>
    <t>1933 Cliff Drive Suite 26</t>
  </si>
  <si>
    <t>Carlo Sarmiento</t>
  </si>
  <si>
    <t>(805)9630571</t>
  </si>
  <si>
    <t>carlo@bssmco.com</t>
  </si>
  <si>
    <t>Lompoc CA 93436</t>
  </si>
  <si>
    <t>(805)735-7672</t>
  </si>
  <si>
    <t>RJC, Inc.</t>
  </si>
  <si>
    <t>PO BOX 60202</t>
  </si>
  <si>
    <t>Santa Barbara CA 93160</t>
  </si>
  <si>
    <t>Robert Coles</t>
  </si>
  <si>
    <t>(805)692-9477</t>
  </si>
  <si>
    <t>(805)585-3310</t>
  </si>
  <si>
    <t>rcoles@rjc-inc.com</t>
  </si>
  <si>
    <t>Price, Postal &amp;Parma LLP</t>
  </si>
  <si>
    <t>200 East Carrillo St Suite 40</t>
  </si>
  <si>
    <t>Santa Barbara, CA 93101</t>
  </si>
  <si>
    <t>Mark S. Manion</t>
  </si>
  <si>
    <t>(805)962-0011</t>
  </si>
  <si>
    <t>mmanion@pplaw.com</t>
  </si>
  <si>
    <t>501 Congressional Boulevard</t>
  </si>
  <si>
    <t>Carmel, IN 46032</t>
  </si>
  <si>
    <t>Thomas Wilson</t>
  </si>
  <si>
    <t>(317)848-5700</t>
  </si>
  <si>
    <t>twilson@dozllc.com</t>
  </si>
  <si>
    <t>Dauby O'Conner &amp; Zaleski, LLC</t>
  </si>
  <si>
    <t>Red Stone Equity Partners, LLC</t>
  </si>
  <si>
    <t>401 West A St. Suite 1830</t>
  </si>
  <si>
    <t>San Diego CA 92101</t>
  </si>
  <si>
    <t>Matt Grosz</t>
  </si>
  <si>
    <t>(858)752-2066</t>
  </si>
  <si>
    <t>matt.grosz@redstoneequity.com</t>
  </si>
  <si>
    <t>Gill Group</t>
  </si>
  <si>
    <t>2100 Gill Plaza Drive, Suite B</t>
  </si>
  <si>
    <t>Dexter, MO 63841</t>
  </si>
  <si>
    <t>Chad Gill</t>
  </si>
  <si>
    <t>(573)624-6614</t>
  </si>
  <si>
    <t>(573)624-2942</t>
  </si>
  <si>
    <t>chad.gill@gillgroup.com</t>
  </si>
  <si>
    <t xml:space="preserve">Robert P. Havlicek, Jr. </t>
  </si>
  <si>
    <t>Other (Specify below)</t>
  </si>
  <si>
    <t>Modular Construction</t>
  </si>
  <si>
    <t>Undeveloped</t>
  </si>
  <si>
    <t>C-2 (Commercial, General)</t>
  </si>
  <si>
    <t>35'-0.0"</t>
  </si>
  <si>
    <t>1.18/unit</t>
  </si>
  <si>
    <t>36 (per density bonus) + 3 for commercial area = 39 total</t>
  </si>
  <si>
    <t>Banc of CA (tax-exempt)</t>
  </si>
  <si>
    <t>Banc of CA (taxable)</t>
  </si>
  <si>
    <t>Red Stone Equity Partners</t>
  </si>
  <si>
    <t>Deferred Costs</t>
  </si>
  <si>
    <t>997 Monterey St. 3rd Floor</t>
  </si>
  <si>
    <t>San Luis Obispo, CA 93401</t>
  </si>
  <si>
    <t>Nathan Roddick</t>
  </si>
  <si>
    <t>(805)548-8210</t>
  </si>
  <si>
    <t>Ammortized Loan</t>
  </si>
  <si>
    <t>997 Montery St. 3rd Floor</t>
  </si>
  <si>
    <t>401 W. A St. Suite 1830</t>
  </si>
  <si>
    <t>San Diego, CA 92101</t>
  </si>
  <si>
    <t>Equity Investor</t>
  </si>
  <si>
    <t>Lompoc, CA 93436</t>
  </si>
  <si>
    <t>Banc of CA</t>
  </si>
  <si>
    <t>997 Monterey St 3rd Floor</t>
  </si>
  <si>
    <t>San Luis Obispo CA 93401</t>
  </si>
  <si>
    <t>Residual Receipts</t>
  </si>
  <si>
    <t xml:space="preserve">815 W. Ocean Avenue </t>
  </si>
  <si>
    <t>HUD Section 8</t>
  </si>
  <si>
    <t>Project-based vouchers (PBVs)</t>
  </si>
  <si>
    <t>1 bedroom</t>
  </si>
  <si>
    <t>2 bedroom</t>
  </si>
  <si>
    <t>3 bedroom</t>
  </si>
  <si>
    <t>Site is owned by the applicant</t>
  </si>
  <si>
    <t>The zoning requires a small amount (924 sf) of commercial space under our development approval.  The general partner (HASBARCO) will pre-pay the lease of the space for 22 years to provide cash for the construction costs.</t>
  </si>
  <si>
    <t>Yes, but the applicant requested 100% low income, beyond incl reqs.</t>
  </si>
  <si>
    <t>Fixed</t>
  </si>
  <si>
    <t>office, telephone</t>
  </si>
  <si>
    <t>payroll, WC, Emp Benefits</t>
  </si>
  <si>
    <t>real estate assessments</t>
  </si>
  <si>
    <t>annual business license</t>
  </si>
  <si>
    <t>Other: (Transition Reserve)</t>
  </si>
  <si>
    <t>Other (bond issuer fee):</t>
  </si>
  <si>
    <t>HASBARCO Pre-Paid Com'l Lease</t>
  </si>
  <si>
    <t>Other: Builders Risk</t>
  </si>
  <si>
    <t>Other: Borrower Counsel</t>
  </si>
  <si>
    <t>Other: CDLAC fees</t>
  </si>
  <si>
    <t>Provided</t>
  </si>
  <si>
    <t>Not Applicable</t>
  </si>
  <si>
    <t>HASBARCO 1</t>
  </si>
  <si>
    <t>HASBARCO 2</t>
  </si>
  <si>
    <t xml:space="preserve">Residual </t>
  </si>
  <si>
    <t>PBV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</si>
</sst>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144"/>
  <sheetViews>
    <sheetView showGridLines="0" topLeftCell="A113" workbookViewId="0">
      <selection activeCell="I147" sqref="A1:J14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4" t="s">
        <v>1586</v>
      </c>
      <c r="B1" s="2654"/>
      <c r="C1" s="2654"/>
      <c r="D1" s="2654"/>
      <c r="E1" s="2654"/>
      <c r="F1" s="2654"/>
      <c r="G1" s="2654"/>
      <c r="H1" s="2654"/>
      <c r="I1" s="2654"/>
      <c r="J1" s="2654"/>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12947892</v>
      </c>
      <c r="I3" s="1105"/>
    </row>
    <row r="4" spans="1:13" s="1051" customFormat="1" ht="20.100000000000001" customHeight="1">
      <c r="B4" s="1094"/>
      <c r="D4" s="1108"/>
      <c r="F4" s="1092" t="s">
        <v>1992</v>
      </c>
      <c r="G4" s="1091" t="s">
        <v>1991</v>
      </c>
      <c r="H4" s="1093">
        <f>I18</f>
        <v>7390391.1226307191</v>
      </c>
      <c r="I4" s="1095"/>
      <c r="K4" s="1055"/>
    </row>
    <row r="5" spans="1:13" s="1051" customFormat="1" ht="20.100000000000001" customHeight="1" thickBot="1">
      <c r="B5" s="1096"/>
      <c r="C5" s="1097"/>
      <c r="D5" s="1109"/>
      <c r="E5" s="1098"/>
      <c r="F5" s="1109" t="s">
        <v>1942</v>
      </c>
      <c r="G5" s="1110"/>
      <c r="H5" s="1106">
        <f>IFERROR(H3/H4,0)</f>
        <v>1.7519900889076363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7" t="s">
        <v>1940</v>
      </c>
      <c r="C8" s="2658"/>
      <c r="D8" s="2658"/>
      <c r="E8" s="2659"/>
      <c r="G8" s="2660" t="s">
        <v>1941</v>
      </c>
      <c r="H8" s="2661"/>
      <c r="I8" s="2662"/>
      <c r="K8" s="1057"/>
    </row>
    <row r="9" spans="1:13" ht="15" customHeight="1">
      <c r="A9" s="1046"/>
      <c r="B9" s="2655" t="s">
        <v>1974</v>
      </c>
      <c r="C9" s="2655"/>
      <c r="D9" s="2655"/>
      <c r="E9" s="1059">
        <f>G33</f>
        <v>1925000</v>
      </c>
      <c r="G9" s="2663" t="s">
        <v>1972</v>
      </c>
      <c r="H9" s="2663"/>
      <c r="I9" s="1060">
        <f>SUMIF(Application!M554:M565,"Loan, Tax-Exempt",Application!AM554:AM565)</f>
        <v>6289000</v>
      </c>
      <c r="K9" s="1061"/>
      <c r="M9" s="1062"/>
    </row>
    <row r="10" spans="1:13" ht="15" customHeight="1" thickBot="1">
      <c r="A10" s="1046"/>
      <c r="B10" s="2655" t="s">
        <v>1975</v>
      </c>
      <c r="C10" s="2655"/>
      <c r="D10" s="2655"/>
      <c r="E10" s="1060">
        <f>G47</f>
        <v>10394892</v>
      </c>
      <c r="G10" s="2667" t="s">
        <v>1943</v>
      </c>
      <c r="H10" s="2667"/>
      <c r="I10" s="1140">
        <f>'Basis &amp; Credits'!AB78</f>
        <v>2803209</v>
      </c>
      <c r="M10" s="1062"/>
    </row>
    <row r="11" spans="1:13" ht="15" customHeight="1">
      <c r="A11" s="1046"/>
      <c r="B11" s="2671" t="s">
        <v>2263</v>
      </c>
      <c r="C11" s="2672"/>
      <c r="D11" s="2673"/>
      <c r="E11" s="1060">
        <f>SUM(E12,E13)</f>
        <v>320000</v>
      </c>
      <c r="G11" s="2670" t="s">
        <v>1983</v>
      </c>
      <c r="H11" s="2670"/>
      <c r="I11" s="1139">
        <f>I9+I10</f>
        <v>9092209</v>
      </c>
      <c r="M11" s="1062"/>
    </row>
    <row r="12" spans="1:13" ht="15" customHeight="1">
      <c r="A12" s="1063"/>
      <c r="B12" s="2656" t="s">
        <v>2265</v>
      </c>
      <c r="C12" s="2656"/>
      <c r="D12" s="2656"/>
      <c r="E12" s="1165">
        <f>G56</f>
        <v>0</v>
      </c>
      <c r="M12" s="1062"/>
    </row>
    <row r="13" spans="1:13" ht="15" customHeight="1">
      <c r="A13" s="1049"/>
      <c r="B13" s="2656" t="s">
        <v>2266</v>
      </c>
      <c r="C13" s="2656"/>
      <c r="D13" s="2656"/>
      <c r="E13" s="1165">
        <f>G65</f>
        <v>320000</v>
      </c>
      <c r="G13" s="2660" t="s">
        <v>2006</v>
      </c>
      <c r="H13" s="2661"/>
      <c r="I13" s="2662"/>
      <c r="M13" s="1062"/>
    </row>
    <row r="14" spans="1:13" ht="15" customHeight="1">
      <c r="A14" s="1049"/>
      <c r="B14" s="2671" t="s">
        <v>2264</v>
      </c>
      <c r="C14" s="2672"/>
      <c r="D14" s="2673"/>
      <c r="E14" s="1167">
        <f>MAX(E15,E16)+E17</f>
        <v>308000</v>
      </c>
      <c r="G14" s="2663" t="s">
        <v>139</v>
      </c>
      <c r="H14" s="2663"/>
      <c r="I14" s="1064">
        <f>15%*(AND(G120="Yes",G122&lt;&gt;""))</f>
        <v>0.15</v>
      </c>
      <c r="M14" s="1062"/>
    </row>
    <row r="15" spans="1:13" ht="15" customHeight="1">
      <c r="A15" s="1049"/>
      <c r="B15" s="2674" t="s">
        <v>2270</v>
      </c>
      <c r="C15" s="2675"/>
      <c r="D15" s="2676"/>
      <c r="E15" s="1165">
        <f>G80</f>
        <v>0</v>
      </c>
      <c r="G15" s="1137" t="s">
        <v>1984</v>
      </c>
      <c r="H15" s="1137"/>
      <c r="I15" s="1064">
        <f>IF(Application!AJ1032&gt;0,10%,IF(Application!AJ1036&gt;0,5%,0))</f>
        <v>0</v>
      </c>
      <c r="M15" s="1062"/>
    </row>
    <row r="16" spans="1:13" ht="15" customHeight="1">
      <c r="A16" s="1049"/>
      <c r="B16" s="2674" t="s">
        <v>2269</v>
      </c>
      <c r="C16" s="2675"/>
      <c r="D16" s="2676"/>
      <c r="E16" s="1165">
        <f>G90</f>
        <v>0</v>
      </c>
      <c r="G16" s="2663" t="s">
        <v>1985</v>
      </c>
      <c r="H16" s="2663"/>
      <c r="I16" s="1064">
        <f>G132</f>
        <v>3.7173202614379085E-2</v>
      </c>
    </row>
    <row r="17" spans="1:21" ht="15" customHeight="1" thickBot="1">
      <c r="A17" s="1049"/>
      <c r="B17" s="2674" t="s">
        <v>2268</v>
      </c>
      <c r="C17" s="2675"/>
      <c r="D17" s="2676"/>
      <c r="E17" s="1165">
        <f>G115</f>
        <v>308000</v>
      </c>
      <c r="G17" s="2663" t="s">
        <v>2278</v>
      </c>
      <c r="H17" s="2663"/>
      <c r="I17" s="1064">
        <f>IF(AND(G139="Yes",OR(G136,G137)),IF(G143&gt;15%,15%,G143),0)</f>
        <v>0</v>
      </c>
    </row>
    <row r="18" spans="1:21" ht="15" customHeight="1">
      <c r="A18" s="1046"/>
      <c r="B18" s="2666" t="s">
        <v>1939</v>
      </c>
      <c r="C18" s="2666"/>
      <c r="D18" s="2666"/>
      <c r="E18" s="1111">
        <f>SUM(E9:E11,E14)</f>
        <v>12947892</v>
      </c>
      <c r="G18" s="1138" t="s">
        <v>1973</v>
      </c>
      <c r="H18" s="1138"/>
      <c r="I18" s="1112">
        <f>I11-((I11*I14)+(I11*I15)+(I11*I16)+(I11*I17))</f>
        <v>7390391.1226307191</v>
      </c>
      <c r="M18" s="1065">
        <f>SUM(Cdlac[Quantity])</f>
        <v>32</v>
      </c>
      <c r="O18" s="1084" t="s">
        <v>583</v>
      </c>
      <c r="P18" s="1044">
        <f>MATCH(Application!T189,Application!CB160:CB217,0)</f>
        <v>42</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8</v>
      </c>
      <c r="N20" s="1071">
        <f>Application!AC718</f>
        <v>0.3</v>
      </c>
      <c r="O20" s="1071">
        <f>IF(Cdlac[[#This Row],[Quantity]]&gt;0,IF(Cdlac[[#This Row],[Federal]],30%,IF(AND(OR(NOT($G$38),$G$38=""),$G$43),40%,Cdlac[[#This Row],[iAMI]])),"")</f>
        <v>0.4</v>
      </c>
      <c r="P20" s="1065" cm="1">
        <f t="array" ref="P20">IF(Cdlac[[#This Row],[Quantity]]&gt;0,INDEX(TcacRents,$P$18,Cdlac[[#This Row],[Bedrooms]]+1)*Cdlac[[#This Row],[AMI]],"")</f>
        <v>1324</v>
      </c>
      <c r="Q20" s="1164"/>
      <c r="R20" s="1065" cm="1">
        <f t="array" ref="R20">IF(Cdlac[[#This Row],[Quantity]]&gt;0,INDEX(HudFmrs,$P$18,Cdlac[[#This Row],[Bedrooms]]+1),"")</f>
        <v>2688</v>
      </c>
      <c r="S20" s="1065">
        <f>IF(Cdlac[[#This Row],[Quantity]]&gt;0,MAX(0,Cdlac[[#This Row],[Fair Market Rent]]-IF(AND($G$37,$G$38,$G$38&lt;&gt;"",NOT(Cdlac[[#This Row],[Federal]]),Cdlac[[#This Row],[Preservation Rent]]&lt;&gt;""),Cdlac[[#This Row],[Preservation Rent]],Cdlac[[#This Row],[Restricted Rent]])),"")</f>
        <v>1364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7</v>
      </c>
      <c r="N21" s="1071">
        <f>Application!AC719</f>
        <v>0.5</v>
      </c>
      <c r="O21" s="1071">
        <f>IF(Cdlac[[#This Row],[Quantity]]&gt;0,IF(Cdlac[[#This Row],[Federal]],30%,IF(AND(OR(NOT($G$38),$G$38=""),$G$43),40%,Cdlac[[#This Row],[iAMI]])),"")</f>
        <v>0.3</v>
      </c>
      <c r="P21" s="1065" cm="1">
        <f t="array" ref="P21">IF(Cdlac[[#This Row],[Quantity]]&gt;0,INDEX(TcacRents,$P$18,Cdlac[[#This Row],[Bedrooms]]+1)*Cdlac[[#This Row],[AMI]],"")</f>
        <v>993</v>
      </c>
      <c r="Q21" s="1164"/>
      <c r="R21" s="1065" cm="1">
        <f t="array" ref="R21">IF(Cdlac[[#This Row],[Quantity]]&gt;0,INDEX(HudFmrs,$P$18,Cdlac[[#This Row],[Bedrooms]]+1),"")</f>
        <v>2688</v>
      </c>
      <c r="S21" s="1065">
        <f>IF(Cdlac[[#This Row],[Quantity]]&gt;0,MAX(0,Cdlac[[#This Row],[Fair Market Rent]]-IF(AND($G$37,$G$38,$G$38&lt;&gt;"",NOT(Cdlac[[#This Row],[Federal]]),Cdlac[[#This Row],[Preservation Rent]]&lt;&gt;""),Cdlac[[#This Row],[Preservation Rent]],Cdlac[[#This Row],[Restricted Rent]])),"")</f>
        <v>1695</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4" t="s">
        <v>1987</v>
      </c>
      <c r="D22" s="2664" t="s">
        <v>1988</v>
      </c>
      <c r="E22" s="2664" t="s">
        <v>1989</v>
      </c>
      <c r="F22" s="2664" t="s">
        <v>2609</v>
      </c>
      <c r="G22" s="2664" t="s">
        <v>1986</v>
      </c>
      <c r="H22" s="1070"/>
      <c r="I22" s="1069"/>
      <c r="L22" s="1044">
        <f>IFERROR(MIN(4,MATCH(Application!B720,UnitSizes,0)-1),"")</f>
        <v>2</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1191.5999999999999</v>
      </c>
      <c r="Q22" s="1164"/>
      <c r="R22" s="1065" cm="1">
        <f t="array" ref="R22">IF(Cdlac[[#This Row],[Quantity]]&gt;0,INDEX(HudFmrs,$P$18,Cdlac[[#This Row],[Bedrooms]]+1),"")</f>
        <v>3028</v>
      </c>
      <c r="S22" s="1065">
        <f>IF(Cdlac[[#This Row],[Quantity]]&gt;0,MAX(0,Cdlac[[#This Row],[Fair Market Rent]]-IF(AND($G$37,$G$38,$G$38&lt;&gt;"",NOT(Cdlac[[#This Row],[Federal]]),Cdlac[[#This Row],[Preservation Rent]]&lt;&gt;""),Cdlac[[#This Row],[Preservation Rent]],Cdlac[[#This Row],[Restricted Rent]])),"")</f>
        <v>1836.4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5"/>
      <c r="D23" s="2665"/>
      <c r="E23" s="2665"/>
      <c r="F23" s="2665"/>
      <c r="G23" s="2665"/>
      <c r="H23" s="1070"/>
      <c r="I23" s="1069"/>
      <c r="L23" s="1044">
        <f>IFERROR(MIN(4,MATCH(Application!B721,UnitSizes,0)-1),"")</f>
        <v>2</v>
      </c>
      <c r="M23" s="1065">
        <f>Application!G721</f>
        <v>4</v>
      </c>
      <c r="N23" s="1071">
        <f>Application!AC721</f>
        <v>0.3</v>
      </c>
      <c r="O23" s="1071">
        <f>IF(Cdlac[[#This Row],[Quantity]]&gt;0,IF(Cdlac[[#This Row],[Federal]],30%,IF(AND(OR(NOT($G$38),$G$38=""),$G$43),40%,Cdlac[[#This Row],[iAMI]])),"")</f>
        <v>0.4</v>
      </c>
      <c r="P23" s="1065" cm="1">
        <f t="array" ref="P23">IF(Cdlac[[#This Row],[Quantity]]&gt;0,INDEX(TcacRents,$P$18,Cdlac[[#This Row],[Bedrooms]]+1)*Cdlac[[#This Row],[AMI]],"")</f>
        <v>1588.8000000000002</v>
      </c>
      <c r="Q23" s="1164"/>
      <c r="R23" s="1065" cm="1">
        <f t="array" ref="R23">IF(Cdlac[[#This Row],[Quantity]]&gt;0,INDEX(HudFmrs,$P$18,Cdlac[[#This Row],[Bedrooms]]+1),"")</f>
        <v>3028</v>
      </c>
      <c r="S23" s="1065">
        <f>IF(Cdlac[[#This Row],[Quantity]]&gt;0,MAX(0,Cdlac[[#This Row],[Fair Market Rent]]-IF(AND($G$37,$G$38,$G$38&lt;&gt;"",NOT(Cdlac[[#This Row],[Federal]]),Cdlac[[#This Row],[Preservation Rent]]&lt;&gt;""),Cdlac[[#This Row],[Preservation Rent]],Cdlac[[#This Row],[Restricted Rent]])),"")</f>
        <v>1439.1999999999998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0.5</v>
      </c>
      <c r="O24" s="1071">
        <f>IF(Cdlac[[#This Row],[Quantity]]&gt;0,IF(Cdlac[[#This Row],[Federal]],30%,IF(AND(OR(NOT($G$38),$G$38=""),$G$43),40%,Cdlac[[#This Row],[iAMI]])),"")</f>
        <v>0.3</v>
      </c>
      <c r="P24" s="1065" cm="1">
        <f t="array" ref="P24">IF(Cdlac[[#This Row],[Quantity]]&gt;0,INDEX(TcacRents,$P$18,Cdlac[[#This Row],[Bedrooms]]+1)*Cdlac[[#This Row],[AMI]],"")</f>
        <v>1191.5999999999999</v>
      </c>
      <c r="Q24" s="1164"/>
      <c r="R24" s="1065" cm="1">
        <f t="array" ref="R24">IF(Cdlac[[#This Row],[Quantity]]&gt;0,INDEX(HudFmrs,$P$18,Cdlac[[#This Row],[Bedrooms]]+1),"")</f>
        <v>3028</v>
      </c>
      <c r="S24" s="1065">
        <f>IF(Cdlac[[#This Row],[Quantity]]&gt;0,MAX(0,Cdlac[[#This Row],[Fair Market Rent]]-IF(AND($G$37,$G$38,$G$38&lt;&gt;"",NOT(Cdlac[[#This Row],[Federal]]),Cdlac[[#This Row],[Preservation Rent]]&lt;&gt;""),Cdlac[[#This Row],[Preservation Rent]],Cdlac[[#This Row],[Restricted Rent]])),"")</f>
        <v>1836.4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15</v>
      </c>
      <c r="F25" s="1072">
        <f>E25</f>
        <v>15</v>
      </c>
      <c r="G25" s="1072">
        <f>D25*F25</f>
        <v>15</v>
      </c>
      <c r="L25" s="1044">
        <f>IFERROR(MIN(4,MATCH(Application!B723,UnitSizes,0)-1),"")</f>
        <v>3</v>
      </c>
      <c r="M25" s="1065">
        <f>Application!G723</f>
        <v>4</v>
      </c>
      <c r="N25" s="1071">
        <f>Application!AC723</f>
        <v>0.3</v>
      </c>
      <c r="O25" s="1071">
        <f>IF(Cdlac[[#This Row],[Quantity]]&gt;0,IF(Cdlac[[#This Row],[Federal]],30%,IF(AND(OR(NOT($G$38),$G$38=""),$G$43),40%,Cdlac[[#This Row],[iAMI]])),"")</f>
        <v>0.4</v>
      </c>
      <c r="P25" s="1065" cm="1">
        <f t="array" ref="P25">IF(Cdlac[[#This Row],[Quantity]]&gt;0,INDEX(TcacRents,$P$18,Cdlac[[#This Row],[Bedrooms]]+1)*Cdlac[[#This Row],[AMI]],"")</f>
        <v>1836</v>
      </c>
      <c r="Q25" s="1164"/>
      <c r="R25" s="1065" cm="1">
        <f t="array" ref="R25">IF(Cdlac[[#This Row],[Quantity]]&gt;0,INDEX(HudFmrs,$P$18,Cdlac[[#This Row],[Bedrooms]]+1),"")</f>
        <v>4011</v>
      </c>
      <c r="S25" s="1065">
        <f>IF(Cdlac[[#This Row],[Quantity]]&gt;0,MAX(0,Cdlac[[#This Row],[Fair Market Rent]]-IF(AND($G$37,$G$38,$G$38&lt;&gt;"",NOT(Cdlac[[#This Row],[Federal]]),Cdlac[[#This Row],[Preservation Rent]]&lt;&gt;""),Cdlac[[#This Row],[Preservation Rent]],Cdlac[[#This Row],[Restricted Rent]])),"")</f>
        <v>2175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8</v>
      </c>
      <c r="F26" s="1075">
        <f>SUM(E26:E28)-SUM(F27:F28)</f>
        <v>8</v>
      </c>
      <c r="G26" s="1072">
        <f>D26*F26</f>
        <v>10</v>
      </c>
      <c r="H26" s="1074"/>
      <c r="I26" s="1074"/>
      <c r="L26" s="1044">
        <f>IFERROR(MIN(4,MATCH(Application!B724,UnitSizes,0)-1),"")</f>
        <v>3</v>
      </c>
      <c r="M26" s="1065">
        <f>Application!G724</f>
        <v>3</v>
      </c>
      <c r="N26" s="1071">
        <f>Application!AC724</f>
        <v>0.5</v>
      </c>
      <c r="O26" s="1071">
        <f>IF(Cdlac[[#This Row],[Quantity]]&gt;0,IF(Cdlac[[#This Row],[Federal]],30%,IF(AND(OR(NOT($G$38),$G$38=""),$G$43),40%,Cdlac[[#This Row],[iAMI]])),"")</f>
        <v>0.3</v>
      </c>
      <c r="P26" s="1065" cm="1">
        <f t="array" ref="P26">IF(Cdlac[[#This Row],[Quantity]]&gt;0,INDEX(TcacRents,$P$18,Cdlac[[#This Row],[Bedrooms]]+1)*Cdlac[[#This Row],[AMI]],"")</f>
        <v>1377</v>
      </c>
      <c r="Q26" s="1164"/>
      <c r="R26" s="1065" cm="1">
        <f t="array" ref="R26">IF(Cdlac[[#This Row],[Quantity]]&gt;0,INDEX(HudFmrs,$P$18,Cdlac[[#This Row],[Bedrooms]]+1),"")</f>
        <v>4011</v>
      </c>
      <c r="S26" s="1065">
        <f>IF(Cdlac[[#This Row],[Quantity]]&gt;0,MAX(0,Cdlac[[#This Row],[Fair Market Rent]]-IF(AND($G$37,$G$38,$G$38&lt;&gt;"",NOT(Cdlac[[#This Row],[Federal]]),Cdlac[[#This Row],[Preservation Rent]]&lt;&gt;""),Cdlac[[#This Row],[Preservation Rent]],Cdlac[[#This Row],[Restricted Rent]])),"")</f>
        <v>2634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9</v>
      </c>
      <c r="F27" s="1075">
        <f>MIN(E27,ROUNDDOWN(E29*30%,0))</f>
        <v>9</v>
      </c>
      <c r="G27" s="1072">
        <f>D27*F27</f>
        <v>13.5</v>
      </c>
      <c r="H27" s="1074"/>
      <c r="I27" s="1074"/>
      <c r="L27" s="1044">
        <f>IFERROR(MIN(4,MATCH(Application!B725,UnitSizes,0)-1),"")</f>
        <v>3</v>
      </c>
      <c r="M27" s="1065">
        <f>Application!G725</f>
        <v>2</v>
      </c>
      <c r="N27" s="1071">
        <f>Application!AC725</f>
        <v>0.5</v>
      </c>
      <c r="O27" s="1071">
        <f>IF(Cdlac[[#This Row],[Quantity]]&gt;0,IF(Cdlac[[#This Row],[Federal]],30%,IF(AND(OR(NOT($G$38),$G$38=""),$G$43),40%,Cdlac[[#This Row],[iAMI]])),"")</f>
        <v>0.3</v>
      </c>
      <c r="P27" s="1065" cm="1">
        <f t="array" ref="P27">IF(Cdlac[[#This Row],[Quantity]]&gt;0,INDEX(TcacRents,$P$18,Cdlac[[#This Row],[Bedrooms]]+1)*Cdlac[[#This Row],[AMI]],"")</f>
        <v>1377</v>
      </c>
      <c r="Q27" s="1164"/>
      <c r="R27" s="1065" cm="1">
        <f t="array" ref="R27">IF(Cdlac[[#This Row],[Quantity]]&gt;0,INDEX(HudFmrs,$P$18,Cdlac[[#This Row],[Bedrooms]]+1),"")</f>
        <v>4011</v>
      </c>
      <c r="S27" s="1065">
        <f>IF(Cdlac[[#This Row],[Quantity]]&gt;0,MAX(0,Cdlac[[#This Row],[Fair Market Rent]]-IF(AND($G$37,$G$38,$G$38&lt;&gt;"",NOT(Cdlac[[#This Row],[Federal]]),Cdlac[[#This Row],[Preservation Rent]]&lt;&gt;""),Cdlac[[#This Row],[Preservation Rent]],Cdlac[[#This Row],[Restricted Rent]])),"")</f>
        <v>2634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8" t="s">
        <v>1587</v>
      </c>
      <c r="D29" s="2679"/>
      <c r="E29" s="1089">
        <f>SUM(E24:E28)</f>
        <v>32</v>
      </c>
      <c r="F29" s="1089">
        <f>SUM(F24:F28)</f>
        <v>32</v>
      </c>
      <c r="G29" s="1090">
        <f>SUMPRODUCT(D24:D28,F24:F28)</f>
        <v>38.5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38.5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1925000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57749.4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10394892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18</v>
      </c>
    </row>
    <row r="61" spans="2:21" ht="15" customHeight="1">
      <c r="E61" s="1117" t="s">
        <v>1995</v>
      </c>
      <c r="G61" s="1079">
        <f>ROUNDDOWN(E29*50%,0)</f>
        <v>16</v>
      </c>
    </row>
    <row r="62" spans="2:21" ht="15" customHeight="1">
      <c r="E62" s="1117"/>
      <c r="G62" s="1079"/>
    </row>
    <row r="63" spans="2:21" ht="15" customHeight="1">
      <c r="E63" s="1117" t="s">
        <v>1955</v>
      </c>
      <c r="G63" s="1114">
        <f>MIN(G60:G61)</f>
        <v>16</v>
      </c>
    </row>
    <row r="64" spans="2:21" ht="15" customHeight="1">
      <c r="E64" s="1117" t="s">
        <v>1945</v>
      </c>
      <c r="F64" s="1113" t="s">
        <v>1993</v>
      </c>
      <c r="G64" s="1124">
        <v>20000</v>
      </c>
    </row>
    <row r="65" spans="2:14" ht="15" customHeight="1">
      <c r="E65" s="1118" t="s">
        <v>1977</v>
      </c>
      <c r="F65" s="1046"/>
      <c r="G65" s="1123">
        <f>G63*G64</f>
        <v>320000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Low Resource</v>
      </c>
      <c r="L72" s="2651" t="s">
        <v>1970</v>
      </c>
      <c r="M72" s="2652"/>
      <c r="N72" s="1131">
        <v>30000</v>
      </c>
    </row>
    <row r="73" spans="2:14" ht="15" customHeight="1">
      <c r="C73" s="2653" t="s">
        <v>2262</v>
      </c>
      <c r="D73" s="2653"/>
      <c r="E73" s="2653"/>
      <c r="F73" s="2653"/>
      <c r="G73" s="1043" t="s">
        <v>670</v>
      </c>
      <c r="L73" s="2668" t="s">
        <v>1938</v>
      </c>
      <c r="M73" s="2669"/>
      <c r="N73" s="1132">
        <v>20000</v>
      </c>
    </row>
    <row r="74" spans="2:14" ht="15" customHeight="1" thickBot="1">
      <c r="C74" s="2653"/>
      <c r="D74" s="2653"/>
      <c r="E74" s="2653"/>
      <c r="F74" s="2653"/>
      <c r="L74" s="2643" t="s">
        <v>1971</v>
      </c>
      <c r="M74" s="2644"/>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38.5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38.5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0</v>
      </c>
    </row>
    <row r="95" spans="2:9" ht="15" customHeight="1">
      <c r="E95" s="1084" t="s">
        <v>1945</v>
      </c>
      <c r="F95" s="1113" t="s">
        <v>1993</v>
      </c>
      <c r="G95" s="1076">
        <v>4000</v>
      </c>
    </row>
    <row r="96" spans="2:9" ht="15" customHeight="1" thickBot="1">
      <c r="E96" s="1084" t="s">
        <v>1997</v>
      </c>
      <c r="F96" s="1113" t="s">
        <v>1993</v>
      </c>
      <c r="G96" s="1126">
        <f>G29</f>
        <v>38.5</v>
      </c>
    </row>
    <row r="97" spans="2:14" ht="15" customHeight="1">
      <c r="E97" s="1118" t="s">
        <v>1962</v>
      </c>
      <c r="F97" s="1046"/>
      <c r="G97" s="1123">
        <f>G94*G95*G96</f>
        <v>0</v>
      </c>
      <c r="L97" s="1127" t="str">
        <f>'Points System'!H638</f>
        <v>(i)</v>
      </c>
      <c r="M97" s="2649" t="s">
        <v>1406</v>
      </c>
      <c r="N97" s="2650"/>
    </row>
    <row r="98" spans="2:14" ht="15" customHeight="1">
      <c r="C98" s="1077"/>
      <c r="G98" s="1114"/>
      <c r="L98" s="1128" t="str">
        <f>'Points System'!H650</f>
        <v>(ii)</v>
      </c>
      <c r="M98" s="2645" t="s">
        <v>1957</v>
      </c>
      <c r="N98" s="2646"/>
    </row>
    <row r="99" spans="2:14" ht="15" customHeight="1">
      <c r="E99" s="1084" t="s">
        <v>1998</v>
      </c>
      <c r="G99" s="1126">
        <f>COUNTIFS(L97:L104,"(i)")</f>
        <v>2</v>
      </c>
      <c r="L99" s="1128" t="str">
        <f>'Points System'!H685</f>
        <v>(iv)</v>
      </c>
      <c r="M99" s="2645" t="s">
        <v>1958</v>
      </c>
      <c r="N99" s="2646"/>
    </row>
    <row r="100" spans="2:14" ht="15" customHeight="1">
      <c r="E100" s="1084" t="s">
        <v>1945</v>
      </c>
      <c r="F100" s="1113" t="s">
        <v>1993</v>
      </c>
      <c r="G100" s="1124">
        <v>4000</v>
      </c>
      <c r="L100" s="1128" t="str">
        <f>IF(OR('Points System'!H709="(ii)",'Points System'!H709="(i)"),"(i)","N/A")</f>
        <v>(i)</v>
      </c>
      <c r="M100" s="2645" t="s">
        <v>1959</v>
      </c>
      <c r="N100" s="2646"/>
    </row>
    <row r="101" spans="2:14" ht="15" customHeight="1">
      <c r="E101" s="1118" t="s">
        <v>1963</v>
      </c>
      <c r="F101" s="1046"/>
      <c r="G101" s="1123">
        <f>G96*G99*G100</f>
        <v>308000</v>
      </c>
      <c r="L101" s="1129" t="str">
        <f>'Points System'!H723</f>
        <v>N/A</v>
      </c>
      <c r="M101" s="2645" t="s">
        <v>1432</v>
      </c>
      <c r="N101" s="2646"/>
    </row>
    <row r="102" spans="2:14" ht="15" customHeight="1">
      <c r="L102" s="1128" t="str">
        <f>'Points System'!H735</f>
        <v>N/A</v>
      </c>
      <c r="M102" s="2645" t="s">
        <v>1960</v>
      </c>
      <c r="N102" s="2646"/>
    </row>
    <row r="103" spans="2:14" ht="15" customHeight="1">
      <c r="C103" s="1080" t="s">
        <v>1965</v>
      </c>
      <c r="L103" s="1128" t="str">
        <f>'Points System'!H751</f>
        <v>N/A</v>
      </c>
      <c r="M103" s="2645" t="s">
        <v>1961</v>
      </c>
      <c r="N103" s="2646"/>
    </row>
    <row r="104" spans="2:14" ht="15" customHeight="1" thickBot="1">
      <c r="C104" s="1077" t="s">
        <v>1966</v>
      </c>
      <c r="G104" s="1043"/>
      <c r="L104" s="1130" t="str">
        <f>'Points System'!H763</f>
        <v>N/A</v>
      </c>
      <c r="M104" s="2647" t="s">
        <v>1435</v>
      </c>
      <c r="N104" s="2648"/>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38.5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308000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0" t="s">
        <v>2227</v>
      </c>
      <c r="D119" s="2680"/>
      <c r="E119" s="2680"/>
      <c r="F119" s="2680"/>
    </row>
    <row r="120" spans="2:9" ht="15" customHeight="1">
      <c r="C120" s="2680"/>
      <c r="D120" s="2680"/>
      <c r="E120" s="2680"/>
      <c r="F120" s="2680"/>
      <c r="G120" s="1043" t="s">
        <v>546</v>
      </c>
    </row>
    <row r="121" spans="2:9" ht="15" customHeight="1"/>
    <row r="122" spans="2:9" ht="15" customHeight="1">
      <c r="C122" s="1044" t="s">
        <v>2229</v>
      </c>
      <c r="G122" s="2682" t="s">
        <v>2729</v>
      </c>
      <c r="H122" s="2682"/>
    </row>
    <row r="123" spans="2:9" ht="15" customHeight="1">
      <c r="G123" s="2682"/>
      <c r="H123" s="2682"/>
    </row>
    <row r="124" spans="2:9" ht="15" customHeight="1">
      <c r="G124" s="2683"/>
      <c r="H124" s="2683"/>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Santa Barbara</v>
      </c>
    </row>
    <row r="129" spans="2:9">
      <c r="E129" s="1084"/>
      <c r="G129" s="1078"/>
    </row>
    <row r="130" spans="2:9">
      <c r="E130" s="1084" t="str">
        <f>"2-Bedroom "&amp;G128&amp;" County Basis Limit"</f>
        <v>2-Bedroom Santa Barbara County Basis Limit</v>
      </c>
      <c r="G130" s="1078">
        <f>Application!R988</f>
        <v>562400</v>
      </c>
    </row>
    <row r="131" spans="2:9">
      <c r="E131" s="1084" t="s">
        <v>2001</v>
      </c>
      <c r="G131" s="1078">
        <f>MEDIAN((Application!CU160:CU217))</f>
        <v>489600</v>
      </c>
    </row>
    <row r="132" spans="2:9" ht="15">
      <c r="D132" s="1046"/>
      <c r="E132" s="1118" t="s">
        <v>2003</v>
      </c>
      <c r="F132" s="1134"/>
      <c r="G132" s="1135">
        <f>((G130-G131)/G131)*0.25</f>
        <v>3.7173202614379085E-2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7" t="s">
        <v>2275</v>
      </c>
      <c r="D138" s="2677"/>
      <c r="E138" s="2677"/>
      <c r="F138" s="2677"/>
    </row>
    <row r="139" spans="2:9">
      <c r="B139" s="1045"/>
      <c r="C139" s="2677"/>
      <c r="D139" s="2677"/>
      <c r="E139" s="2677"/>
      <c r="F139" s="2677"/>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943350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K46" sqref="A1:K46"/>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910</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8</v>
      </c>
      <c r="C4" s="1162"/>
      <c r="D4" s="428">
        <f>Application!O718</f>
        <v>915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7</v>
      </c>
      <c r="C5" s="1162" t="s">
        <v>385</v>
      </c>
      <c r="D5" s="428">
        <f>Application!O719</f>
        <v>1525</v>
      </c>
      <c r="E5" s="429"/>
      <c r="F5" s="1083">
        <v>2585</v>
      </c>
      <c r="G5" s="428">
        <f t="shared" ref="G5:G38" si="2">F5*B5</f>
        <v>18095</v>
      </c>
      <c r="H5" s="429"/>
      <c r="I5" s="428">
        <f t="shared" si="0"/>
        <v>1060</v>
      </c>
      <c r="J5" s="428">
        <f t="shared" si="1"/>
        <v>7420</v>
      </c>
      <c r="K5" s="204"/>
      <c r="L5" s="305"/>
    </row>
    <row r="6" spans="1:12">
      <c r="A6" s="428" t="str">
        <f>Application!B720</f>
        <v>2 Bedrooms</v>
      </c>
      <c r="B6" s="1082">
        <f>Application!G720</f>
        <v>2</v>
      </c>
      <c r="C6" s="1162" t="s">
        <v>385</v>
      </c>
      <c r="D6" s="428">
        <f>Application!O720</f>
        <v>1098</v>
      </c>
      <c r="E6" s="429"/>
      <c r="F6" s="1083">
        <v>2934</v>
      </c>
      <c r="G6" s="428">
        <f t="shared" si="2"/>
        <v>5868</v>
      </c>
      <c r="H6" s="429"/>
      <c r="I6" s="428">
        <f t="shared" si="0"/>
        <v>1836</v>
      </c>
      <c r="J6" s="428">
        <f t="shared" si="1"/>
        <v>3672</v>
      </c>
      <c r="K6" s="204"/>
      <c r="L6" s="305"/>
    </row>
    <row r="7" spans="1:12">
      <c r="A7" s="428" t="str">
        <f>Application!B721</f>
        <v>2 Bedrooms</v>
      </c>
      <c r="B7" s="1082">
        <f>Application!G721</f>
        <v>4</v>
      </c>
      <c r="C7" s="1162"/>
      <c r="D7" s="428">
        <f>Application!O721</f>
        <v>1098</v>
      </c>
      <c r="E7" s="429"/>
      <c r="F7" s="1083"/>
      <c r="G7" s="428">
        <f t="shared" si="2"/>
        <v>0</v>
      </c>
      <c r="H7" s="429"/>
      <c r="I7" s="428" t="str">
        <f t="shared" si="0"/>
        <v/>
      </c>
      <c r="J7" s="428" t="str">
        <f t="shared" si="1"/>
        <v/>
      </c>
      <c r="K7" s="204"/>
      <c r="L7" s="305"/>
    </row>
    <row r="8" spans="1:12">
      <c r="A8" s="428" t="str">
        <f>Application!B722</f>
        <v>2 Bedrooms</v>
      </c>
      <c r="B8" s="1082">
        <f>Application!G722</f>
        <v>2</v>
      </c>
      <c r="C8" s="1162" t="s">
        <v>385</v>
      </c>
      <c r="D8" s="428">
        <f>Application!O722</f>
        <v>1830</v>
      </c>
      <c r="E8" s="429"/>
      <c r="F8" s="1083">
        <v>2934</v>
      </c>
      <c r="G8" s="428">
        <f t="shared" si="2"/>
        <v>5868</v>
      </c>
      <c r="H8" s="429"/>
      <c r="I8" s="428">
        <f t="shared" si="0"/>
        <v>1104</v>
      </c>
      <c r="J8" s="428">
        <f t="shared" si="1"/>
        <v>2208</v>
      </c>
      <c r="K8" s="204"/>
      <c r="L8" s="305"/>
    </row>
    <row r="9" spans="1:12">
      <c r="A9" s="428" t="str">
        <f>Application!B723</f>
        <v>3 Bedrooms</v>
      </c>
      <c r="B9" s="1082">
        <f>Application!G723</f>
        <v>4</v>
      </c>
      <c r="C9" s="1162"/>
      <c r="D9" s="428">
        <f>Application!O723</f>
        <v>1268</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t="s">
        <v>385</v>
      </c>
      <c r="D10" s="428">
        <f>Application!O724</f>
        <v>2114</v>
      </c>
      <c r="E10" s="429"/>
      <c r="F10" s="1083">
        <v>3872</v>
      </c>
      <c r="G10" s="428">
        <f t="shared" si="2"/>
        <v>11616</v>
      </c>
      <c r="H10" s="429"/>
      <c r="I10" s="428">
        <f t="shared" si="0"/>
        <v>1758</v>
      </c>
      <c r="J10" s="428">
        <f t="shared" si="1"/>
        <v>5274</v>
      </c>
      <c r="K10" s="204"/>
      <c r="L10" s="305"/>
    </row>
    <row r="11" spans="1:12">
      <c r="A11" s="428" t="str">
        <f>Application!B725</f>
        <v>3 Bedrooms</v>
      </c>
      <c r="B11" s="1082">
        <f>Application!G725</f>
        <v>2</v>
      </c>
      <c r="C11" s="1162" t="s">
        <v>385</v>
      </c>
      <c r="D11" s="428">
        <f>Application!O725</f>
        <v>2114</v>
      </c>
      <c r="E11" s="429"/>
      <c r="F11" s="1083">
        <v>3872</v>
      </c>
      <c r="G11" s="428">
        <f t="shared" si="2"/>
        <v>7744</v>
      </c>
      <c r="H11" s="429"/>
      <c r="I11" s="428">
        <f t="shared" si="0"/>
        <v>1758</v>
      </c>
      <c r="J11" s="428">
        <f t="shared" si="1"/>
        <v>3516</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43885</v>
      </c>
      <c r="E40" s="429"/>
      <c r="F40" s="429"/>
      <c r="G40" s="432">
        <f>SUM(G4:G38)*12</f>
        <v>590292</v>
      </c>
      <c r="H40" s="433"/>
      <c r="I40" s="431"/>
      <c r="J40" s="432">
        <f>SUM(J4:J38)*12</f>
        <v>265080</v>
      </c>
      <c r="K40" s="204"/>
      <c r="L40" s="306"/>
    </row>
    <row r="41" spans="1:12" ht="15">
      <c r="A41" s="430"/>
      <c r="B41" s="431"/>
      <c r="C41" s="431"/>
      <c r="D41" s="433"/>
      <c r="E41" s="429"/>
      <c r="F41" s="429"/>
      <c r="G41" s="433"/>
      <c r="H41" s="433"/>
      <c r="I41" s="431"/>
      <c r="J41" s="433"/>
      <c r="K41" s="204"/>
      <c r="L41" s="306"/>
    </row>
    <row r="42" spans="1:12">
      <c r="A42" s="304" t="s">
        <v>2257</v>
      </c>
    </row>
    <row r="43" spans="1:12">
      <c r="A43" s="2685" t="s">
        <v>2496</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2258</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25" workbookViewId="0">
      <selection activeCell="E32" sqref="E3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526632</v>
      </c>
      <c r="G4" s="219">
        <f>E4*$C$4</f>
        <v>539797.79999999993</v>
      </c>
      <c r="I4" s="219">
        <f>G4*$C$4</f>
        <v>553292.74499999988</v>
      </c>
      <c r="K4" s="219">
        <f>I4*$C$4</f>
        <v>567125.06362499984</v>
      </c>
      <c r="M4" s="219">
        <f>K4*$C$4</f>
        <v>581303.19021562475</v>
      </c>
      <c r="O4" s="219">
        <f>M4*$C$4</f>
        <v>595835.76997101528</v>
      </c>
      <c r="Q4" s="219">
        <f>O4*$C$4</f>
        <v>610731.66422029061</v>
      </c>
      <c r="S4" s="219">
        <f>Q4*$C$4</f>
        <v>625999.95582579786</v>
      </c>
      <c r="U4" s="219">
        <f>S4*$C$4</f>
        <v>641649.95472144277</v>
      </c>
      <c r="W4" s="219">
        <f>U4*$C$4</f>
        <v>657691.20358947874</v>
      </c>
      <c r="Y4" s="219">
        <f>W4*$C$4</f>
        <v>674133.48367921566</v>
      </c>
      <c r="AA4" s="219">
        <f>Y4*$C$4</f>
        <v>690986.82077119604</v>
      </c>
      <c r="AC4" s="219">
        <f>AA4*$C$4</f>
        <v>708261.49129047582</v>
      </c>
      <c r="AE4" s="219">
        <f>AC4*$C$4</f>
        <v>725968.0285727377</v>
      </c>
      <c r="AG4" s="219">
        <f>AE4*$C$4</f>
        <v>744117.22928705614</v>
      </c>
    </row>
    <row r="5" spans="1:34" s="210" customFormat="1" ht="14.25">
      <c r="B5" s="210" t="s">
        <v>839</v>
      </c>
      <c r="C5" s="238">
        <f>IF(Application!$D$211="Special Needs",(((0.1*Application!$T$212)+(0.05*(1-Application!$T$212)))),0.05)</f>
        <v>0.05</v>
      </c>
      <c r="E5" s="221">
        <f>-E4*$C$5</f>
        <v>-26331.600000000002</v>
      </c>
      <c r="F5" s="221"/>
      <c r="G5" s="221">
        <f>-G4*$C$5</f>
        <v>-26989.89</v>
      </c>
      <c r="H5" s="221"/>
      <c r="I5" s="221">
        <f>-I4*$C$5</f>
        <v>-27664.637249999996</v>
      </c>
      <c r="J5" s="221"/>
      <c r="K5" s="221">
        <f>-K4*$C$5</f>
        <v>-28356.253181249995</v>
      </c>
      <c r="L5" s="221"/>
      <c r="M5" s="221">
        <f>-M4*$C$5</f>
        <v>-29065.159510781239</v>
      </c>
      <c r="N5" s="221"/>
      <c r="O5" s="221">
        <f>-O4*$C$5</f>
        <v>-29791.788498550766</v>
      </c>
      <c r="P5" s="221"/>
      <c r="Q5" s="221">
        <f>-Q4*$C$5</f>
        <v>-30536.583211014531</v>
      </c>
      <c r="R5" s="221"/>
      <c r="S5" s="221">
        <f>-S4*$C$5</f>
        <v>-31299.997791289894</v>
      </c>
      <c r="T5" s="221"/>
      <c r="U5" s="221">
        <f>-U4*$C$5</f>
        <v>-32082.497736072139</v>
      </c>
      <c r="V5" s="221"/>
      <c r="W5" s="221">
        <f>-W4*$C$5</f>
        <v>-32884.560179473941</v>
      </c>
      <c r="X5" s="221"/>
      <c r="Y5" s="221">
        <f>-Y4*$C$5</f>
        <v>-33706.674183960786</v>
      </c>
      <c r="Z5" s="221"/>
      <c r="AA5" s="221">
        <f>-AA4*$C$5</f>
        <v>-34549.341038559804</v>
      </c>
      <c r="AB5" s="221"/>
      <c r="AC5" s="221">
        <f>-AC4*$C$5</f>
        <v>-35413.074564523791</v>
      </c>
      <c r="AD5" s="221"/>
      <c r="AE5" s="221">
        <f>-AE4*$C$5</f>
        <v>-36298.401428636884</v>
      </c>
      <c r="AF5" s="221"/>
      <c r="AG5" s="221">
        <f>-AG4*$C$5</f>
        <v>-37205.861464352805</v>
      </c>
    </row>
    <row r="6" spans="1:34" s="210" customFormat="1" ht="14.25">
      <c r="A6" s="210" t="s">
        <v>837</v>
      </c>
      <c r="C6" s="237">
        <v>1.0249999999999999</v>
      </c>
      <c r="E6" s="222">
        <f>Application!Z809</f>
        <v>265080</v>
      </c>
      <c r="F6" s="222"/>
      <c r="G6" s="222">
        <f>E6*$C$6</f>
        <v>271707</v>
      </c>
      <c r="H6" s="222"/>
      <c r="I6" s="222">
        <f>G6*$C$6</f>
        <v>278499.67499999999</v>
      </c>
      <c r="J6" s="222"/>
      <c r="K6" s="222">
        <f>I6*$C$6</f>
        <v>285462.16687499994</v>
      </c>
      <c r="L6" s="222"/>
      <c r="M6" s="222">
        <f>K6*$C$6</f>
        <v>292598.72104687488</v>
      </c>
      <c r="N6" s="222"/>
      <c r="O6" s="222">
        <f>M6*$C$6</f>
        <v>299913.68907304673</v>
      </c>
      <c r="P6" s="222"/>
      <c r="Q6" s="222">
        <f>O6*$C$6</f>
        <v>307411.53129987285</v>
      </c>
      <c r="R6" s="222"/>
      <c r="S6" s="222">
        <f>Q6*$C$6</f>
        <v>315096.81958236964</v>
      </c>
      <c r="T6" s="222"/>
      <c r="U6" s="222">
        <f>S6*$C$6</f>
        <v>322974.24007192889</v>
      </c>
      <c r="V6" s="222"/>
      <c r="W6" s="222">
        <f>U6*$C$6</f>
        <v>331048.59607372707</v>
      </c>
      <c r="X6" s="222"/>
      <c r="Y6" s="222">
        <f>W6*$C$6</f>
        <v>339324.81097557023</v>
      </c>
      <c r="Z6" s="222"/>
      <c r="AA6" s="222">
        <f>Y6*$C$6</f>
        <v>347807.93124995945</v>
      </c>
      <c r="AB6" s="222"/>
      <c r="AC6" s="222">
        <f>AA6*$C$6</f>
        <v>356503.12953120843</v>
      </c>
      <c r="AD6" s="222"/>
      <c r="AE6" s="222">
        <f>AC6*$C$6</f>
        <v>365415.70776948862</v>
      </c>
      <c r="AF6" s="222"/>
      <c r="AG6" s="222">
        <f>AE6*$C$6</f>
        <v>374551.1004637258</v>
      </c>
    </row>
    <row r="7" spans="1:34" s="210" customFormat="1" ht="14.25">
      <c r="B7" s="210" t="s">
        <v>839</v>
      </c>
      <c r="C7" s="238">
        <f>IF(Application!$D$211="Special Needs",(((0.1*Application!$T$212)+(0.05*(1-Application!$T$212)))),0.05)</f>
        <v>0.05</v>
      </c>
      <c r="E7" s="221">
        <f>-E6*$C$7</f>
        <v>-13254</v>
      </c>
      <c r="F7" s="221"/>
      <c r="G7" s="221">
        <f>-G6*$C$7</f>
        <v>-13585.35</v>
      </c>
      <c r="H7" s="221"/>
      <c r="I7" s="221">
        <f>-I6*$C$7</f>
        <v>-13924.983749999999</v>
      </c>
      <c r="J7" s="221"/>
      <c r="K7" s="221">
        <f>-K6*$C$7</f>
        <v>-14273.108343749998</v>
      </c>
      <c r="L7" s="221"/>
      <c r="M7" s="221">
        <f>-M6*$C$7</f>
        <v>-14629.936052343744</v>
      </c>
      <c r="N7" s="221"/>
      <c r="O7" s="221">
        <f>-O6*$C$7</f>
        <v>-14995.684453652337</v>
      </c>
      <c r="P7" s="221"/>
      <c r="Q7" s="221">
        <f>-Q6*$C$7</f>
        <v>-15370.576564993644</v>
      </c>
      <c r="R7" s="221"/>
      <c r="S7" s="221">
        <f>-S6*$C$7</f>
        <v>-15754.840979118482</v>
      </c>
      <c r="T7" s="221"/>
      <c r="U7" s="221">
        <f>-U6*$C$7</f>
        <v>-16148.712003596445</v>
      </c>
      <c r="V7" s="221"/>
      <c r="W7" s="221">
        <f>-W6*$C$7</f>
        <v>-16552.429803686355</v>
      </c>
      <c r="X7" s="221"/>
      <c r="Y7" s="221">
        <f>-Y6*$C$7</f>
        <v>-16966.240548778511</v>
      </c>
      <c r="Z7" s="221"/>
      <c r="AA7" s="221">
        <f>-AA6*$C$7</f>
        <v>-17390.396562497972</v>
      </c>
      <c r="AB7" s="221"/>
      <c r="AC7" s="221">
        <f>-AC6*$C$7</f>
        <v>-17825.156476560423</v>
      </c>
      <c r="AD7" s="221"/>
      <c r="AE7" s="221">
        <f>-AE6*$C$7</f>
        <v>-18270.785388474433</v>
      </c>
      <c r="AF7" s="221"/>
      <c r="AG7" s="221">
        <f>-AG6*$C$7</f>
        <v>-18727.555023186291</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752126.4</v>
      </c>
      <c r="G11" s="223">
        <f>SUM(G4:G10)</f>
        <v>770929.55999999994</v>
      </c>
      <c r="I11" s="223">
        <f>SUM(I4:I10)</f>
        <v>790202.79899999977</v>
      </c>
      <c r="K11" s="223">
        <f>SUM(K4:K10)</f>
        <v>809957.86897499976</v>
      </c>
      <c r="M11" s="223">
        <f>SUM(M4:M10)</f>
        <v>830206.81569937465</v>
      </c>
      <c r="O11" s="223">
        <f>SUM(O4:O10)</f>
        <v>850961.98609185882</v>
      </c>
      <c r="Q11" s="223">
        <f>SUM(Q4:Q10)</f>
        <v>872236.03574415541</v>
      </c>
      <c r="S11" s="223">
        <f>SUM(S4:S10)</f>
        <v>894041.93663775909</v>
      </c>
      <c r="U11" s="223">
        <f>SUM(U4:U10)</f>
        <v>916392.98505370307</v>
      </c>
      <c r="W11" s="223">
        <f>SUM(W4:W10)</f>
        <v>939302.80968004547</v>
      </c>
      <c r="Y11" s="223">
        <f>SUM(Y4:Y10)</f>
        <v>962785.37992204656</v>
      </c>
      <c r="AA11" s="223">
        <f>SUM(AA4:AA10)</f>
        <v>986855.01442009781</v>
      </c>
      <c r="AC11" s="223">
        <f>SUM(AC4:AC10)</f>
        <v>1011526.3897806001</v>
      </c>
      <c r="AE11" s="223">
        <f>SUM(AE4:AE10)</f>
        <v>1036814.5495251151</v>
      </c>
      <c r="AG11" s="223">
        <f>SUM(AG4:AG10)</f>
        <v>1062734.9132632427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14100</v>
      </c>
      <c r="G15" s="219">
        <f>E15*$C$14</f>
        <v>14593.499999999998</v>
      </c>
      <c r="I15" s="219">
        <f>G15*$C$14</f>
        <v>15104.272499999997</v>
      </c>
      <c r="K15" s="219">
        <f>I15*$C$14</f>
        <v>15632.922037499997</v>
      </c>
      <c r="M15" s="219">
        <f>K15*$C$14</f>
        <v>16180.074308812495</v>
      </c>
      <c r="O15" s="219">
        <f>M15*$C$14</f>
        <v>16746.376909620929</v>
      </c>
      <c r="Q15" s="219">
        <f>O15*$C$14</f>
        <v>17332.500101457659</v>
      </c>
      <c r="S15" s="219">
        <f>Q15*$C$14</f>
        <v>17939.137605008676</v>
      </c>
      <c r="U15" s="219">
        <f>S15*$C$14</f>
        <v>18567.007421183978</v>
      </c>
      <c r="W15" s="219">
        <f>U15*$C$14</f>
        <v>19216.852680925414</v>
      </c>
      <c r="Y15" s="219">
        <f>W15*$C$14</f>
        <v>19889.442524757804</v>
      </c>
      <c r="AA15" s="219">
        <f>Y15*$C$14</f>
        <v>20585.573013124325</v>
      </c>
      <c r="AC15" s="219">
        <f>AA15*$C$14</f>
        <v>21306.068068583674</v>
      </c>
      <c r="AE15" s="219">
        <f>AC15*$C$14</f>
        <v>22051.780450984101</v>
      </c>
      <c r="AG15" s="219">
        <f>AE15*$C$14</f>
        <v>22823.592766768543</v>
      </c>
    </row>
    <row r="16" spans="1:34" s="210" customFormat="1" ht="14.25">
      <c r="A16" s="210" t="s">
        <v>344</v>
      </c>
      <c r="C16" s="233"/>
      <c r="E16" s="222">
        <f>Application!W849</f>
        <v>39586</v>
      </c>
      <c r="F16" s="222"/>
      <c r="G16" s="222">
        <f t="shared" ref="G16:AG21" si="0">E16*$C$14</f>
        <v>40971.509999999995</v>
      </c>
      <c r="H16" s="222"/>
      <c r="I16" s="222">
        <f t="shared" si="0"/>
        <v>42405.512849999992</v>
      </c>
      <c r="J16" s="222"/>
      <c r="K16" s="222">
        <f t="shared" si="0"/>
        <v>43889.705799749987</v>
      </c>
      <c r="L16" s="222"/>
      <c r="M16" s="222">
        <f t="shared" si="0"/>
        <v>45425.845502741235</v>
      </c>
      <c r="N16" s="222"/>
      <c r="O16" s="222">
        <f t="shared" si="0"/>
        <v>47015.750095337171</v>
      </c>
      <c r="P16" s="222"/>
      <c r="Q16" s="222">
        <f t="shared" si="0"/>
        <v>48661.301348673966</v>
      </c>
      <c r="R16" s="222"/>
      <c r="S16" s="222">
        <f t="shared" si="0"/>
        <v>50364.446895877547</v>
      </c>
      <c r="T16" s="222"/>
      <c r="U16" s="222">
        <f t="shared" si="0"/>
        <v>52127.202537233257</v>
      </c>
      <c r="V16" s="222"/>
      <c r="W16" s="222">
        <f t="shared" si="0"/>
        <v>53951.654626036419</v>
      </c>
      <c r="X16" s="222"/>
      <c r="Y16" s="222">
        <f t="shared" si="0"/>
        <v>55839.962537947693</v>
      </c>
      <c r="Z16" s="222"/>
      <c r="AA16" s="222">
        <f t="shared" si="0"/>
        <v>57794.361226775858</v>
      </c>
      <c r="AB16" s="222"/>
      <c r="AC16" s="222">
        <f t="shared" si="0"/>
        <v>59817.163869713011</v>
      </c>
      <c r="AD16" s="222"/>
      <c r="AE16" s="222">
        <f t="shared" si="0"/>
        <v>61910.764605152959</v>
      </c>
      <c r="AF16" s="222"/>
      <c r="AG16" s="222">
        <f t="shared" si="0"/>
        <v>64077.641366333308</v>
      </c>
    </row>
    <row r="17" spans="1:33" s="210" customFormat="1" ht="14.25">
      <c r="A17" s="210" t="s">
        <v>562</v>
      </c>
      <c r="C17" s="233"/>
      <c r="E17" s="222">
        <f>Application!W855</f>
        <v>103680</v>
      </c>
      <c r="F17" s="222"/>
      <c r="G17" s="222">
        <f t="shared" si="0"/>
        <v>107308.79999999999</v>
      </c>
      <c r="H17" s="222"/>
      <c r="I17" s="222">
        <f t="shared" si="0"/>
        <v>111064.60799999998</v>
      </c>
      <c r="J17" s="222"/>
      <c r="K17" s="222">
        <f t="shared" si="0"/>
        <v>114951.86927999997</v>
      </c>
      <c r="L17" s="222"/>
      <c r="M17" s="222">
        <f t="shared" si="0"/>
        <v>118975.18470479996</v>
      </c>
      <c r="N17" s="222"/>
      <c r="O17" s="222">
        <f t="shared" si="0"/>
        <v>123139.31616946794</v>
      </c>
      <c r="P17" s="222"/>
      <c r="Q17" s="222">
        <f t="shared" si="0"/>
        <v>127449.19223539931</v>
      </c>
      <c r="R17" s="222"/>
      <c r="S17" s="222">
        <f t="shared" si="0"/>
        <v>131909.91396363828</v>
      </c>
      <c r="T17" s="222"/>
      <c r="U17" s="222">
        <f t="shared" si="0"/>
        <v>136526.76095236561</v>
      </c>
      <c r="V17" s="222"/>
      <c r="W17" s="222">
        <f t="shared" si="0"/>
        <v>141305.19758569839</v>
      </c>
      <c r="X17" s="222"/>
      <c r="Y17" s="222">
        <f t="shared" si="0"/>
        <v>146250.87950119784</v>
      </c>
      <c r="Z17" s="222"/>
      <c r="AA17" s="222">
        <f t="shared" si="0"/>
        <v>151369.66028373974</v>
      </c>
      <c r="AB17" s="222"/>
      <c r="AC17" s="222">
        <f t="shared" si="0"/>
        <v>156667.5983936706</v>
      </c>
      <c r="AD17" s="222"/>
      <c r="AE17" s="222">
        <f t="shared" si="0"/>
        <v>162150.96433744906</v>
      </c>
      <c r="AF17" s="222"/>
      <c r="AG17" s="222">
        <f t="shared" si="0"/>
        <v>167826.24808925975</v>
      </c>
    </row>
    <row r="18" spans="1:33" s="210" customFormat="1" ht="14.25">
      <c r="A18" s="210" t="s">
        <v>843</v>
      </c>
      <c r="C18" s="233"/>
      <c r="E18" s="222">
        <f>Application!W862</f>
        <v>159985</v>
      </c>
      <c r="F18" s="222"/>
      <c r="G18" s="222">
        <f t="shared" si="0"/>
        <v>165584.47499999998</v>
      </c>
      <c r="H18" s="222"/>
      <c r="I18" s="222">
        <f t="shared" si="0"/>
        <v>171379.93162499997</v>
      </c>
      <c r="J18" s="222"/>
      <c r="K18" s="222">
        <f t="shared" si="0"/>
        <v>177378.22923187495</v>
      </c>
      <c r="L18" s="222"/>
      <c r="M18" s="222">
        <f t="shared" si="0"/>
        <v>183586.46725499057</v>
      </c>
      <c r="N18" s="222"/>
      <c r="O18" s="222">
        <f t="shared" si="0"/>
        <v>190011.99360891522</v>
      </c>
      <c r="P18" s="222"/>
      <c r="Q18" s="222">
        <f t="shared" si="0"/>
        <v>196662.41338522724</v>
      </c>
      <c r="R18" s="222"/>
      <c r="S18" s="222">
        <f t="shared" si="0"/>
        <v>203545.59785371018</v>
      </c>
      <c r="T18" s="222"/>
      <c r="U18" s="222">
        <f t="shared" si="0"/>
        <v>210669.69377859001</v>
      </c>
      <c r="V18" s="222"/>
      <c r="W18" s="222">
        <f t="shared" si="0"/>
        <v>218043.13306084063</v>
      </c>
      <c r="X18" s="222"/>
      <c r="Y18" s="222">
        <f t="shared" si="0"/>
        <v>225674.64271797004</v>
      </c>
      <c r="Z18" s="222"/>
      <c r="AA18" s="222">
        <f t="shared" si="0"/>
        <v>233573.25521309898</v>
      </c>
      <c r="AB18" s="222"/>
      <c r="AC18" s="222">
        <f t="shared" si="0"/>
        <v>241748.31914555741</v>
      </c>
      <c r="AD18" s="222"/>
      <c r="AE18" s="222">
        <f t="shared" si="0"/>
        <v>250209.51031565189</v>
      </c>
      <c r="AF18" s="222"/>
      <c r="AG18" s="222">
        <f t="shared" si="0"/>
        <v>258966.84317669968</v>
      </c>
    </row>
    <row r="19" spans="1:33" s="210" customFormat="1" ht="14.25">
      <c r="A19" s="210" t="s">
        <v>155</v>
      </c>
      <c r="C19" s="233"/>
      <c r="E19" s="222">
        <f>Application!W863</f>
        <v>40000</v>
      </c>
      <c r="F19" s="222"/>
      <c r="G19" s="222">
        <f t="shared" si="0"/>
        <v>41400</v>
      </c>
      <c r="H19" s="222"/>
      <c r="I19" s="222">
        <f t="shared" si="0"/>
        <v>42849</v>
      </c>
      <c r="J19" s="222"/>
      <c r="K19" s="222">
        <f t="shared" si="0"/>
        <v>44348.714999999997</v>
      </c>
      <c r="L19" s="222"/>
      <c r="M19" s="222">
        <f t="shared" si="0"/>
        <v>45900.920024999992</v>
      </c>
      <c r="N19" s="222"/>
      <c r="O19" s="222">
        <f t="shared" si="0"/>
        <v>47507.452225874986</v>
      </c>
      <c r="P19" s="222"/>
      <c r="Q19" s="222">
        <f t="shared" si="0"/>
        <v>49170.213053780608</v>
      </c>
      <c r="R19" s="222"/>
      <c r="S19" s="222">
        <f t="shared" si="0"/>
        <v>50891.170510662923</v>
      </c>
      <c r="T19" s="222"/>
      <c r="U19" s="222">
        <f t="shared" si="0"/>
        <v>52672.361478536121</v>
      </c>
      <c r="V19" s="222"/>
      <c r="W19" s="222">
        <f t="shared" si="0"/>
        <v>54515.894130284883</v>
      </c>
      <c r="X19" s="222"/>
      <c r="Y19" s="222">
        <f t="shared" si="0"/>
        <v>56423.95042484485</v>
      </c>
      <c r="Z19" s="222"/>
      <c r="AA19" s="222">
        <f t="shared" si="0"/>
        <v>58398.788689714413</v>
      </c>
      <c r="AB19" s="222"/>
      <c r="AC19" s="222">
        <f t="shared" si="0"/>
        <v>60442.746293854412</v>
      </c>
      <c r="AD19" s="222"/>
      <c r="AE19" s="222">
        <f t="shared" si="0"/>
        <v>62558.242414139313</v>
      </c>
      <c r="AF19" s="222"/>
      <c r="AG19" s="222">
        <f t="shared" si="0"/>
        <v>64747.780898634184</v>
      </c>
    </row>
    <row r="20" spans="1:33" s="210" customFormat="1" ht="14.25">
      <c r="A20" s="210" t="s">
        <v>390</v>
      </c>
      <c r="C20" s="233"/>
      <c r="E20" s="222">
        <f>Application!W872</f>
        <v>42800</v>
      </c>
      <c r="F20" s="222"/>
      <c r="G20" s="222">
        <f t="shared" si="0"/>
        <v>44298</v>
      </c>
      <c r="H20" s="222"/>
      <c r="I20" s="222">
        <f t="shared" si="0"/>
        <v>45848.429999999993</v>
      </c>
      <c r="J20" s="222"/>
      <c r="K20" s="222">
        <f t="shared" si="0"/>
        <v>47453.125049999988</v>
      </c>
      <c r="L20" s="222"/>
      <c r="M20" s="222">
        <f t="shared" si="0"/>
        <v>49113.984426749987</v>
      </c>
      <c r="N20" s="222"/>
      <c r="O20" s="222">
        <f t="shared" si="0"/>
        <v>50832.97388168623</v>
      </c>
      <c r="P20" s="222"/>
      <c r="Q20" s="222">
        <f t="shared" si="0"/>
        <v>52612.127967545246</v>
      </c>
      <c r="R20" s="222"/>
      <c r="S20" s="222">
        <f t="shared" si="0"/>
        <v>54453.552446409325</v>
      </c>
      <c r="T20" s="222"/>
      <c r="U20" s="222">
        <f t="shared" si="0"/>
        <v>56359.426782033646</v>
      </c>
      <c r="V20" s="222"/>
      <c r="W20" s="222">
        <f t="shared" si="0"/>
        <v>58332.006719404817</v>
      </c>
      <c r="X20" s="222"/>
      <c r="Y20" s="222">
        <f t="shared" si="0"/>
        <v>60373.626954583982</v>
      </c>
      <c r="Z20" s="222"/>
      <c r="AA20" s="222">
        <f t="shared" si="0"/>
        <v>62486.703897994419</v>
      </c>
      <c r="AB20" s="222"/>
      <c r="AC20" s="222">
        <f t="shared" si="0"/>
        <v>64673.738534424221</v>
      </c>
      <c r="AD20" s="222"/>
      <c r="AE20" s="222">
        <f t="shared" si="0"/>
        <v>66937.31938312907</v>
      </c>
      <c r="AF20" s="222"/>
      <c r="AG20" s="222">
        <f t="shared" si="0"/>
        <v>69280.125561538589</v>
      </c>
    </row>
    <row r="21" spans="1:33" s="210" customFormat="1" ht="14.25">
      <c r="A21" s="226" t="s">
        <v>963</v>
      </c>
      <c r="B21" s="226"/>
      <c r="C21" s="233"/>
      <c r="E21" s="232">
        <f>Application!W879</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5">
      <c r="A22" s="223" t="s">
        <v>844</v>
      </c>
      <c r="C22" s="233"/>
      <c r="E22" s="223">
        <f>SUM(E15:E21)</f>
        <v>400951</v>
      </c>
      <c r="G22" s="223">
        <f>SUM(G15:G21)</f>
        <v>414984.28499999997</v>
      </c>
      <c r="I22" s="223">
        <f>SUM(I15:I21)</f>
        <v>429508.73497499991</v>
      </c>
      <c r="K22" s="223">
        <f>SUM(K15:K21)</f>
        <v>444541.54069912486</v>
      </c>
      <c r="M22" s="223">
        <f>SUM(M15:M21)</f>
        <v>460100.49462359428</v>
      </c>
      <c r="O22" s="223">
        <f>SUM(O15:O21)</f>
        <v>476204.01193541993</v>
      </c>
      <c r="Q22" s="223">
        <f>SUM(Q15:Q21)</f>
        <v>492871.15235315962</v>
      </c>
      <c r="S22" s="223">
        <f>SUM(S15:S21)</f>
        <v>510121.64268552023</v>
      </c>
      <c r="U22" s="223">
        <f>SUM(U15:U21)</f>
        <v>527975.90017951338</v>
      </c>
      <c r="W22" s="223">
        <f>SUM(W15:W21)</f>
        <v>546455.05668579624</v>
      </c>
      <c r="Y22" s="223">
        <f>SUM(Y15:Y21)</f>
        <v>565580.98366979917</v>
      </c>
      <c r="AA22" s="223">
        <f>SUM(AA15:AA21)</f>
        <v>585376.31809824205</v>
      </c>
      <c r="AC22" s="223">
        <f>SUM(AC15:AC21)</f>
        <v>605864.4892316804</v>
      </c>
      <c r="AE22" s="223">
        <f>SUM(AE15:AE21)</f>
        <v>627069.74635478912</v>
      </c>
      <c r="AG22" s="223">
        <f>SUM(AG15:AG21)</f>
        <v>649017.18747720681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4200</v>
      </c>
      <c r="F26" s="222"/>
      <c r="G26" s="222">
        <f>E26*$C$26</f>
        <v>4347</v>
      </c>
      <c r="H26" s="222"/>
      <c r="I26" s="222">
        <f>G26*$C$26</f>
        <v>4499.1449999999995</v>
      </c>
      <c r="J26" s="222"/>
      <c r="K26" s="222">
        <f>I26*$C$26</f>
        <v>4656.6150749999988</v>
      </c>
      <c r="L26" s="222"/>
      <c r="M26" s="222">
        <f>K26*$C$26</f>
        <v>4819.596602624998</v>
      </c>
      <c r="N26" s="222"/>
      <c r="O26" s="222">
        <f>M26*$C$26</f>
        <v>4988.2824837168728</v>
      </c>
      <c r="P26" s="222"/>
      <c r="Q26" s="222">
        <f>O26*$C$26</f>
        <v>5162.8723706469627</v>
      </c>
      <c r="R26" s="222"/>
      <c r="S26" s="222">
        <f>Q26*$C$26</f>
        <v>5343.5729036196062</v>
      </c>
      <c r="T26" s="222"/>
      <c r="U26" s="222">
        <f>S26*$C$26</f>
        <v>5530.5979552462923</v>
      </c>
      <c r="V26" s="222"/>
      <c r="W26" s="222">
        <f>U26*$C$26</f>
        <v>5724.1688836799121</v>
      </c>
      <c r="X26" s="222"/>
      <c r="Y26" s="222">
        <f>W26*$C$26</f>
        <v>5924.5147946087091</v>
      </c>
      <c r="Z26" s="222"/>
      <c r="AA26" s="222">
        <f>Y26*$C$26</f>
        <v>6131.8728124200134</v>
      </c>
      <c r="AB26" s="222"/>
      <c r="AC26" s="222">
        <f>AA26*$C$26</f>
        <v>6346.4883608547134</v>
      </c>
      <c r="AD26" s="222"/>
      <c r="AE26" s="222">
        <f>AC26*$C$26</f>
        <v>6568.6154534846282</v>
      </c>
      <c r="AF26" s="222"/>
      <c r="AG26" s="222">
        <f>AE26*$C$26</f>
        <v>6798.5169943565897</v>
      </c>
    </row>
    <row r="27" spans="1:33" s="210" customFormat="1" ht="14.25">
      <c r="A27" s="210" t="s">
        <v>846</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847</v>
      </c>
      <c r="C28" s="237"/>
      <c r="E28" s="222">
        <f>Application!AC889</f>
        <v>16500</v>
      </c>
      <c r="F28" s="222"/>
      <c r="G28" s="222">
        <f>$E$28</f>
        <v>16500</v>
      </c>
      <c r="H28" s="222"/>
      <c r="I28" s="222">
        <f>$E$28</f>
        <v>16500</v>
      </c>
      <c r="J28" s="222"/>
      <c r="K28" s="222">
        <f>$E$28</f>
        <v>16500</v>
      </c>
      <c r="L28" s="222"/>
      <c r="M28" s="222">
        <f>$E$28</f>
        <v>16500</v>
      </c>
      <c r="N28" s="222"/>
      <c r="O28" s="222">
        <f>$E$28</f>
        <v>16500</v>
      </c>
      <c r="P28" s="222"/>
      <c r="Q28" s="222">
        <f>$E$28</f>
        <v>16500</v>
      </c>
      <c r="R28" s="222"/>
      <c r="S28" s="222">
        <f>$E$28</f>
        <v>16500</v>
      </c>
      <c r="T28" s="222"/>
      <c r="U28" s="222">
        <f>$E$28</f>
        <v>16500</v>
      </c>
      <c r="V28" s="222"/>
      <c r="W28" s="222">
        <f>$E$28</f>
        <v>16500</v>
      </c>
      <c r="X28" s="222"/>
      <c r="Y28" s="222">
        <f>$E$28</f>
        <v>16500</v>
      </c>
      <c r="Z28" s="222"/>
      <c r="AA28" s="222">
        <f>$E$28</f>
        <v>16500</v>
      </c>
      <c r="AB28" s="222"/>
      <c r="AC28" s="222">
        <f>$E$28</f>
        <v>16500</v>
      </c>
      <c r="AD28" s="222"/>
      <c r="AE28" s="222">
        <f>$E$28</f>
        <v>16500</v>
      </c>
      <c r="AF28" s="222"/>
      <c r="AG28" s="222">
        <f>$E$28</f>
        <v>16500</v>
      </c>
    </row>
    <row r="29" spans="1:33" s="210" customFormat="1" ht="14.25">
      <c r="A29" s="210" t="s">
        <v>1681</v>
      </c>
      <c r="C29" s="237"/>
      <c r="E29" s="222">
        <f>Application!AC890</f>
        <v>9600</v>
      </c>
      <c r="F29" s="222"/>
      <c r="G29" s="222">
        <f>$E$29</f>
        <v>9600</v>
      </c>
      <c r="H29" s="222"/>
      <c r="I29" s="222">
        <f>$E$29</f>
        <v>9600</v>
      </c>
      <c r="J29" s="222"/>
      <c r="K29" s="222">
        <f>$E$29</f>
        <v>9600</v>
      </c>
      <c r="L29" s="222"/>
      <c r="M29" s="222">
        <f>$E$29</f>
        <v>9600</v>
      </c>
      <c r="N29" s="222"/>
      <c r="O29" s="222">
        <f>$E$29</f>
        <v>9600</v>
      </c>
      <c r="P29" s="222"/>
      <c r="Q29" s="222">
        <f>$E$29</f>
        <v>9600</v>
      </c>
      <c r="R29" s="222"/>
      <c r="S29" s="222">
        <f>$E$29</f>
        <v>9600</v>
      </c>
      <c r="T29" s="222"/>
      <c r="U29" s="222">
        <f>$E$29</f>
        <v>9600</v>
      </c>
      <c r="V29" s="222"/>
      <c r="W29" s="222">
        <f>$E$29</f>
        <v>9600</v>
      </c>
      <c r="X29" s="222"/>
      <c r="Y29" s="222">
        <f>$E$29</f>
        <v>9600</v>
      </c>
      <c r="Z29" s="222"/>
      <c r="AA29" s="222">
        <f>$E$29</f>
        <v>9600</v>
      </c>
      <c r="AB29" s="222"/>
      <c r="AC29" s="222">
        <f>$E$29</f>
        <v>9600</v>
      </c>
      <c r="AD29" s="222"/>
      <c r="AE29" s="222">
        <f>$E$29</f>
        <v>9600</v>
      </c>
      <c r="AF29" s="222"/>
      <c r="AG29" s="222">
        <f>$E$29</f>
        <v>9600</v>
      </c>
    </row>
    <row r="30" spans="1:33" s="210" customFormat="1" ht="14.25">
      <c r="A30" s="210" t="s">
        <v>845</v>
      </c>
      <c r="C30" s="237">
        <v>1.02</v>
      </c>
      <c r="E30" s="222">
        <f>Application!AC891</f>
        <v>2500</v>
      </c>
      <c r="F30" s="222"/>
      <c r="G30" s="222">
        <f>E30*$C$30</f>
        <v>2550</v>
      </c>
      <c r="H30" s="222"/>
      <c r="I30" s="222">
        <f>G30*$C$30</f>
        <v>2601</v>
      </c>
      <c r="J30" s="222"/>
      <c r="K30" s="222">
        <f>I30*$C$30</f>
        <v>2653.02</v>
      </c>
      <c r="L30" s="222"/>
      <c r="M30" s="222">
        <f>K30*$C$30</f>
        <v>2706.0803999999998</v>
      </c>
      <c r="N30" s="222"/>
      <c r="O30" s="222">
        <f>M30*$C$30</f>
        <v>2760.2020079999998</v>
      </c>
      <c r="P30" s="222"/>
      <c r="Q30" s="222">
        <f>O30*$C$30</f>
        <v>2815.40604816</v>
      </c>
      <c r="R30" s="222"/>
      <c r="S30" s="222">
        <f>Q30*$C$30</f>
        <v>2871.7141691232</v>
      </c>
      <c r="T30" s="222"/>
      <c r="U30" s="222">
        <f>S30*$C$30</f>
        <v>2929.148452505664</v>
      </c>
      <c r="V30" s="222"/>
      <c r="W30" s="222">
        <f>U30*$C$30</f>
        <v>2987.7314215557772</v>
      </c>
      <c r="X30" s="222"/>
      <c r="Y30" s="222">
        <f>W30*$C$30</f>
        <v>3047.4860499868928</v>
      </c>
      <c r="Z30" s="222"/>
      <c r="AA30" s="222">
        <f>Y30*$C$30</f>
        <v>3108.4357709866308</v>
      </c>
      <c r="AB30" s="222"/>
      <c r="AC30" s="222">
        <f>AA30*$C$30</f>
        <v>3170.6044864063633</v>
      </c>
      <c r="AD30" s="222"/>
      <c r="AE30" s="222">
        <f>AC30*$C$30</f>
        <v>3234.0165761344906</v>
      </c>
      <c r="AF30" s="222"/>
      <c r="AG30" s="222">
        <f>AE30*$C$30</f>
        <v>3298.6969076571804</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(bond issuer fee):</v>
      </c>
      <c r="C32" s="316">
        <v>1.0349999999999999</v>
      </c>
      <c r="E32" s="222">
        <f>Application!AC894</f>
        <v>9600</v>
      </c>
      <c r="F32" s="222"/>
      <c r="G32" s="222">
        <f>E32*$C$32</f>
        <v>9936</v>
      </c>
      <c r="H32" s="222"/>
      <c r="I32" s="222">
        <f>G32*$C$32</f>
        <v>10283.759999999998</v>
      </c>
      <c r="J32" s="222"/>
      <c r="K32" s="222">
        <f>I32*$C$32</f>
        <v>10643.691599999998</v>
      </c>
      <c r="L32" s="222"/>
      <c r="M32" s="222">
        <f>K32*$C$32</f>
        <v>11016.220805999998</v>
      </c>
      <c r="N32" s="222"/>
      <c r="O32" s="222">
        <f>M32*$C$32</f>
        <v>11401.788534209996</v>
      </c>
      <c r="P32" s="222"/>
      <c r="Q32" s="222">
        <f>O32*$C$32</f>
        <v>11800.851132907344</v>
      </c>
      <c r="R32" s="222"/>
      <c r="S32" s="222">
        <f>Q32*$C$32</f>
        <v>12213.880922559101</v>
      </c>
      <c r="T32" s="222"/>
      <c r="U32" s="222">
        <f>S32*$C$32</f>
        <v>12641.366754848668</v>
      </c>
      <c r="V32" s="222"/>
      <c r="W32" s="222">
        <f>U32*$C$32</f>
        <v>13083.81459126837</v>
      </c>
      <c r="X32" s="222"/>
      <c r="Y32" s="222">
        <f>W32*$C$32</f>
        <v>13541.748101962763</v>
      </c>
      <c r="Z32" s="222"/>
      <c r="AA32" s="222">
        <f>Y32*$C$32</f>
        <v>14015.709285531459</v>
      </c>
      <c r="AB32" s="222"/>
      <c r="AC32" s="222">
        <f>AA32*$C$32</f>
        <v>14506.259110525058</v>
      </c>
      <c r="AD32" s="222"/>
      <c r="AE32" s="222">
        <f>AC32*$C$32</f>
        <v>15013.978179393433</v>
      </c>
      <c r="AF32" s="222"/>
      <c r="AG32" s="222">
        <f>AE32*$C$32</f>
        <v>15539.467415672201</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473351</v>
      </c>
      <c r="G35" s="223">
        <f>SUM(G22:G33)</f>
        <v>488967.28499999997</v>
      </c>
      <c r="I35" s="223">
        <f>SUM(I22:I33)</f>
        <v>505129.38997499994</v>
      </c>
      <c r="K35" s="223">
        <f>SUM(K22:K33)</f>
        <v>521856.40362412488</v>
      </c>
      <c r="M35" s="223">
        <f>SUM(M22:M33)</f>
        <v>539168.08245096914</v>
      </c>
      <c r="O35" s="223">
        <f>SUM(O22:O33)</f>
        <v>557084.87413075287</v>
      </c>
      <c r="Q35" s="223">
        <f>SUM(Q22:Q33)</f>
        <v>575627.94169520936</v>
      </c>
      <c r="S35" s="223">
        <f>SUM(S22:S33)</f>
        <v>594819.18856381928</v>
      </c>
      <c r="U35" s="223">
        <f>SUM(U22:U33)</f>
        <v>614681.28445101611</v>
      </c>
      <c r="W35" s="223">
        <f>SUM(W22:W33)</f>
        <v>635237.69218001398</v>
      </c>
      <c r="Y35" s="223">
        <f>SUM(Y22:Y33)</f>
        <v>656512.69543499115</v>
      </c>
      <c r="AA35" s="223">
        <f>SUM(AA22:AA33)</f>
        <v>678531.42748446588</v>
      </c>
      <c r="AC35" s="223">
        <f>SUM(AC22:AC33)</f>
        <v>701319.90090985724</v>
      </c>
      <c r="AE35" s="223">
        <f>SUM(AE22:AE33)</f>
        <v>724905.03837440617</v>
      </c>
      <c r="AG35" s="223">
        <f>SUM(AG22:AG33)</f>
        <v>749314.70446886844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278775.40000000002</v>
      </c>
      <c r="G37" s="223">
        <f>G11-G35</f>
        <v>281962.27499999997</v>
      </c>
      <c r="I37" s="223">
        <f>I11-I35</f>
        <v>285073.40902499983</v>
      </c>
      <c r="K37" s="223">
        <f>K11-K35</f>
        <v>288101.46535087487</v>
      </c>
      <c r="M37" s="223">
        <f>M11-M35</f>
        <v>291038.73324840551</v>
      </c>
      <c r="O37" s="223">
        <f>O11-O35</f>
        <v>293877.11196110595</v>
      </c>
      <c r="Q37" s="223">
        <f>Q11-Q35</f>
        <v>296608.09404894605</v>
      </c>
      <c r="S37" s="223">
        <f>S11-S35</f>
        <v>299222.74807393982</v>
      </c>
      <c r="U37" s="223">
        <f>U11-U35</f>
        <v>301711.70060268696</v>
      </c>
      <c r="W37" s="223">
        <f>W11-W35</f>
        <v>304065.11750003148</v>
      </c>
      <c r="Y37" s="223">
        <f>Y11-Y35</f>
        <v>306272.68448705541</v>
      </c>
      <c r="AA37" s="223">
        <f>AA11-AA35</f>
        <v>308323.58693563193</v>
      </c>
      <c r="AC37" s="223">
        <f>AC11-AC35</f>
        <v>310206.48887074285</v>
      </c>
      <c r="AE37" s="223">
        <f>AE11-AE35</f>
        <v>311909.51115070889</v>
      </c>
      <c r="AG37" s="223">
        <f>AG11-AG35</f>
        <v>313420.20879437425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Banc of CA</v>
      </c>
      <c r="B40" s="226"/>
      <c r="C40" s="220"/>
      <c r="E40" s="222">
        <f>Application!AF627</f>
        <v>232448.2591151318</v>
      </c>
      <c r="F40" s="222"/>
      <c r="G40" s="222">
        <f>$E$40</f>
        <v>232448.2591151318</v>
      </c>
      <c r="H40" s="222"/>
      <c r="I40" s="222">
        <f>$E$40</f>
        <v>232448.2591151318</v>
      </c>
      <c r="J40" s="222"/>
      <c r="K40" s="222">
        <f>$E$40</f>
        <v>232448.2591151318</v>
      </c>
      <c r="L40" s="222"/>
      <c r="M40" s="222">
        <f>$E$40</f>
        <v>232448.2591151318</v>
      </c>
      <c r="N40" s="222"/>
      <c r="O40" s="222">
        <f>$E$40</f>
        <v>232448.2591151318</v>
      </c>
      <c r="P40" s="222"/>
      <c r="Q40" s="222">
        <f>$E$40</f>
        <v>232448.2591151318</v>
      </c>
      <c r="R40" s="222"/>
      <c r="S40" s="222">
        <f>$E$40</f>
        <v>232448.2591151318</v>
      </c>
      <c r="T40" s="222"/>
      <c r="U40" s="222">
        <f>$E$40</f>
        <v>232448.2591151318</v>
      </c>
      <c r="V40" s="222"/>
      <c r="W40" s="222">
        <f>$E$40</f>
        <v>232448.2591151318</v>
      </c>
      <c r="X40" s="222"/>
      <c r="Y40" s="222">
        <f>$E$40</f>
        <v>232448.2591151318</v>
      </c>
      <c r="Z40" s="222"/>
      <c r="AA40" s="222">
        <f>$E$40</f>
        <v>232448.2591151318</v>
      </c>
      <c r="AB40" s="222"/>
      <c r="AC40" s="222">
        <f>$E$40</f>
        <v>232448.2591151318</v>
      </c>
      <c r="AD40" s="222"/>
      <c r="AE40" s="222">
        <f>$E$40</f>
        <v>232448.2591151318</v>
      </c>
      <c r="AF40" s="222"/>
      <c r="AG40" s="222">
        <f>$E$40</f>
        <v>232448.2591151318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232448.2591151318</v>
      </c>
      <c r="G43" s="223">
        <f>SUM(G40:G42)</f>
        <v>232448.2591151318</v>
      </c>
      <c r="I43" s="223">
        <f>SUM(I40:I42)</f>
        <v>232448.2591151318</v>
      </c>
      <c r="K43" s="223">
        <f>SUM(K40:K42)</f>
        <v>232448.2591151318</v>
      </c>
      <c r="M43" s="223">
        <f>SUM(M40:M42)</f>
        <v>232448.2591151318</v>
      </c>
      <c r="O43" s="223">
        <f>SUM(O40:O42)</f>
        <v>232448.2591151318</v>
      </c>
      <c r="Q43" s="223">
        <f>SUM(Q40:Q42)</f>
        <v>232448.2591151318</v>
      </c>
      <c r="S43" s="223">
        <f>SUM(S40:S42)</f>
        <v>232448.2591151318</v>
      </c>
      <c r="U43" s="223">
        <f>SUM(U40:U42)</f>
        <v>232448.2591151318</v>
      </c>
      <c r="W43" s="223">
        <f>SUM(W40:W42)</f>
        <v>232448.2591151318</v>
      </c>
      <c r="Y43" s="223">
        <f>SUM(Y40:Y42)</f>
        <v>232448.2591151318</v>
      </c>
      <c r="AA43" s="223">
        <f>SUM(AA40:AA42)</f>
        <v>232448.2591151318</v>
      </c>
      <c r="AC43" s="223">
        <f>SUM(AC40:AC42)</f>
        <v>232448.2591151318</v>
      </c>
      <c r="AE43" s="223">
        <f>SUM(AE40:AE42)</f>
        <v>232448.2591151318</v>
      </c>
      <c r="AG43" s="223">
        <f>SUM(AG40:AG42)</f>
        <v>232448.2591151318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46327.140884868219</v>
      </c>
      <c r="G45" s="223">
        <f>G37-G43</f>
        <v>49514.01588486816</v>
      </c>
      <c r="I45" s="223">
        <f>I37-I43</f>
        <v>52625.149909868021</v>
      </c>
      <c r="K45" s="223">
        <f>K37-K43</f>
        <v>55653.20623574307</v>
      </c>
      <c r="M45" s="223">
        <f>M37-M43</f>
        <v>58590.474133273703</v>
      </c>
      <c r="O45" s="223">
        <f>O37-O43</f>
        <v>61428.85284597415</v>
      </c>
      <c r="Q45" s="223">
        <f>Q37-Q43</f>
        <v>64159.834933814243</v>
      </c>
      <c r="S45" s="223">
        <f>S37-S43</f>
        <v>66774.488958808011</v>
      </c>
      <c r="U45" s="223">
        <f>U37-U43</f>
        <v>69263.441487555159</v>
      </c>
      <c r="W45" s="223">
        <f>W37-W43</f>
        <v>71616.858384899679</v>
      </c>
      <c r="Y45" s="223">
        <f>Y37-Y43</f>
        <v>73824.4253719236</v>
      </c>
      <c r="AA45" s="223">
        <f>AA37-AA43</f>
        <v>75875.327820500126</v>
      </c>
      <c r="AC45" s="223">
        <f>AC37-AC43</f>
        <v>77758.229755611042</v>
      </c>
      <c r="AE45" s="223">
        <f>AE37-AE43</f>
        <v>79461.252035577083</v>
      </c>
      <c r="AG45" s="223">
        <f>AG37-AG43</f>
        <v>80971.949679242447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5.8515142987435098E-2</v>
      </c>
      <c r="G47" s="227">
        <f>G45/(G4+G6+G8)</f>
        <v>6.1015062245926538E-2</v>
      </c>
      <c r="I47" s="227">
        <f>I45/(I4+I6+I8)</f>
        <v>6.3267166957193505E-2</v>
      </c>
      <c r="K47" s="227">
        <f>K45/(K4+K6+K8)</f>
        <v>6.527567414199395E-2</v>
      </c>
      <c r="M47" s="227">
        <f>M45/(M4+M6+M8)</f>
        <v>6.7044680161678347E-2</v>
      </c>
      <c r="O47" s="227">
        <f>O45/(O4+O6+O8)</f>
        <v>6.8578163487288749E-2</v>
      </c>
      <c r="Q47" s="227">
        <f>Q45/(Q4+Q6+Q8)</f>
        <v>6.987998739942218E-2</v>
      </c>
      <c r="S47" s="227">
        <f>S45/(S4+S6+S8)</f>
        <v>7.0953902620532236E-2</v>
      </c>
      <c r="U47" s="227">
        <f>U45/(U4+U6+U8)</f>
        <v>7.1803549881300457E-2</v>
      </c>
      <c r="W47" s="227">
        <f>W45/(W4+W6+W8)</f>
        <v>7.2432462422666211E-2</v>
      </c>
      <c r="Y47" s="227">
        <f>Y45/(Y4+Y6+Y8)</f>
        <v>7.2844068435071033E-2</v>
      </c>
      <c r="AA47" s="227">
        <f>AA45/(AA4+AA6+AA8)</f>
        <v>7.3041693436428606E-2</v>
      </c>
      <c r="AC47" s="227">
        <f>AC45/(AC4+AC6+AC8)</f>
        <v>7.3028562590297774E-2</v>
      </c>
      <c r="AE47" s="227">
        <f>AE45/(AE4+AE6+AE8)</f>
        <v>7.2807802965702551E-2</v>
      </c>
      <c r="AG47" s="227">
        <f>AG45/(AG4+AG6+AG8)</f>
        <v>7.2382445740000051E-2</v>
      </c>
    </row>
    <row r="48" spans="1:33" s="227" customFormat="1" ht="14.25">
      <c r="A48" s="227" t="s">
        <v>853</v>
      </c>
      <c r="C48" s="220"/>
      <c r="E48" s="227">
        <f>E45/E43</f>
        <v>0.19930087263816568</v>
      </c>
      <c r="G48" s="227">
        <f>G45/G43</f>
        <v>0.21301091293759197</v>
      </c>
      <c r="I48" s="227">
        <f>I45/I43</f>
        <v>0.22639511308967361</v>
      </c>
      <c r="K48" s="227">
        <f>K45/K43</f>
        <v>0.23942191026768669</v>
      </c>
      <c r="M48" s="227">
        <f>M45/M43</f>
        <v>0.25205813266277804</v>
      </c>
      <c r="O48" s="227">
        <f>O45/O43</f>
        <v>0.26426893055606149</v>
      </c>
      <c r="Q48" s="227">
        <f>Q45/Q43</f>
        <v>0.27601770466276465</v>
      </c>
      <c r="S48" s="227">
        <f>S45/S43</f>
        <v>0.28726603164506626</v>
      </c>
      <c r="U48" s="227">
        <f>U45/U43</f>
        <v>0.29797358668644158</v>
      </c>
      <c r="W48" s="227">
        <f>W45/W43</f>
        <v>0.30809806301637127</v>
      </c>
      <c r="Y48" s="227">
        <f>Y45/Y43</f>
        <v>0.31759508827019567</v>
      </c>
      <c r="AA48" s="227">
        <f>AA45/AA43</f>
        <v>0.32641813756462257</v>
      </c>
      <c r="AC48" s="227">
        <f>AC45/AC43</f>
        <v>0.33451844316501134</v>
      </c>
      <c r="AE48" s="227">
        <f>AE45/AE43</f>
        <v>0.34184490061601136</v>
      </c>
      <c r="AG48" s="227">
        <f>AG45/AG43</f>
        <v>0.34834397120236971</v>
      </c>
    </row>
    <row r="49" spans="1:34" s="228" customFormat="1" ht="14.25">
      <c r="A49" s="228" t="s">
        <v>851</v>
      </c>
      <c r="C49" s="229"/>
      <c r="E49" s="228">
        <f>E37/E43</f>
        <v>1.1993008726381658</v>
      </c>
      <c r="G49" s="228">
        <f>G37/G43</f>
        <v>1.2130109129375919</v>
      </c>
      <c r="I49" s="228">
        <f>I37/I43</f>
        <v>1.2263951130896735</v>
      </c>
      <c r="K49" s="228">
        <f>K37/K43</f>
        <v>1.2394219102676867</v>
      </c>
      <c r="M49" s="228">
        <f>M37/M43</f>
        <v>1.252058132662778</v>
      </c>
      <c r="O49" s="228">
        <f>O37/O43</f>
        <v>1.2642689305560615</v>
      </c>
      <c r="Q49" s="228">
        <f>Q37/Q43</f>
        <v>1.2760177046627648</v>
      </c>
      <c r="S49" s="228">
        <f>S37/S43</f>
        <v>1.2872660316450661</v>
      </c>
      <c r="U49" s="228">
        <f>U37/U43</f>
        <v>1.2979735866864415</v>
      </c>
      <c r="W49" s="228">
        <f>W37/W43</f>
        <v>1.3080980630163712</v>
      </c>
      <c r="Y49" s="228">
        <f>Y37/Y43</f>
        <v>1.3175950882701957</v>
      </c>
      <c r="AA49" s="228">
        <f>AA37/AA43</f>
        <v>1.3264181375646227</v>
      </c>
      <c r="AC49" s="228">
        <f>AC37/AC43</f>
        <v>1.3345184431650112</v>
      </c>
      <c r="AE49" s="228">
        <f>AE37/AE43</f>
        <v>1.3418449006160114</v>
      </c>
      <c r="AG49" s="228">
        <f>AG37/AG43</f>
        <v>1.3483439712023697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8" t="s">
        <v>1185</v>
      </c>
      <c r="B52" s="2688"/>
      <c r="C52" s="268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0</v>
      </c>
      <c r="E53" s="964">
        <v>6000</v>
      </c>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6000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40327.140884868219</v>
      </c>
      <c r="G60" s="962">
        <f>G45-G58</f>
        <v>49514.01588486816</v>
      </c>
      <c r="I60" s="962">
        <f>I45-I58</f>
        <v>52625.149909868021</v>
      </c>
      <c r="K60" s="962">
        <f>K45-K58</f>
        <v>55653.20623574307</v>
      </c>
      <c r="M60" s="962">
        <f>M45-M58</f>
        <v>58590.474133273703</v>
      </c>
      <c r="O60" s="962">
        <f>O45-O58</f>
        <v>61428.85284597415</v>
      </c>
      <c r="Q60" s="962">
        <f>Q45-Q58</f>
        <v>64159.834933814243</v>
      </c>
      <c r="S60" s="962">
        <f>S45-S58</f>
        <v>66774.488958808011</v>
      </c>
      <c r="U60" s="962">
        <f>U45-U58</f>
        <v>69263.441487555159</v>
      </c>
      <c r="W60" s="962">
        <f>W45-W58</f>
        <v>71616.858384899679</v>
      </c>
      <c r="Y60" s="962">
        <f>Y45-Y58</f>
        <v>73824.4253719236</v>
      </c>
      <c r="AA60" s="962">
        <f>AA45-AA58</f>
        <v>75875.327820500126</v>
      </c>
      <c r="AC60" s="962">
        <f>AC45-AC58</f>
        <v>77758.229755611042</v>
      </c>
      <c r="AE60" s="962">
        <f>AE45-AE58</f>
        <v>79461.252035577083</v>
      </c>
      <c r="AG60" s="962">
        <f>AG45-AG58</f>
        <v>80971.949679242447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20163.570442434109</v>
      </c>
      <c r="G62" s="962">
        <f>G60*$C$62</f>
        <v>24757.00794243408</v>
      </c>
      <c r="I62" s="962">
        <f>I60*$C$62</f>
        <v>26312.574954934011</v>
      </c>
      <c r="K62" s="962">
        <f>K60*$C$62</f>
        <v>27826.603117871535</v>
      </c>
      <c r="M62" s="962">
        <f>M60*$C$62</f>
        <v>29295.237066636852</v>
      </c>
      <c r="O62" s="962">
        <f>O60*$C$62</f>
        <v>30714.426422987075</v>
      </c>
      <c r="Q62" s="962">
        <f>Q60*$C$62</f>
        <v>32079.917466907122</v>
      </c>
      <c r="S62" s="962">
        <f>S60*$C$62</f>
        <v>33387.244479404006</v>
      </c>
      <c r="U62" s="962">
        <f>U60*$C$62</f>
        <v>34631.72074377758</v>
      </c>
      <c r="W62" s="962">
        <f>W60*$C$62</f>
        <v>35808.429192449839</v>
      </c>
      <c r="Y62" s="962">
        <f>Y60*$C$62</f>
        <v>36912.2126859618</v>
      </c>
      <c r="AA62" s="962">
        <f>AA60*$C$62</f>
        <v>37937.663910250063</v>
      </c>
      <c r="AC62" s="962">
        <f>AC60*$C$62</f>
        <v>38879.114877805521</v>
      </c>
      <c r="AE62" s="962">
        <f>AE60*$C$62</f>
        <v>39730.626017788542</v>
      </c>
      <c r="AG62" s="962">
        <f>AG60*$C$62</f>
        <v>40485.974839621224</v>
      </c>
    </row>
    <row r="63" spans="1:34" s="962" customFormat="1">
      <c r="A63" s="2688" t="s">
        <v>1185</v>
      </c>
      <c r="B63" s="2688"/>
      <c r="C63" s="268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10081.785221217055</v>
      </c>
      <c r="G66" s="960">
        <f>G60*$C$65</f>
        <v>12378.50397121704</v>
      </c>
      <c r="I66" s="960">
        <f>I60*$C$65</f>
        <v>13156.287477467005</v>
      </c>
      <c r="K66" s="960">
        <f>K60*$C$65</f>
        <v>13913.301558935767</v>
      </c>
      <c r="M66" s="960">
        <f>M60*$C$65</f>
        <v>14647.618533318426</v>
      </c>
      <c r="O66" s="960">
        <f>O60*$C$65</f>
        <v>15357.213211493538</v>
      </c>
      <c r="Q66" s="960">
        <f>Q60*$C$65</f>
        <v>16039.958733453561</v>
      </c>
      <c r="S66" s="960">
        <f>S60*$C$65</f>
        <v>16693.622239702003</v>
      </c>
      <c r="U66" s="960">
        <f>U60*$C$65</f>
        <v>17315.86037188879</v>
      </c>
      <c r="W66" s="960">
        <f>W60*$C$65</f>
        <v>17904.21459622492</v>
      </c>
      <c r="Y66" s="960">
        <f>Y60*$C$65</f>
        <v>18456.1063429809</v>
      </c>
      <c r="AA66" s="960">
        <f>AA60*$C$65</f>
        <v>18968.831955125032</v>
      </c>
      <c r="AC66" s="960">
        <f>AC60*$C$65</f>
        <v>19439.557438902761</v>
      </c>
      <c r="AE66" s="960">
        <f>AE60*$C$65</f>
        <v>19865.313008894271</v>
      </c>
      <c r="AG66" s="960">
        <f>AG60*$C$65</f>
        <v>20242.987419810612</v>
      </c>
    </row>
    <row r="67" spans="1:34" s="960" customFormat="1">
      <c r="A67" s="965"/>
      <c r="B67" s="965"/>
      <c r="C67" s="970"/>
      <c r="E67" s="964">
        <f>$E60*$C$65</f>
        <v>10081.785221217055</v>
      </c>
      <c r="G67" s="960">
        <f>G60*$C$65</f>
        <v>12378.50397121704</v>
      </c>
      <c r="I67" s="960">
        <f>I60*$C$65</f>
        <v>13156.287477467005</v>
      </c>
      <c r="K67" s="960">
        <f>K60*$C$65</f>
        <v>13913.301558935767</v>
      </c>
      <c r="M67" s="960">
        <f>M60*$C$65</f>
        <v>14647.618533318426</v>
      </c>
      <c r="O67" s="960">
        <f>O60*$C$65</f>
        <v>15357.213211493538</v>
      </c>
      <c r="Q67" s="960">
        <f>Q60*$C$65</f>
        <v>16039.958733453561</v>
      </c>
      <c r="S67" s="960">
        <f>S60*$C$65</f>
        <v>16693.622239702003</v>
      </c>
      <c r="U67" s="960">
        <f>U60*$C$65</f>
        <v>17315.86037188879</v>
      </c>
      <c r="W67" s="960">
        <f>W60*$C$65</f>
        <v>17904.21459622492</v>
      </c>
      <c r="Y67" s="960">
        <f>Y60*$C$65</f>
        <v>18456.1063429809</v>
      </c>
      <c r="AA67" s="960">
        <f>AA60*$C$65</f>
        <v>18968.831955125032</v>
      </c>
      <c r="AC67" s="960">
        <f>AC60*$C$65</f>
        <v>19439.557438902761</v>
      </c>
      <c r="AE67" s="960">
        <f>AE60*$C$65</f>
        <v>19865.313008894271</v>
      </c>
      <c r="AG67" s="960">
        <f>AG60*$C$65</f>
        <v>20242.987419810612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20163.570442434109</v>
      </c>
      <c r="G70" s="960">
        <f>SUM(G66:G69)</f>
        <v>24757.00794243408</v>
      </c>
      <c r="I70" s="960">
        <f>SUM(I66:I69)</f>
        <v>26312.574954934011</v>
      </c>
      <c r="K70" s="960">
        <f>SUM(K66:K69)</f>
        <v>27826.603117871535</v>
      </c>
      <c r="M70" s="960">
        <f>SUM(M66:M69)</f>
        <v>29295.237066636852</v>
      </c>
      <c r="O70" s="960">
        <f>SUM(O66:O69)</f>
        <v>30714.426422987075</v>
      </c>
      <c r="Q70" s="960">
        <f>SUM(Q66:Q69)</f>
        <v>32079.917466907122</v>
      </c>
      <c r="S70" s="960">
        <f>SUM(S66:S69)</f>
        <v>33387.244479404006</v>
      </c>
      <c r="U70" s="960">
        <f>SUM(U66:U69)</f>
        <v>34631.72074377758</v>
      </c>
      <c r="W70" s="960">
        <f>SUM(W66:W69)</f>
        <v>35808.429192449839</v>
      </c>
      <c r="Y70" s="960">
        <f>SUM(Y66:Y69)</f>
        <v>36912.2126859618</v>
      </c>
      <c r="AA70" s="960">
        <f>SUM(AA66:AA69)</f>
        <v>37937.663910250063</v>
      </c>
      <c r="AC70" s="960">
        <f>SUM(AC66:AC69)</f>
        <v>38879.114877805521</v>
      </c>
      <c r="AE70" s="960">
        <f>SUM(AE66:AE69)</f>
        <v>39730.626017788542</v>
      </c>
      <c r="AG70" s="960">
        <f>SUM(AG66:AG69)</f>
        <v>40485.974839621224</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6" t="s">
        <v>1722</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3" scale="6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77600</v>
      </c>
      <c r="C5" s="266">
        <f>'Sources and Uses Budget'!$C4</f>
        <v>77600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77600</v>
      </c>
      <c r="C9" s="270">
        <f>SUM(C5:C8)</f>
        <v>77600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77600</v>
      </c>
      <c r="C13" s="270">
        <f>SUM(C9+C12)</f>
        <v>77600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436500</v>
      </c>
      <c r="C30" s="266">
        <f>'Sources and Uses Budget'!$C29</f>
        <v>436500</v>
      </c>
      <c r="D30" s="270">
        <f t="shared" si="0"/>
        <v>0</v>
      </c>
      <c r="E30" s="268"/>
      <c r="F30" s="267"/>
    </row>
    <row r="31" spans="1:6" s="352" customFormat="1">
      <c r="A31" s="145" t="s">
        <v>600</v>
      </c>
      <c r="B31" s="266">
        <f>'Sources and Uses Budget'!$C30</f>
        <v>12621656</v>
      </c>
      <c r="C31" s="266">
        <f>'Sources and Uses Budget'!$C30</f>
        <v>12621656</v>
      </c>
      <c r="D31" s="270">
        <f t="shared" si="0"/>
        <v>0</v>
      </c>
      <c r="E31" s="268"/>
      <c r="F31" s="267"/>
    </row>
    <row r="32" spans="1:6" s="352" customFormat="1">
      <c r="A32" s="145" t="s">
        <v>601</v>
      </c>
      <c r="B32" s="266">
        <f>'Sources and Uses Budget'!$C31</f>
        <v>734049</v>
      </c>
      <c r="C32" s="266">
        <f>'Sources and Uses Budget'!$C31</f>
        <v>734049</v>
      </c>
      <c r="D32" s="270">
        <f t="shared" si="0"/>
        <v>0</v>
      </c>
      <c r="E32" s="268"/>
      <c r="F32" s="267"/>
    </row>
    <row r="33" spans="1:6" s="352" customFormat="1">
      <c r="A33" s="145" t="s">
        <v>137</v>
      </c>
      <c r="B33" s="266">
        <f>'Sources and Uses Budget'!$C32</f>
        <v>505271</v>
      </c>
      <c r="C33" s="266">
        <f>'Sources and Uses Budget'!$C32</f>
        <v>505271</v>
      </c>
      <c r="D33" s="270">
        <f t="shared" si="0"/>
        <v>0</v>
      </c>
      <c r="E33" s="268"/>
      <c r="F33" s="267"/>
    </row>
    <row r="34" spans="1:6" s="352" customFormat="1">
      <c r="A34" s="145" t="s">
        <v>138</v>
      </c>
      <c r="B34" s="266">
        <f>'Sources and Uses Budget'!$C33</f>
        <v>600000</v>
      </c>
      <c r="C34" s="266">
        <f>'Sources and Uses Budget'!$C33</f>
        <v>600000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14897476</v>
      </c>
      <c r="C39" s="270">
        <f>SUM(C30:C38)</f>
        <v>14897476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345000</v>
      </c>
      <c r="C41" s="266">
        <f>'Sources and Uses Budget'!$C40</f>
        <v>345000</v>
      </c>
      <c r="D41" s="270">
        <f t="shared" si="0"/>
        <v>0</v>
      </c>
      <c r="E41" s="268"/>
      <c r="F41" s="267"/>
    </row>
    <row r="42" spans="1:6" s="352" customFormat="1">
      <c r="A42" s="269" t="s">
        <v>146</v>
      </c>
      <c r="B42" s="266">
        <f>'Sources and Uses Budget'!$C41</f>
        <v>25000</v>
      </c>
      <c r="C42" s="266">
        <f>'Sources and Uses Budget'!$C41</f>
        <v>25000</v>
      </c>
      <c r="D42" s="270">
        <f t="shared" si="0"/>
        <v>0</v>
      </c>
      <c r="E42" s="268"/>
      <c r="F42" s="267"/>
    </row>
    <row r="43" spans="1:6" s="352" customFormat="1">
      <c r="A43" s="271" t="s">
        <v>147</v>
      </c>
      <c r="B43" s="270">
        <f>SUM(B41:B42)</f>
        <v>370000</v>
      </c>
      <c r="C43" s="270">
        <f>SUM(C41:C42)</f>
        <v>370000</v>
      </c>
      <c r="D43" s="270">
        <f t="shared" si="0"/>
        <v>0</v>
      </c>
      <c r="E43" s="268"/>
      <c r="F43" s="267"/>
    </row>
    <row r="44" spans="1:6" s="352" customFormat="1">
      <c r="A44" s="271" t="s">
        <v>148</v>
      </c>
      <c r="B44" s="266">
        <f>'Sources and Uses Budget'!$C43</f>
        <v>255000</v>
      </c>
      <c r="C44" s="266">
        <f>'Sources and Uses Budget'!$C43</f>
        <v>255000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1291851</v>
      </c>
      <c r="C46" s="266">
        <f>'Sources and Uses Budget'!$C45</f>
        <v>1291851</v>
      </c>
      <c r="D46" s="270">
        <f t="shared" si="0"/>
        <v>0</v>
      </c>
      <c r="E46" s="268"/>
      <c r="F46" s="267"/>
    </row>
    <row r="47" spans="1:6" s="352" customFormat="1">
      <c r="A47" s="145" t="s">
        <v>151</v>
      </c>
      <c r="B47" s="266">
        <f>'Sources and Uses Budget'!$C46</f>
        <v>240455</v>
      </c>
      <c r="C47" s="266">
        <f>'Sources and Uses Budget'!$C46</f>
        <v>240455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150002</v>
      </c>
      <c r="C49" s="266">
        <f>'Sources and Uses Budget'!$C48</f>
        <v>150002</v>
      </c>
      <c r="D49" s="270">
        <f t="shared" si="0"/>
        <v>0</v>
      </c>
      <c r="E49" s="268"/>
      <c r="F49" s="267"/>
    </row>
    <row r="50" spans="1:6" s="352" customFormat="1">
      <c r="A50" s="145" t="s">
        <v>57</v>
      </c>
      <c r="B50" s="266">
        <f>'Sources and Uses Budget'!$C49</f>
        <v>110000</v>
      </c>
      <c r="C50" s="266">
        <f>'Sources and Uses Budget'!$C49</f>
        <v>110000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Builders Risk</v>
      </c>
      <c r="B54" s="266">
        <f>'Sources and Uses Budget'!$C53</f>
        <v>285003</v>
      </c>
      <c r="C54" s="266">
        <f>'Sources and Uses Budget'!$C53</f>
        <v>285003</v>
      </c>
      <c r="D54" s="270">
        <f t="shared" si="0"/>
        <v>0</v>
      </c>
      <c r="E54" s="268"/>
      <c r="F54" s="267"/>
    </row>
    <row r="55" spans="1:6" s="353" customFormat="1">
      <c r="A55" s="271" t="s">
        <v>157</v>
      </c>
      <c r="B55" s="273">
        <f>SUM(B46:B54)</f>
        <v>2137311</v>
      </c>
      <c r="C55" s="273">
        <f>SUM(C46:C54)</f>
        <v>2137311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32995</v>
      </c>
      <c r="C57" s="266">
        <f>'Sources and Uses Budget'!$C56</f>
        <v>32995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32995</v>
      </c>
      <c r="C63" s="270">
        <f>SUM(C57:C62)</f>
        <v>32995</v>
      </c>
      <c r="D63" s="270">
        <f t="shared" si="0"/>
        <v>0</v>
      </c>
      <c r="E63" s="268"/>
      <c r="F63" s="267"/>
    </row>
    <row r="64" spans="1:6" s="352" customFormat="1">
      <c r="A64" s="274" t="s">
        <v>302</v>
      </c>
      <c r="B64" s="270">
        <f>SUM(B9+B12+B14+B15+B17+B26+B28+B39+B43+B44+B55+B63)</f>
        <v>17770382</v>
      </c>
      <c r="C64" s="270">
        <f>SUM(C9+C12+C14+C15+C17+C26+C28+C39+C43+C44+C55+C63)</f>
        <v>17770382</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4">
      <c r="A67" s="283" t="s">
        <v>1642</v>
      </c>
      <c r="B67" s="266">
        <f>'Sources and Uses Budget'!$C66</f>
        <v>250000</v>
      </c>
      <c r="C67" s="266">
        <f>'Sources and Uses Budget'!$C66</f>
        <v>250000</v>
      </c>
      <c r="D67" s="270"/>
      <c r="E67" s="268"/>
      <c r="F67" s="267"/>
    </row>
    <row r="68" spans="1:6" s="352" customFormat="1" ht="24">
      <c r="A68" s="283" t="s">
        <v>1643</v>
      </c>
      <c r="B68" s="266">
        <f>'Sources and Uses Budget'!$C67</f>
        <v>250000</v>
      </c>
      <c r="C68" s="266">
        <f>'Sources and Uses Budget'!$C67</f>
        <v>250000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Borrower Counsel</v>
      </c>
      <c r="B70" s="266">
        <f>'Sources and Uses Budget'!$C69</f>
        <v>75000</v>
      </c>
      <c r="C70" s="266">
        <f>'Sources and Uses Budget'!$C69</f>
        <v>75000</v>
      </c>
      <c r="D70" s="270">
        <f t="shared" si="0"/>
        <v>0</v>
      </c>
      <c r="E70" s="268"/>
      <c r="F70" s="267"/>
    </row>
    <row r="71" spans="1:6" s="352" customFormat="1">
      <c r="A71" s="149" t="s">
        <v>1646</v>
      </c>
      <c r="B71" s="270">
        <f>SUM(B66:B70)</f>
        <v>625000</v>
      </c>
      <c r="C71" s="270">
        <f>SUM(C66:C70)</f>
        <v>625000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198826</v>
      </c>
      <c r="C76" s="266">
        <f>'Sources and Uses Budget'!$C75</f>
        <v>198826</v>
      </c>
      <c r="D76" s="270">
        <f t="shared" si="0"/>
        <v>0</v>
      </c>
      <c r="E76" s="268"/>
      <c r="F76" s="267"/>
    </row>
    <row r="77" spans="1:6" s="352" customFormat="1">
      <c r="A77" s="272" t="s">
        <v>34</v>
      </c>
      <c r="B77" s="266">
        <f>'Sources and Uses Budget'!$C76</f>
        <v>85795</v>
      </c>
      <c r="C77" s="266">
        <f>'Sources and Uses Budget'!$C76</f>
        <v>85795</v>
      </c>
      <c r="D77" s="270">
        <f t="shared" si="0"/>
        <v>0</v>
      </c>
      <c r="E77" s="268"/>
      <c r="F77" s="267"/>
    </row>
    <row r="78" spans="1:6" s="352" customFormat="1">
      <c r="A78" s="271" t="s">
        <v>607</v>
      </c>
      <c r="B78" s="270">
        <f>SUM(B73:B77)</f>
        <v>284621</v>
      </c>
      <c r="C78" s="270">
        <f>SUM(C73:C77)</f>
        <v>284621</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1515017</v>
      </c>
      <c r="C80" s="266">
        <f>'Sources and Uses Budget'!$C79</f>
        <v>1515017</v>
      </c>
      <c r="D80" s="270">
        <f t="shared" si="1"/>
        <v>0</v>
      </c>
      <c r="E80" s="268"/>
      <c r="F80" s="267"/>
    </row>
    <row r="81" spans="1:6" s="352" customFormat="1">
      <c r="A81" s="510" t="s">
        <v>58</v>
      </c>
      <c r="B81" s="266">
        <f>'Sources and Uses Budget'!$C80</f>
        <v>186326</v>
      </c>
      <c r="C81" s="266">
        <f>'Sources and Uses Budget'!$C80</f>
        <v>186326</v>
      </c>
      <c r="D81" s="270">
        <f>C81-B81</f>
        <v>0</v>
      </c>
      <c r="E81" s="268"/>
      <c r="F81" s="267"/>
    </row>
    <row r="82" spans="1:6" s="352" customFormat="1">
      <c r="A82" s="271" t="s">
        <v>1210</v>
      </c>
      <c r="B82" s="270">
        <f>SUM(B80:B81)</f>
        <v>1701343</v>
      </c>
      <c r="C82" s="270">
        <f>SUM(C80:C81)</f>
        <v>1701343</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33116</v>
      </c>
      <c r="C84" s="266">
        <f>'Sources and Uses Budget'!$C83</f>
        <v>33116</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148483</v>
      </c>
      <c r="C86" s="266">
        <f>'Sources and Uses Budget'!$C85</f>
        <v>148483</v>
      </c>
      <c r="D86" s="270">
        <f t="shared" si="1"/>
        <v>0</v>
      </c>
      <c r="E86" s="268"/>
      <c r="F86" s="267"/>
    </row>
    <row r="87" spans="1:6" s="352" customFormat="1">
      <c r="A87" s="269" t="s">
        <v>770</v>
      </c>
      <c r="B87" s="266">
        <f>'Sources and Uses Budget'!$C86</f>
        <v>200000</v>
      </c>
      <c r="C87" s="266">
        <f>'Sources and Uses Budget'!$C86</f>
        <v>200000</v>
      </c>
      <c r="D87" s="270">
        <f t="shared" si="1"/>
        <v>0</v>
      </c>
      <c r="E87" s="268"/>
      <c r="F87" s="267"/>
    </row>
    <row r="88" spans="1:6" s="352" customFormat="1">
      <c r="A88" s="269" t="s">
        <v>771</v>
      </c>
      <c r="B88" s="266">
        <f>'Sources and Uses Budget'!$C87</f>
        <v>491517</v>
      </c>
      <c r="C88" s="266">
        <f>'Sources and Uses Budget'!$C87</f>
        <v>491517</v>
      </c>
      <c r="D88" s="270">
        <f t="shared" si="1"/>
        <v>0</v>
      </c>
      <c r="E88" s="268"/>
      <c r="F88" s="267"/>
    </row>
    <row r="89" spans="1:6" s="352" customFormat="1">
      <c r="A89" s="269" t="s">
        <v>772</v>
      </c>
      <c r="B89" s="266">
        <f>'Sources and Uses Budget'!$C88</f>
        <v>5000</v>
      </c>
      <c r="C89" s="266">
        <f>'Sources and Uses Budget'!$C88</f>
        <v>5000</v>
      </c>
      <c r="D89" s="270">
        <f t="shared" si="1"/>
        <v>0</v>
      </c>
      <c r="E89" s="268"/>
      <c r="F89" s="267"/>
    </row>
    <row r="90" spans="1:6" s="352" customFormat="1">
      <c r="A90" s="269" t="s">
        <v>773</v>
      </c>
      <c r="B90" s="266">
        <f>'Sources and Uses Budget'!$C89</f>
        <v>25000</v>
      </c>
      <c r="C90" s="266">
        <f>'Sources and Uses Budget'!$C89</f>
        <v>25000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64709</v>
      </c>
      <c r="C94" s="266">
        <f>'Sources and Uses Budget'!$C93</f>
        <v>64709</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1037825</v>
      </c>
      <c r="C97" s="270">
        <f>SUM(C84:C96)</f>
        <v>1037825</v>
      </c>
      <c r="D97" s="270">
        <f t="shared" si="1"/>
        <v>0</v>
      </c>
      <c r="E97" s="268"/>
      <c r="F97" s="267"/>
    </row>
    <row r="98" spans="1:6" s="352" customFormat="1">
      <c r="A98" s="271" t="s">
        <v>776</v>
      </c>
      <c r="B98" s="270">
        <f>SUM(B64+B71+B78+B82+B97)</f>
        <v>21419171</v>
      </c>
      <c r="C98" s="270">
        <f>SUM(C64+C71+C78+C82+C97)</f>
        <v>21419171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3005012</v>
      </c>
      <c r="C100" s="266">
        <f>'Sources and Uses Budget'!$C99</f>
        <v>3005012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3005012</v>
      </c>
      <c r="C105" s="270">
        <f>SUM(C100:C104)</f>
        <v>3005012</v>
      </c>
      <c r="D105" s="270">
        <f t="shared" si="1"/>
        <v>0</v>
      </c>
      <c r="E105" s="268"/>
      <c r="F105" s="267"/>
    </row>
    <row r="106" spans="1:6" s="352" customFormat="1">
      <c r="A106" s="271" t="s">
        <v>781</v>
      </c>
      <c r="B106" s="273">
        <f>SUM(B98+B105)</f>
        <v>24424183</v>
      </c>
      <c r="C106" s="273">
        <f>SUM(C98+C105)</f>
        <v>24424183</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18"/>
  <sheetViews>
    <sheetView showGridLines="0" topLeftCell="A32" workbookViewId="0">
      <selection activeCell="B36" sqref="B3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2724</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2724</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2725</v>
      </c>
      <c r="D24" s="1301" t="s">
        <v>1092</v>
      </c>
      <c r="E24" s="1301"/>
      <c r="F24" s="1301"/>
      <c r="I24" s="490"/>
    </row>
    <row r="25" spans="1:9" ht="14.25">
      <c r="A25" s="484"/>
      <c r="B25" s="484"/>
      <c r="D25" s="1301"/>
      <c r="E25" s="1301"/>
      <c r="F25" s="1301"/>
      <c r="I25" s="490"/>
    </row>
    <row r="26" spans="1:9">
      <c r="I26" s="490"/>
    </row>
    <row r="27" spans="1:9" ht="14.25">
      <c r="A27" s="484"/>
      <c r="B27" s="485" t="s">
        <v>2724</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2724</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2724</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307</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1098</v>
      </c>
      <c r="E65" s="1301"/>
      <c r="F65" s="1301"/>
      <c r="I65" s="490"/>
    </row>
    <row r="66" spans="1:9">
      <c r="D66" s="1301"/>
      <c r="E66" s="1301"/>
      <c r="F66" s="1301"/>
      <c r="I66" s="490"/>
    </row>
    <row r="67" spans="1:9">
      <c r="I67" s="490"/>
    </row>
    <row r="68" spans="1:9" ht="14.25">
      <c r="A68" s="484"/>
      <c r="B68" s="485" t="s">
        <v>307</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307</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307</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307</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307</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307</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307</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307</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307</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307</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307</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2057</v>
      </c>
      <c r="E360" s="1318"/>
      <c r="F360" s="1318"/>
      <c r="I360" s="480"/>
    </row>
    <row r="361" spans="1:9">
      <c r="A361" s="476"/>
      <c r="B361" s="476"/>
      <c r="C361" s="476"/>
      <c r="D361" s="447"/>
      <c r="E361" s="447"/>
      <c r="F361" s="446"/>
      <c r="I361" s="490"/>
    </row>
    <row r="362" spans="1:9">
      <c r="A362" s="476"/>
      <c r="B362" s="485" t="s">
        <v>307</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307</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307</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1144</v>
      </c>
      <c r="E509" s="1299"/>
      <c r="F509" s="1299"/>
      <c r="I509" s="490"/>
    </row>
    <row r="510" spans="1:9" ht="14.25">
      <c r="A510" s="484"/>
      <c r="B510" s="484"/>
      <c r="D510" s="446"/>
      <c r="I510" s="490"/>
    </row>
    <row r="511" spans="1:9" ht="14.25">
      <c r="A511" s="484"/>
      <c r="B511" s="485" t="s">
        <v>307</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1146</v>
      </c>
      <c r="E514" s="1299"/>
      <c r="F514" s="1299"/>
      <c r="I514" s="490"/>
    </row>
    <row r="515" spans="1:9">
      <c r="D515" s="446"/>
      <c r="E515" s="446"/>
      <c r="F515" s="446"/>
      <c r="I515" s="490"/>
    </row>
    <row r="516" spans="1:9">
      <c r="B516" s="485" t="s">
        <v>307</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307</v>
      </c>
      <c r="C548" s="487"/>
      <c r="D548" s="1299" t="s">
        <v>885</v>
      </c>
      <c r="E548" s="1299"/>
      <c r="F548" s="1299"/>
      <c r="I548" s="490"/>
    </row>
    <row r="549" spans="1:9" ht="13.7" customHeight="1">
      <c r="A549" s="487"/>
      <c r="B549" s="487"/>
      <c r="C549" s="487"/>
      <c r="D549" s="446"/>
      <c r="I549" s="490"/>
    </row>
    <row r="550" spans="1:9" ht="14.25">
      <c r="A550" s="484"/>
      <c r="B550" s="485" t="s">
        <v>307</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307</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307</v>
      </c>
      <c r="D588" s="1313" t="s">
        <v>889</v>
      </c>
      <c r="E588" s="1313"/>
      <c r="F588" s="1313"/>
      <c r="I588" s="490"/>
    </row>
    <row r="589" spans="1:9">
      <c r="A589" s="490"/>
      <c r="B589" s="490"/>
      <c r="D589" s="476"/>
      <c r="I589" s="490"/>
    </row>
    <row r="590" spans="1:9">
      <c r="A590" s="490"/>
      <c r="B590" s="485" t="s">
        <v>307</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307</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307</v>
      </c>
      <c r="D620" s="1307" t="s">
        <v>1112</v>
      </c>
      <c r="E620" s="1307"/>
      <c r="F620" s="1307"/>
      <c r="I620" s="490"/>
    </row>
    <row r="621" spans="1:9">
      <c r="D621" s="1307"/>
      <c r="E621" s="1307"/>
      <c r="F621" s="1307"/>
      <c r="I621" s="490"/>
    </row>
    <row r="622" spans="1:9">
      <c r="I622" s="490"/>
    </row>
    <row r="623" spans="1:9">
      <c r="B623" s="485" t="s">
        <v>307</v>
      </c>
      <c r="D623" s="1307" t="s">
        <v>1113</v>
      </c>
      <c r="E623" s="1307"/>
      <c r="F623" s="1307"/>
      <c r="I623" s="490"/>
    </row>
    <row r="624" spans="1:9">
      <c r="C624" s="500"/>
      <c r="D624" s="1307"/>
      <c r="E624" s="1307"/>
      <c r="F624" s="1307"/>
      <c r="I624" s="490"/>
    </row>
    <row r="625" spans="1:9">
      <c r="C625" s="500"/>
      <c r="I625" s="490"/>
    </row>
    <row r="626" spans="1:9">
      <c r="B626" s="485" t="s">
        <v>307</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307</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307</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307</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307</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307</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307</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307</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307</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 right="0.7" top="0.75" bottom="0.75" header="0.3" footer="0.3"/>
  <pageSetup scale="86"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opLeftCell="A873" zoomScale="150" zoomScaleNormal="150" workbookViewId="0">
      <selection activeCell="AC889" sqref="AC889:AH88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 xml:space="preserve">Coastal (Monterey, Napa, Orange, San Benito, San Diego, San Luis Obispo, Santa Barbara, Sonoma, and Ventura Counties) </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18</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2.9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0</v>
      </c>
    </row>
    <row r="10" spans="1:58" ht="12.95"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2.95"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14</v>
      </c>
    </row>
    <row r="12" spans="1:58" ht="12.9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20"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Perkins Place</v>
      </c>
    </row>
    <row r="17" spans="1:58" ht="12.95" customHeight="1">
      <c r="BD17" s="1247" t="s">
        <v>2519</v>
      </c>
      <c r="BE17" s="1249">
        <f>Application!AA934</f>
        <v>0</v>
      </c>
    </row>
    <row r="18" spans="1:58" ht="12.95" customHeight="1">
      <c r="A18" s="57" t="s">
        <v>101</v>
      </c>
      <c r="C18" s="4"/>
      <c r="D18" s="4"/>
      <c r="E18" s="4"/>
      <c r="F18" s="4"/>
      <c r="G18" s="4"/>
      <c r="H18" s="1417" t="s">
        <v>2623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2.95" customHeight="1">
      <c r="BD19" s="1247" t="s">
        <v>2521</v>
      </c>
      <c r="BE19" s="1249">
        <f>Application!M26</f>
        <v>924100</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2803209</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6289000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24588278</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80000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26818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19">
        <f>'Basis &amp; Credits'!AB56</f>
        <v>924100</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2803209</v>
      </c>
      <c r="N27" s="1354"/>
      <c r="O27" s="1354"/>
      <c r="P27" s="1354"/>
      <c r="Q27" s="1354"/>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Central Coast Region: Monterey, San Luis Obispo, Santa Barbara, Santa Cruz, and Ventura Counties</v>
      </c>
    </row>
    <row r="34" spans="1:57" ht="12.9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t="str">
        <f>Application!I185</f>
        <v>60 Perkins Road</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New Cuyama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Santa Barbara</v>
      </c>
    </row>
    <row r="38" spans="1:57" ht="12.95" customHeight="1">
      <c r="A38" s="3"/>
      <c r="AZ38" s="20"/>
      <c r="BD38" s="1248" t="s">
        <v>2535</v>
      </c>
      <c r="BE38" s="1249">
        <f>Application!I190</f>
        <v>93254</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33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32</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0.38749999999999996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0.35701435785794677</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745099.33333333337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SURF Development Company</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Robert P. Havlicek Jr.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Housing Authority of the County of Santa Barbara</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 xml:space="preserve">Robert P. Havlicek Jr.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t="str">
        <f>Application!M259</f>
        <v>Sanrta Barbara Housing Assistance Corporation</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t="str">
        <f>Application!M262</f>
        <v>Carlo Sarmiento</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Housing Authority of the County of Santa Barbara</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815 West Ocean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Lompoc CA 93436</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 xml:space="preserve">Robert P. Havlicek Jr. </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bobhavlicek@hasbarco.org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t="str">
        <f>Z205</f>
        <v>State Farmworker Credit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1</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164095</v>
      </c>
    </row>
    <row r="69" spans="1:57" ht="12.9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Housing Authority of the County of Santa Barbara</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6" t="s">
        <v>2160</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2568</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2569</v>
      </c>
      <c r="BE76" s="1249">
        <f>'Points System'!AF811</f>
        <v>10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1.7519900889076363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County of Santa Barbara Planning &amp; Development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n/a New Cuyama is an unincorporated community</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123 E. Anapamu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Santa Barbara, CA</v>
      </c>
    </row>
    <row r="89" spans="1:57" ht="12.95" customHeight="1">
      <c r="A89" s="1785" t="s">
        <v>2164</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2582</v>
      </c>
      <c r="BE89" s="1249">
        <f>Application!O158</f>
        <v>93101</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2583</v>
      </c>
      <c r="BE90" s="1249" t="str">
        <f>Application!H16</f>
        <v>Perkins Place,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815 West Ocean Avenue</v>
      </c>
    </row>
    <row r="92" spans="1:57" ht="12.95" customHeight="1">
      <c r="A92" s="1786" t="s">
        <v>2165</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2585</v>
      </c>
      <c r="BE92" s="1249" t="str">
        <f>Application!M234</f>
        <v>Lompoc</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2586</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2587</v>
      </c>
      <c r="BE94" s="1249">
        <f>Application!AC234</f>
        <v>93436</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2588</v>
      </c>
      <c r="BE95" s="1249" t="str">
        <f>Application!M235</f>
        <v xml:space="preserve">Robert P. Havlicek Jr. </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2589</v>
      </c>
      <c r="BE96" s="1249" t="str">
        <f>Application!M237</f>
        <v>bobhavlicek@hasbarco.org</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2590</v>
      </c>
      <c r="BE97" s="1249" t="str">
        <f>Application!M248</f>
        <v>bobhavlicek@hasbarco.org</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2591</v>
      </c>
      <c r="BE98" s="1249" t="str">
        <f>Application!M256</f>
        <v>bobhavlicek@hasbarco.org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carlo@bssmco.com</v>
      </c>
    </row>
    <row r="100" spans="1:57" ht="12.95" customHeight="1">
      <c r="A100" s="1787" t="s">
        <v>2166</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2593</v>
      </c>
      <c r="BE100" s="1249" t="str">
        <f>Application!L279</f>
        <v>bobhavlicek@hasbarco.org</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2598</v>
      </c>
      <c r="BE101">
        <f>'Sources and Uses Budget'!C105</f>
        <v>24424183</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2599</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2176</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2167</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c r="H113" s="1788"/>
      <c r="I113" s="3" t="s">
        <v>182</v>
      </c>
      <c r="L113" s="1788" t="s">
        <v>2614</v>
      </c>
      <c r="M113" s="1788"/>
      <c r="N113" s="1788"/>
      <c r="O113" s="1788"/>
      <c r="P113" s="1794" t="s">
        <v>2240</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2617</v>
      </c>
      <c r="D115" s="1799"/>
      <c r="E115" s="1799"/>
      <c r="F115" s="1799"/>
      <c r="G115" s="1799"/>
      <c r="H115" s="1799"/>
      <c r="I115" s="1799"/>
      <c r="J115" s="1799"/>
      <c r="K115" s="179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8"/>
      <c r="Z117" s="1788"/>
      <c r="AA117" s="1788"/>
      <c r="AB117" s="1788"/>
      <c r="AC117" s="1788"/>
      <c r="AD117" s="1788"/>
      <c r="AE117" s="1788"/>
      <c r="AF117" s="1788"/>
      <c r="AG117" s="1788"/>
      <c r="AH117" s="1788"/>
      <c r="AI117" s="1788"/>
      <c r="AJ117" s="1788"/>
      <c r="AK117" s="178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2615</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Santa Barbara</v>
      </c>
      <c r="DH122" s="1655"/>
      <c r="DI122" s="1655"/>
      <c r="DJ122" s="1655"/>
      <c r="DK122" s="1655"/>
      <c r="DL122" s="1655"/>
      <c r="DM122" s="1656"/>
    </row>
    <row r="123" spans="1:117" ht="12.95" customHeight="1">
      <c r="A123" s="3"/>
      <c r="B123" s="3"/>
      <c r="T123" s="3"/>
      <c r="U123" s="3"/>
      <c r="V123" s="3"/>
      <c r="W123" s="3"/>
      <c r="X123" s="3"/>
      <c r="Y123" s="1788" t="s">
        <v>2616</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7" t="s">
        <v>2618</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58" t="s">
        <v>2619</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7" t="s">
        <v>441</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2620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2621</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93101</v>
      </c>
      <c r="P158" s="1791"/>
      <c r="Q158" s="1791"/>
      <c r="R158" s="179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2622</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4"/>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0" t="s">
        <v>2217</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6"/>
      <c r="V176" s="1426"/>
      <c r="W176" s="1" t="s">
        <v>306</v>
      </c>
      <c r="X176" s="1783"/>
      <c r="Y176" s="1783"/>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2"/>
      <c r="AG178" s="1782"/>
      <c r="AH178" s="1" t="s">
        <v>306</v>
      </c>
      <c r="AI178" s="1803"/>
      <c r="AJ178" s="1803"/>
      <c r="AK178" s="1803"/>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Perkins Place</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2624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2625</v>
      </c>
      <c r="J189" s="1372"/>
      <c r="K189" s="1372"/>
      <c r="L189" s="1372"/>
      <c r="M189" s="1372"/>
      <c r="N189" s="1372"/>
      <c r="O189" s="1372"/>
      <c r="P189" s="1372"/>
      <c r="Q189" t="s">
        <v>583</v>
      </c>
      <c r="T189" s="1372" t="s">
        <v>191</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93254</v>
      </c>
      <c r="J190" s="1349"/>
      <c r="K190" s="1349"/>
      <c r="L190" s="1349"/>
      <c r="M190" s="1349"/>
      <c r="N190" s="1349"/>
      <c r="O190" t="s">
        <v>586</v>
      </c>
      <c r="T190" s="1789">
        <v>18</v>
      </c>
      <c r="U190" s="1789"/>
      <c r="V190" s="1789"/>
      <c r="W190" s="1789"/>
      <c r="X190" s="1789"/>
      <c r="Y190" s="1789"/>
      <c r="Z190" s="1789"/>
      <c r="AA190" s="1789"/>
      <c r="AB190" s="1789"/>
      <c r="AC190" s="1789"/>
      <c r="AD190" s="1789"/>
      <c r="AE190" s="1789"/>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2" t="s">
        <v>2626</v>
      </c>
      <c r="O191" s="1802"/>
      <c r="P191" s="1802"/>
      <c r="Q191" s="1802"/>
      <c r="R191" s="1802"/>
      <c r="S191" s="1802"/>
      <c r="T191" s="1802"/>
      <c r="U191" s="1802"/>
      <c r="V191" s="1802"/>
      <c r="W191" s="1802"/>
      <c r="X191" s="1802"/>
      <c r="Y191" s="1802"/>
      <c r="Z191" s="1802"/>
      <c r="AA191" s="1802"/>
      <c r="AB191" s="1802"/>
      <c r="AC191" s="1802"/>
      <c r="AD191" s="1802"/>
      <c r="AE191" s="180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3" t="s">
        <v>2214</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24</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35</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19</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v>0</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546</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1">
        <f>M26</f>
        <v>924100</v>
      </c>
      <c r="Q204" s="1781"/>
      <c r="R204" s="1781"/>
      <c r="S204" s="1781"/>
      <c r="T204" s="1781"/>
      <c r="U204" s="178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0" t="s">
        <v>1248</v>
      </c>
      <c r="E205" s="1359"/>
      <c r="F205" s="1359"/>
      <c r="G205" s="1359"/>
      <c r="H205" s="1359"/>
      <c r="I205" s="1359"/>
      <c r="J205" s="1359"/>
      <c r="K205" s="1359"/>
      <c r="L205" s="1359"/>
      <c r="M205" s="1359"/>
      <c r="P205" s="1781">
        <f>M27</f>
        <v>2803209</v>
      </c>
      <c r="Q205" s="1781"/>
      <c r="R205" s="1781"/>
      <c r="S205" s="1781"/>
      <c r="T205" s="1781"/>
      <c r="U205" s="1781"/>
      <c r="V205" s="28"/>
      <c r="W205" s="3" t="s">
        <v>1721</v>
      </c>
      <c r="Z205" s="1808" t="s">
        <v>2228</v>
      </c>
      <c r="AA205" s="1808"/>
      <c r="AB205" s="1808"/>
      <c r="AC205" s="1808"/>
      <c r="AD205" s="1808"/>
      <c r="AE205" s="1808"/>
      <c r="AF205" s="1808"/>
      <c r="AG205" s="1808"/>
      <c r="AH205" s="1808"/>
      <c r="AI205" s="1808"/>
      <c r="AJ205" s="1808"/>
      <c r="AK205" s="1808"/>
      <c r="AL205" s="1808"/>
      <c r="AM205" s="1808"/>
      <c r="AN205" s="1808"/>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2627</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1042</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c r="R212" s="1332"/>
      <c r="T212" s="1795">
        <f>IFERROR(Q212/AG440,0)</f>
        <v>0</v>
      </c>
      <c r="U212" s="179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8" t="s">
        <v>2207</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09" t="s">
        <v>2465</v>
      </c>
      <c r="AD220" s="1809"/>
      <c r="AE220" s="1809"/>
      <c r="AF220" s="1809"/>
      <c r="AG220" s="1809"/>
      <c r="AH220" s="1809"/>
      <c r="AI220" s="1809"/>
      <c r="AJ220" s="1809"/>
      <c r="AK220" s="1809"/>
      <c r="AL220" s="1809"/>
      <c r="AM220" s="1809"/>
      <c r="AN220" s="1809"/>
      <c r="AO220" s="1809"/>
      <c r="AP220" s="1809"/>
      <c r="AQ220" s="1809"/>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0" t="str">
        <f>H16</f>
        <v>Perkins Place,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2628</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2617</v>
      </c>
      <c r="N234" s="1418"/>
      <c r="O234" s="1418"/>
      <c r="P234" s="1418"/>
      <c r="Q234" s="1418"/>
      <c r="R234" s="1418"/>
      <c r="S234" s="1418"/>
      <c r="T234" s="1418"/>
      <c r="V234" s="33" t="s">
        <v>86</v>
      </c>
      <c r="W234" s="1458" t="s">
        <v>2629</v>
      </c>
      <c r="X234" s="1437"/>
      <c r="Y234" s="4" t="s">
        <v>584</v>
      </c>
      <c r="AC234" s="1418">
        <v>93436</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2615</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2630</v>
      </c>
      <c r="N236" s="1347"/>
      <c r="O236" s="1347"/>
      <c r="P236" s="1347"/>
      <c r="Q236" s="1347"/>
      <c r="R236" s="1347"/>
      <c r="S236" s="4" t="s">
        <v>206</v>
      </c>
      <c r="T236" s="4"/>
      <c r="U236" s="1437"/>
      <c r="V236" s="1437"/>
      <c r="W236" s="1437"/>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4" t="s">
        <v>2631</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1</v>
      </c>
    </row>
    <row r="238" spans="1:59" ht="12.95" customHeight="1">
      <c r="A238" s="2" t="s">
        <v>587</v>
      </c>
      <c r="C238" s="2" t="s">
        <v>526</v>
      </c>
      <c r="M238" s="1349" t="s">
        <v>529</v>
      </c>
      <c r="N238" s="1349"/>
      <c r="O238" s="1349"/>
      <c r="P238" s="1349"/>
      <c r="Q238" s="1349"/>
      <c r="R238" s="1349"/>
      <c r="S238" s="1349"/>
      <c r="T238" s="1349"/>
      <c r="U238" s="204" t="s">
        <v>907</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2632</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2633</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2634</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2635</v>
      </c>
      <c r="N245" s="1418"/>
      <c r="O245" s="1418"/>
      <c r="P245" s="1418"/>
      <c r="Q245" s="1418"/>
      <c r="R245" s="1418"/>
      <c r="S245" s="1418"/>
      <c r="T245" s="1418"/>
      <c r="V245" s="33" t="s">
        <v>86</v>
      </c>
      <c r="W245" s="1458" t="s">
        <v>2629</v>
      </c>
      <c r="X245" s="1437"/>
      <c r="Y245" s="4" t="s">
        <v>584</v>
      </c>
      <c r="AC245" s="1418">
        <v>93436</v>
      </c>
      <c r="AD245" s="1418"/>
      <c r="AE245" s="1418"/>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7" t="s">
        <v>2636</v>
      </c>
      <c r="N246" s="1418"/>
      <c r="O246" s="1418"/>
      <c r="P246" s="1418"/>
      <c r="Q246" s="1418"/>
      <c r="R246" s="1418"/>
      <c r="S246" s="1418"/>
      <c r="T246" s="1418"/>
      <c r="U246" s="1418"/>
      <c r="V246" s="1418"/>
      <c r="W246" s="1418"/>
      <c r="X246" s="1418"/>
      <c r="Y246" s="1418"/>
      <c r="Z246" s="1418"/>
      <c r="AA246" s="1418"/>
      <c r="AB246" s="1418"/>
      <c r="AC246" s="1418"/>
      <c r="AD246" s="1418"/>
      <c r="AE246" s="1418"/>
      <c r="AH246" s="1778">
        <v>2.5000000000000001E-3</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2630</v>
      </c>
      <c r="N247" s="1347"/>
      <c r="O247" s="1347"/>
      <c r="P247" s="1347"/>
      <c r="Q247" s="1347"/>
      <c r="R247" s="1347"/>
      <c r="S247" s="4" t="s">
        <v>206</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4" t="s">
        <v>2631</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6"/>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2637</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2638</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2628</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7" t="s">
        <v>2617</v>
      </c>
      <c r="N253" s="1418"/>
      <c r="O253" s="1418"/>
      <c r="P253" s="1418"/>
      <c r="Q253" s="1418"/>
      <c r="R253" s="1418"/>
      <c r="S253" s="1418"/>
      <c r="T253" s="1418"/>
      <c r="V253" s="33" t="s">
        <v>86</v>
      </c>
      <c r="W253" s="1458" t="s">
        <v>2629</v>
      </c>
      <c r="X253" s="1437"/>
      <c r="Y253" s="4" t="s">
        <v>584</v>
      </c>
      <c r="AC253" s="1418">
        <v>93436</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2615</v>
      </c>
      <c r="N254" s="1418"/>
      <c r="O254" s="1418"/>
      <c r="P254" s="1418"/>
      <c r="Q254" s="1418"/>
      <c r="R254" s="1418"/>
      <c r="S254" s="1418"/>
      <c r="T254" s="1418"/>
      <c r="U254" s="1418"/>
      <c r="V254" s="1418"/>
      <c r="W254" s="1418"/>
      <c r="X254" s="1418"/>
      <c r="Y254" s="1418"/>
      <c r="Z254" s="1418"/>
      <c r="AA254" s="1418"/>
      <c r="AB254" s="1418"/>
      <c r="AC254" s="1418"/>
      <c r="AD254" s="1418"/>
      <c r="AE254" s="1418"/>
      <c r="AH254" s="1778">
        <v>5.0000000000000001E-3</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6" t="s">
        <v>2630</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4" t="s">
        <v>2631</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t="s">
        <v>2639</v>
      </c>
      <c r="N259" s="1421"/>
      <c r="O259" s="1421"/>
      <c r="P259" s="1421"/>
      <c r="Q259" s="1421"/>
      <c r="R259" s="1421"/>
      <c r="S259" s="1421"/>
      <c r="T259" s="1421"/>
      <c r="U259" s="1421"/>
      <c r="V259" s="1421"/>
      <c r="W259" s="1421"/>
      <c r="X259" s="1421"/>
      <c r="Y259" s="1421"/>
      <c r="Z259" s="1421"/>
      <c r="AA259" s="1421"/>
      <c r="AB259" s="1421"/>
      <c r="AC259" s="1421"/>
      <c r="AD259" s="1421"/>
      <c r="AE259" s="1421"/>
      <c r="AF259" s="1421" t="s">
        <v>2638</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t="s">
        <v>2640</v>
      </c>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t="s">
        <v>191</v>
      </c>
      <c r="N261" s="1418"/>
      <c r="O261" s="1418"/>
      <c r="P261" s="1418"/>
      <c r="Q261" s="1418"/>
      <c r="R261" s="1418"/>
      <c r="S261" s="1418"/>
      <c r="T261" s="1418"/>
      <c r="V261" s="33" t="s">
        <v>86</v>
      </c>
      <c r="W261" s="1458" t="s">
        <v>2629</v>
      </c>
      <c r="X261" s="1437"/>
      <c r="Y261" s="4" t="s">
        <v>584</v>
      </c>
      <c r="AC261" s="1418">
        <v>93109</v>
      </c>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t="s">
        <v>2641</v>
      </c>
      <c r="N262" s="1418"/>
      <c r="O262" s="1418"/>
      <c r="P262" s="1418"/>
      <c r="Q262" s="1418"/>
      <c r="R262" s="1418"/>
      <c r="S262" s="1418"/>
      <c r="T262" s="1418"/>
      <c r="U262" s="1418"/>
      <c r="V262" s="1418"/>
      <c r="W262" s="1418"/>
      <c r="X262" s="1418"/>
      <c r="Y262" s="1418"/>
      <c r="Z262" s="1418"/>
      <c r="AA262" s="1418"/>
      <c r="AB262" s="1418"/>
      <c r="AC262" s="1418"/>
      <c r="AD262" s="1418"/>
      <c r="AE262" s="1418"/>
      <c r="AH262" s="1778">
        <v>2.5000000000000001E-3</v>
      </c>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t="s">
        <v>2642</v>
      </c>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t="s">
        <v>2643</v>
      </c>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535</v>
      </c>
      <c r="N265" s="1349"/>
      <c r="O265" s="1349"/>
      <c r="P265" s="1349"/>
      <c r="Q265" s="1349"/>
      <c r="R265" s="1349"/>
      <c r="S265" s="1349"/>
      <c r="T265" s="1349"/>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Nonprofit</v>
      </c>
      <c r="U267" s="1779"/>
      <c r="V267" s="1779"/>
      <c r="W267" s="1779"/>
      <c r="X267" s="177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2637</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2628</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2617</v>
      </c>
      <c r="M276" s="1418"/>
      <c r="N276" s="1418"/>
      <c r="O276" s="1418"/>
      <c r="P276" s="1418"/>
      <c r="Q276" s="1418"/>
      <c r="R276" s="1418"/>
      <c r="S276" s="1418"/>
      <c r="U276" s="33" t="s">
        <v>86</v>
      </c>
      <c r="V276" s="1458" t="s">
        <v>2629</v>
      </c>
      <c r="W276" s="1437"/>
      <c r="X276" s="4" t="s">
        <v>584</v>
      </c>
      <c r="AB276" s="1418">
        <v>93436</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2630</v>
      </c>
      <c r="M278" s="1347"/>
      <c r="N278" s="1347"/>
      <c r="O278" s="1347"/>
      <c r="P278" s="1347"/>
      <c r="Q278" s="1347"/>
      <c r="R278" s="4" t="s">
        <v>206</v>
      </c>
      <c r="S278" s="4"/>
      <c r="T278" s="1437"/>
      <c r="U278" s="1437"/>
      <c r="V278" s="1437"/>
      <c r="W278" s="4" t="s">
        <v>89</v>
      </c>
      <c r="Y278" s="1347"/>
      <c r="Z278" s="1347"/>
      <c r="AA278" s="1347"/>
      <c r="AB278" s="1347"/>
      <c r="AC278" s="1347"/>
      <c r="AD278" s="1347"/>
    </row>
    <row r="279" spans="1:51" ht="12.95" customHeight="1">
      <c r="D279" s="4" t="s">
        <v>90</v>
      </c>
      <c r="E279" s="4"/>
      <c r="F279" s="4"/>
      <c r="L279" s="1784" t="s">
        <v>2631</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458"/>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2637</v>
      </c>
      <c r="I287" s="1372"/>
      <c r="J287" s="1372"/>
      <c r="K287" s="1372"/>
      <c r="L287" s="1372"/>
      <c r="M287" s="1372"/>
      <c r="N287" s="1372"/>
      <c r="O287" s="1372"/>
      <c r="P287" s="1372"/>
      <c r="Q287" s="1372"/>
      <c r="R287" s="1372"/>
      <c r="T287" s="3" t="s">
        <v>568</v>
      </c>
      <c r="V287" s="3"/>
      <c r="W287" s="3"/>
      <c r="X287" s="3"/>
      <c r="Y287" s="3"/>
      <c r="AA287" s="1372" t="s">
        <v>2646</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2628</v>
      </c>
      <c r="I288" s="1349"/>
      <c r="J288" s="1349"/>
      <c r="K288" s="1349"/>
      <c r="L288" s="1349"/>
      <c r="M288" s="1349"/>
      <c r="N288" s="1349"/>
      <c r="O288" s="1349"/>
      <c r="P288" s="1349"/>
      <c r="Q288" s="1349"/>
      <c r="R288" s="1349"/>
      <c r="T288" s="3" t="s">
        <v>472</v>
      </c>
      <c r="V288" s="3"/>
      <c r="W288" s="3"/>
      <c r="X288" s="3"/>
      <c r="Y288" s="3"/>
      <c r="AA288" s="1349" t="s">
        <v>2647</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2644</v>
      </c>
      <c r="I289" s="1349"/>
      <c r="J289" s="1349"/>
      <c r="K289" s="1349"/>
      <c r="L289" s="1349"/>
      <c r="M289" s="1349"/>
      <c r="N289" s="1349"/>
      <c r="O289" s="1349"/>
      <c r="P289" s="1349"/>
      <c r="Q289" s="1349"/>
      <c r="R289" s="1349"/>
      <c r="T289" s="3" t="s">
        <v>75</v>
      </c>
      <c r="V289" s="3"/>
      <c r="W289" s="3"/>
      <c r="X289" s="3"/>
      <c r="Y289" s="3"/>
      <c r="AA289" s="1349" t="s">
        <v>2648</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2615</v>
      </c>
      <c r="I290" s="1349"/>
      <c r="J290" s="1349"/>
      <c r="K290" s="1349"/>
      <c r="L290" s="1349"/>
      <c r="M290" s="1349"/>
      <c r="N290" s="1349"/>
      <c r="O290" s="1349"/>
      <c r="P290" s="1349"/>
      <c r="Q290" s="1349"/>
      <c r="R290" s="1349"/>
      <c r="T290" s="3" t="s">
        <v>87</v>
      </c>
      <c r="V290" s="3"/>
      <c r="W290" s="3"/>
      <c r="X290" s="3"/>
      <c r="Y290" s="3"/>
      <c r="AA290" s="1349" t="s">
        <v>2649</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69" t="s">
        <v>2630</v>
      </c>
      <c r="I291" s="1424"/>
      <c r="J291" s="1424"/>
      <c r="K291" s="1424"/>
      <c r="L291" s="1424"/>
      <c r="M291" s="1424"/>
      <c r="N291" s="4" t="s">
        <v>206</v>
      </c>
      <c r="O291" s="4"/>
      <c r="P291" s="1418"/>
      <c r="Q291" s="1418"/>
      <c r="R291" s="1418"/>
      <c r="S291" s="3"/>
      <c r="T291" s="3" t="s">
        <v>88</v>
      </c>
      <c r="V291" s="3"/>
      <c r="W291" s="3"/>
      <c r="X291" s="3"/>
      <c r="Y291" s="3"/>
      <c r="AA291" s="1769" t="s">
        <v>2650</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6" t="s">
        <v>2645</v>
      </c>
      <c r="I292" s="1347"/>
      <c r="J292" s="1347"/>
      <c r="K292" s="1347"/>
      <c r="L292" s="1347"/>
      <c r="M292" s="1347"/>
      <c r="N292" s="4"/>
      <c r="O292" s="4"/>
      <c r="P292" s="35"/>
      <c r="Q292" s="35"/>
      <c r="R292" s="35"/>
      <c r="S292" s="3"/>
      <c r="T292" s="3" t="s">
        <v>89</v>
      </c>
      <c r="V292" s="3"/>
      <c r="W292" s="3"/>
      <c r="X292" s="3"/>
      <c r="Y292" s="3"/>
      <c r="AA292" s="1346" t="s">
        <v>2651</v>
      </c>
      <c r="AB292" s="1347"/>
      <c r="AC292" s="1347"/>
      <c r="AD292" s="1347"/>
      <c r="AE292" s="1347"/>
      <c r="AF292" s="1347"/>
      <c r="AG292" s="4"/>
      <c r="AH292" s="4"/>
      <c r="AI292" s="35"/>
      <c r="AJ292" s="35"/>
      <c r="AK292" s="35"/>
    </row>
    <row r="293" spans="2:37" ht="12.95" customHeight="1">
      <c r="B293" s="3" t="s">
        <v>76</v>
      </c>
      <c r="C293" s="3"/>
      <c r="D293" s="3"/>
      <c r="E293" s="3"/>
      <c r="F293" s="3"/>
      <c r="G293" s="3"/>
      <c r="H293" s="1349" t="s">
        <v>2631</v>
      </c>
      <c r="I293" s="1349"/>
      <c r="J293" s="1349"/>
      <c r="K293" s="1349"/>
      <c r="L293" s="1349"/>
      <c r="M293" s="1349"/>
      <c r="N293" s="1372"/>
      <c r="O293" s="1372"/>
      <c r="P293" s="1372"/>
      <c r="Q293" s="1372"/>
      <c r="R293" s="1372"/>
      <c r="S293" s="3"/>
      <c r="T293" s="3" t="s">
        <v>76</v>
      </c>
      <c r="V293" s="3"/>
      <c r="W293" s="3"/>
      <c r="X293" s="3"/>
      <c r="Y293" s="3"/>
      <c r="AA293" s="1349" t="s">
        <v>2652</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2653</v>
      </c>
      <c r="I295" s="1372"/>
      <c r="J295" s="1372"/>
      <c r="K295" s="1372"/>
      <c r="L295" s="1372"/>
      <c r="M295" s="1372"/>
      <c r="N295" s="1372"/>
      <c r="O295" s="1372"/>
      <c r="P295" s="1372"/>
      <c r="Q295" s="1372"/>
      <c r="R295" s="1372"/>
      <c r="T295" s="3" t="s">
        <v>364</v>
      </c>
      <c r="V295" s="3"/>
      <c r="W295" s="3"/>
      <c r="X295" s="3"/>
      <c r="Y295" s="3"/>
      <c r="AA295" s="1372"/>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2654</v>
      </c>
      <c r="I296" s="1349"/>
      <c r="J296" s="1349"/>
      <c r="K296" s="1349"/>
      <c r="L296" s="1349"/>
      <c r="M296" s="1349"/>
      <c r="N296" s="1349"/>
      <c r="O296" s="1349"/>
      <c r="P296" s="1349"/>
      <c r="Q296" s="1349"/>
      <c r="R296" s="1349"/>
      <c r="T296" s="3" t="s">
        <v>472</v>
      </c>
      <c r="V296" s="3"/>
      <c r="W296" s="3"/>
      <c r="X296" s="3"/>
      <c r="Y296" s="3"/>
      <c r="AA296" s="1349"/>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2655</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2656</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769" t="s">
        <v>2657</v>
      </c>
      <c r="I299" s="1424"/>
      <c r="J299" s="1424"/>
      <c r="K299" s="1424"/>
      <c r="L299" s="1424"/>
      <c r="M299" s="1424"/>
      <c r="N299" s="4" t="s">
        <v>206</v>
      </c>
      <c r="O299" s="4"/>
      <c r="P299" s="1418"/>
      <c r="Q299" s="1418"/>
      <c r="R299" s="1418"/>
      <c r="S299" s="3"/>
      <c r="T299" s="3" t="s">
        <v>88</v>
      </c>
      <c r="V299" s="3"/>
      <c r="W299" s="3"/>
      <c r="X299" s="3"/>
      <c r="Y299" s="3"/>
      <c r="AA299" s="1424"/>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2658</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2664</v>
      </c>
      <c r="I303" s="1372"/>
      <c r="J303" s="1372"/>
      <c r="K303" s="1372"/>
      <c r="L303" s="1372"/>
      <c r="M303" s="1372"/>
      <c r="N303" s="1372"/>
      <c r="O303" s="1372"/>
      <c r="P303" s="1372"/>
      <c r="Q303" s="1372"/>
      <c r="R303" s="1372"/>
      <c r="T303" s="4" t="s">
        <v>879</v>
      </c>
      <c r="V303" s="3"/>
      <c r="W303" s="3"/>
      <c r="X303" s="3"/>
      <c r="Y303" s="3"/>
      <c r="AA303" s="1372"/>
      <c r="AB303" s="1372"/>
      <c r="AC303" s="1372"/>
      <c r="AD303" s="1372"/>
      <c r="AE303" s="1372"/>
      <c r="AF303" s="1372"/>
      <c r="AG303" s="1372"/>
      <c r="AH303" s="1372"/>
      <c r="AI303" s="1372"/>
      <c r="AJ303" s="1372"/>
      <c r="AK303" s="1372"/>
    </row>
    <row r="304" spans="2:37" ht="12.95" customHeight="1">
      <c r="B304" s="3" t="s">
        <v>472</v>
      </c>
      <c r="C304" s="3"/>
      <c r="D304" s="3"/>
      <c r="E304" s="3"/>
      <c r="F304" s="3"/>
      <c r="H304" s="1349" t="s">
        <v>2659</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2660</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2661</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769" t="s">
        <v>2662</v>
      </c>
      <c r="I307" s="1424"/>
      <c r="J307" s="1424"/>
      <c r="K307" s="1424"/>
      <c r="L307" s="1424"/>
      <c r="M307" s="1424"/>
      <c r="N307" s="4" t="s">
        <v>206</v>
      </c>
      <c r="O307" s="4"/>
      <c r="P307" s="1418"/>
      <c r="Q307" s="1418"/>
      <c r="R307" s="1418"/>
      <c r="S307" s="3"/>
      <c r="T307" s="3" t="s">
        <v>88</v>
      </c>
      <c r="V307" s="3"/>
      <c r="W307" s="3"/>
      <c r="X307" s="3"/>
      <c r="Y307" s="3"/>
      <c r="AA307" s="1424"/>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2663</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2664</v>
      </c>
      <c r="I311" s="1372"/>
      <c r="J311" s="1372"/>
      <c r="K311" s="1372"/>
      <c r="L311" s="1372"/>
      <c r="M311" s="1372"/>
      <c r="N311" s="1372"/>
      <c r="O311" s="1372"/>
      <c r="P311" s="1372"/>
      <c r="Q311" s="1372"/>
      <c r="R311" s="1372"/>
      <c r="S311" s="3"/>
      <c r="T311" s="3" t="s">
        <v>365</v>
      </c>
      <c r="V311" s="3"/>
      <c r="W311" s="3"/>
      <c r="X311" s="3"/>
      <c r="Y311" s="3"/>
      <c r="AA311" s="1372" t="s">
        <v>2665</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2659</v>
      </c>
      <c r="I312" s="1349"/>
      <c r="J312" s="1349"/>
      <c r="K312" s="1349"/>
      <c r="L312" s="1349"/>
      <c r="M312" s="1349"/>
      <c r="N312" s="1349"/>
      <c r="O312" s="1349"/>
      <c r="P312" s="1349"/>
      <c r="Q312" s="1349"/>
      <c r="R312" s="1349"/>
      <c r="S312" s="3"/>
      <c r="T312" s="3" t="s">
        <v>472</v>
      </c>
      <c r="V312" s="3"/>
      <c r="W312" s="3"/>
      <c r="X312" s="3"/>
      <c r="Y312" s="3"/>
      <c r="AA312" s="1349" t="s">
        <v>2666</v>
      </c>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2660</v>
      </c>
      <c r="I313" s="1349"/>
      <c r="J313" s="1349"/>
      <c r="K313" s="1349"/>
      <c r="L313" s="1349"/>
      <c r="M313" s="1349"/>
      <c r="N313" s="1349"/>
      <c r="O313" s="1349"/>
      <c r="P313" s="1349"/>
      <c r="Q313" s="1349"/>
      <c r="R313" s="1349"/>
      <c r="S313" s="3"/>
      <c r="T313" s="3" t="s">
        <v>75</v>
      </c>
      <c r="V313" s="3"/>
      <c r="W313" s="3"/>
      <c r="X313" s="3"/>
      <c r="Y313" s="3"/>
      <c r="AA313" s="1349" t="s">
        <v>2667</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2661</v>
      </c>
      <c r="I314" s="1349"/>
      <c r="J314" s="1349"/>
      <c r="K314" s="1349"/>
      <c r="L314" s="1349"/>
      <c r="M314" s="1349"/>
      <c r="N314" s="1349"/>
      <c r="O314" s="1349"/>
      <c r="P314" s="1349"/>
      <c r="Q314" s="1349"/>
      <c r="R314" s="1349"/>
      <c r="S314" s="3"/>
      <c r="T314" s="3" t="s">
        <v>87</v>
      </c>
      <c r="V314" s="3"/>
      <c r="W314" s="3"/>
      <c r="X314" s="3"/>
      <c r="Y314" s="3"/>
      <c r="AA314" s="1349" t="s">
        <v>2668</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2662</v>
      </c>
      <c r="I315" s="1424"/>
      <c r="J315" s="1424"/>
      <c r="K315" s="1424"/>
      <c r="L315" s="1424"/>
      <c r="M315" s="1424"/>
      <c r="N315" s="4" t="s">
        <v>206</v>
      </c>
      <c r="O315" s="4"/>
      <c r="P315" s="1418"/>
      <c r="Q315" s="1418"/>
      <c r="R315" s="1418"/>
      <c r="S315" s="3"/>
      <c r="T315" s="3" t="s">
        <v>88</v>
      </c>
      <c r="V315" s="3"/>
      <c r="W315" s="3"/>
      <c r="X315" s="3"/>
      <c r="Y315" s="3"/>
      <c r="AA315" s="1769" t="s">
        <v>2669</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2663</v>
      </c>
      <c r="I317" s="1349"/>
      <c r="J317" s="1349"/>
      <c r="K317" s="1349"/>
      <c r="L317" s="1349"/>
      <c r="M317" s="1349"/>
      <c r="N317" s="1372"/>
      <c r="O317" s="1372"/>
      <c r="P317" s="1372"/>
      <c r="Q317" s="1372"/>
      <c r="R317" s="1372"/>
      <c r="S317" s="3"/>
      <c r="T317" s="3" t="s">
        <v>76</v>
      </c>
      <c r="V317" s="3"/>
      <c r="W317" s="3"/>
      <c r="X317" s="3"/>
      <c r="Y317" s="3"/>
      <c r="AA317" s="1349" t="s">
        <v>2670</v>
      </c>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c r="I319" s="1372"/>
      <c r="J319" s="1372"/>
      <c r="K319" s="1372"/>
      <c r="L319" s="1372"/>
      <c r="M319" s="1372"/>
      <c r="N319" s="1372"/>
      <c r="O319" s="1372"/>
      <c r="P319" s="1372"/>
      <c r="Q319" s="1372"/>
      <c r="R319" s="1372"/>
      <c r="T319" s="3" t="s">
        <v>366</v>
      </c>
      <c r="V319" s="3"/>
      <c r="W319" s="3"/>
      <c r="X319" s="3"/>
      <c r="Y319" s="3"/>
      <c r="AA319" s="1372" t="s">
        <v>2671</v>
      </c>
      <c r="AB319" s="1372"/>
      <c r="AC319" s="1372"/>
      <c r="AD319" s="1372"/>
      <c r="AE319" s="1372"/>
      <c r="AF319" s="1372"/>
      <c r="AG319" s="1372"/>
      <c r="AH319" s="1372"/>
      <c r="AI319" s="1372"/>
      <c r="AJ319" s="1372"/>
      <c r="AK319" s="1372"/>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2672</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2673</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2674</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769" t="s">
        <v>2675</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6" t="s">
        <v>2676</v>
      </c>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2677</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2671</v>
      </c>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2672</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2673</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2674</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769" t="s">
        <v>2675</v>
      </c>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6" t="s">
        <v>2676</v>
      </c>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2677</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2637</v>
      </c>
      <c r="I335" s="1372"/>
      <c r="J335" s="1372"/>
      <c r="K335" s="1372"/>
      <c r="L335" s="1372"/>
      <c r="M335" s="1372"/>
      <c r="N335" s="1372"/>
      <c r="O335" s="1372"/>
      <c r="P335" s="1372"/>
      <c r="Q335" s="1372"/>
      <c r="R335" s="1372"/>
      <c r="T335" s="204" t="s">
        <v>887</v>
      </c>
      <c r="V335" s="3"/>
      <c r="W335" s="3"/>
      <c r="X335" s="3"/>
      <c r="Y335" s="3"/>
      <c r="AA335" s="1372" t="s">
        <v>2637</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2628</v>
      </c>
      <c r="I336" s="1349"/>
      <c r="J336" s="1349"/>
      <c r="K336" s="1349"/>
      <c r="L336" s="1349"/>
      <c r="M336" s="1349"/>
      <c r="N336" s="1349"/>
      <c r="O336" s="1349"/>
      <c r="P336" s="1349"/>
      <c r="Q336" s="1349"/>
      <c r="R336" s="1349"/>
      <c r="T336" s="3" t="s">
        <v>472</v>
      </c>
      <c r="V336" s="3"/>
      <c r="W336" s="3"/>
      <c r="X336" s="3"/>
      <c r="Y336" s="3"/>
      <c r="AA336" s="1349" t="s">
        <v>2628</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2644</v>
      </c>
      <c r="I337" s="1349"/>
      <c r="J337" s="1349"/>
      <c r="K337" s="1349"/>
      <c r="L337" s="1349"/>
      <c r="M337" s="1349"/>
      <c r="N337" s="1349"/>
      <c r="O337" s="1349"/>
      <c r="P337" s="1349"/>
      <c r="Q337" s="1349"/>
      <c r="R337" s="1349"/>
      <c r="T337" s="3" t="s">
        <v>75</v>
      </c>
      <c r="V337" s="3"/>
      <c r="W337" s="3"/>
      <c r="X337" s="3"/>
      <c r="Y337" s="3"/>
      <c r="AA337" s="1349" t="s">
        <v>2644</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2678</v>
      </c>
      <c r="I338" s="1349"/>
      <c r="J338" s="1349"/>
      <c r="K338" s="1349"/>
      <c r="L338" s="1349"/>
      <c r="M338" s="1349"/>
      <c r="N338" s="1349"/>
      <c r="O338" s="1349"/>
      <c r="P338" s="1349"/>
      <c r="Q338" s="1349"/>
      <c r="R338" s="1349"/>
      <c r="T338" s="3" t="s">
        <v>87</v>
      </c>
      <c r="V338" s="3"/>
      <c r="W338" s="3"/>
      <c r="X338" s="3"/>
      <c r="Y338" s="3"/>
      <c r="AA338" s="1349" t="s">
        <v>2615</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769" t="s">
        <v>2630</v>
      </c>
      <c r="I339" s="1424"/>
      <c r="J339" s="1424"/>
      <c r="K339" s="1424"/>
      <c r="L339" s="1424"/>
      <c r="M339" s="1424"/>
      <c r="N339" s="4" t="s">
        <v>206</v>
      </c>
      <c r="O339" s="4"/>
      <c r="P339" s="1418"/>
      <c r="Q339" s="1418"/>
      <c r="R339" s="1418"/>
      <c r="S339" s="3"/>
      <c r="T339" s="3" t="s">
        <v>88</v>
      </c>
      <c r="V339" s="3"/>
      <c r="W339" s="3"/>
      <c r="X339" s="3"/>
      <c r="Y339" s="3"/>
      <c r="AA339" s="1769" t="s">
        <v>2630</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6" t="s">
        <v>2645</v>
      </c>
      <c r="I340" s="1347"/>
      <c r="J340" s="1347"/>
      <c r="K340" s="1347"/>
      <c r="L340" s="1347"/>
      <c r="M340" s="1347"/>
      <c r="N340" s="4"/>
      <c r="O340" s="4"/>
      <c r="P340" s="35"/>
      <c r="Q340" s="35"/>
      <c r="R340" s="35"/>
      <c r="S340" s="3"/>
      <c r="T340" s="3" t="s">
        <v>89</v>
      </c>
      <c r="V340" s="3"/>
      <c r="W340" s="3"/>
      <c r="X340" s="3"/>
      <c r="Y340" s="3"/>
      <c r="AA340" s="1347" t="s">
        <v>2645</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2631</v>
      </c>
      <c r="I341" s="1349"/>
      <c r="J341" s="1349"/>
      <c r="K341" s="1349"/>
      <c r="L341" s="1349"/>
      <c r="M341" s="1349"/>
      <c r="N341" s="1372"/>
      <c r="O341" s="1372"/>
      <c r="P341" s="1372"/>
      <c r="Q341" s="1372"/>
      <c r="R341" s="1372"/>
      <c r="S341" s="3"/>
      <c r="T341" s="3" t="s">
        <v>76</v>
      </c>
      <c r="V341" s="3"/>
      <c r="W341" s="3"/>
      <c r="X341" s="3"/>
      <c r="Y341" s="3"/>
      <c r="AA341" s="1349" t="s">
        <v>2631</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t="s">
        <v>592</v>
      </c>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592</v>
      </c>
      <c r="AK355" s="1332"/>
    </row>
    <row r="356" spans="1:46" ht="12.95" customHeight="1">
      <c r="D356" s="3" t="s">
        <v>1640</v>
      </c>
      <c r="M356" s="1332" t="s">
        <v>592</v>
      </c>
      <c r="N356" s="1332"/>
      <c r="P356" s="3" t="s">
        <v>1720</v>
      </c>
      <c r="AJ356" s="1447"/>
      <c r="AK356" s="1447"/>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2"/>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2.95" customHeight="1">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4"/>
      <c r="T377" s="1814"/>
      <c r="U377" s="1" t="s">
        <v>306</v>
      </c>
      <c r="V377" s="1814"/>
      <c r="W377" s="1814"/>
      <c r="Y377" t="s">
        <v>2080</v>
      </c>
      <c r="AC377" s="27" t="s">
        <v>305</v>
      </c>
      <c r="AD377" s="1814"/>
      <c r="AE377" s="1814"/>
      <c r="AF377" s="1" t="s">
        <v>306</v>
      </c>
      <c r="AG377" s="1814"/>
      <c r="AH377" s="1814"/>
    </row>
    <row r="378" spans="1:34" ht="12.95" customHeight="1">
      <c r="E378" s="4" t="s">
        <v>988</v>
      </c>
      <c r="F378" s="4"/>
      <c r="G378" s="4"/>
      <c r="H378" s="4"/>
      <c r="I378" s="4"/>
      <c r="J378" s="4"/>
      <c r="K378" s="4"/>
      <c r="L378" s="4"/>
      <c r="N378" s="1814"/>
      <c r="O378" s="1814"/>
      <c r="P378" s="1814"/>
    </row>
    <row r="379" spans="1:34" ht="12.95" customHeight="1">
      <c r="E379" s="204" t="s">
        <v>2086</v>
      </c>
      <c r="F379" s="4"/>
      <c r="G379" s="4"/>
      <c r="H379" s="4"/>
      <c r="I379" s="4"/>
      <c r="J379" s="4"/>
      <c r="K379" s="4"/>
      <c r="L379" s="4"/>
      <c r="AG379" s="1803" t="s">
        <v>592</v>
      </c>
      <c r="AH379" s="1803"/>
    </row>
    <row r="380" spans="1:34" ht="12.95" customHeight="1">
      <c r="E380" s="4"/>
      <c r="F380" s="4"/>
      <c r="G380" s="4" t="s">
        <v>2087</v>
      </c>
      <c r="H380" s="4"/>
      <c r="I380" s="4"/>
      <c r="J380" s="4"/>
      <c r="K380" s="4"/>
      <c r="L380" s="4"/>
      <c r="AG380" s="1803" t="s">
        <v>592</v>
      </c>
      <c r="AH380" s="1803"/>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t="s">
        <v>2710</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1183</v>
      </c>
      <c r="J386" s="1349"/>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2.95" customHeight="1">
      <c r="D387" s="3" t="s">
        <v>442</v>
      </c>
      <c r="J387" s="1349"/>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1179</v>
      </c>
      <c r="J388" s="1403"/>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c r="R389" s="1751"/>
      <c r="S389" s="1751"/>
      <c r="T389" s="1751"/>
      <c r="U389" s="1751"/>
      <c r="V389" t="s">
        <v>309</v>
      </c>
      <c r="AI389" s="1332" t="s">
        <v>670</v>
      </c>
      <c r="AJ389" s="1332"/>
    </row>
    <row r="390" spans="4:36" ht="12.95" customHeight="1">
      <c r="D390" t="s">
        <v>5</v>
      </c>
      <c r="Q390" s="1535"/>
      <c r="R390" s="1818"/>
      <c r="S390" s="1818"/>
      <c r="T390" s="1818"/>
      <c r="U390" s="1818"/>
      <c r="W390" s="21" t="s">
        <v>74</v>
      </c>
      <c r="AG390" s="1816"/>
      <c r="AH390" s="1816"/>
      <c r="AI390" s="1816"/>
      <c r="AJ390" s="1816"/>
    </row>
    <row r="391" spans="4:36" ht="12.95" customHeight="1">
      <c r="D391" t="s">
        <v>427</v>
      </c>
      <c r="Q391" s="1827">
        <v>80000</v>
      </c>
      <c r="R391" s="1827"/>
      <c r="S391" s="1827"/>
      <c r="T391" s="1827"/>
      <c r="U391" s="1827"/>
      <c r="V391" s="3" t="s">
        <v>1182</v>
      </c>
      <c r="AG391" s="1817"/>
      <c r="AH391" s="1817"/>
      <c r="AI391" s="1817"/>
      <c r="AJ391" s="1817"/>
    </row>
    <row r="392" spans="4:36" ht="12.95" customHeight="1">
      <c r="D392" t="s">
        <v>88</v>
      </c>
      <c r="I392" s="1424"/>
      <c r="J392" s="1424"/>
      <c r="K392" s="1424"/>
      <c r="L392" s="1424"/>
      <c r="M392" s="1424"/>
      <c r="N392" s="1424"/>
      <c r="Q392" s="4" t="s">
        <v>206</v>
      </c>
      <c r="S392" s="1826"/>
      <c r="T392" s="1826"/>
      <c r="U392" s="1826"/>
      <c r="V392" t="s">
        <v>73</v>
      </c>
      <c r="AI392" s="1332" t="s">
        <v>670</v>
      </c>
      <c r="AJ392" s="1332"/>
    </row>
    <row r="393" spans="4:36" ht="12.95" customHeight="1">
      <c r="D393" t="s">
        <v>310</v>
      </c>
      <c r="Q393" s="1409"/>
      <c r="R393" s="1409"/>
      <c r="S393" s="1409"/>
      <c r="T393" s="1409"/>
      <c r="U393" s="1409"/>
      <c r="V393" t="s">
        <v>311</v>
      </c>
      <c r="AG393" s="1816"/>
      <c r="AH393" s="1816"/>
      <c r="AI393" s="1816"/>
      <c r="AJ393" s="1816"/>
    </row>
    <row r="394" spans="4:36" ht="12.95" customHeight="1">
      <c r="D394" t="s">
        <v>312</v>
      </c>
      <c r="Q394" s="1755"/>
      <c r="R394" s="1755"/>
      <c r="S394" s="1755"/>
      <c r="T394" s="1755"/>
      <c r="U394" s="1755"/>
      <c r="V394" t="s">
        <v>1164</v>
      </c>
      <c r="AG394" s="1816"/>
      <c r="AH394" s="1816"/>
      <c r="AI394" s="1816"/>
      <c r="AJ394" s="1816"/>
    </row>
    <row r="395" spans="4:36" ht="12.95" customHeight="1">
      <c r="D395" t="s">
        <v>1163</v>
      </c>
      <c r="AG395" s="1816"/>
      <c r="AH395" s="1816"/>
      <c r="AI395" s="1816"/>
      <c r="AJ395" s="1816"/>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1661</v>
      </c>
      <c r="S401" s="1750" t="s">
        <v>670</v>
      </c>
      <c r="T401" s="1750"/>
      <c r="U401" s="1750"/>
      <c r="V401" t="s">
        <v>1662</v>
      </c>
      <c r="AG401" s="1820"/>
      <c r="AH401" s="1820"/>
      <c r="AI401" s="1820"/>
      <c r="AJ401" s="1820"/>
    </row>
    <row r="402" spans="1:36" ht="12.95" customHeight="1">
      <c r="D402" s="3" t="s">
        <v>1659</v>
      </c>
      <c r="S402" s="1750" t="s">
        <v>592</v>
      </c>
      <c r="T402" s="1750"/>
      <c r="U402" s="1750"/>
      <c r="V402" t="s">
        <v>1664</v>
      </c>
      <c r="AE402" s="1815"/>
      <c r="AF402" s="1815"/>
      <c r="AG402" s="1815"/>
      <c r="AH402" s="1815"/>
      <c r="AI402" s="1815"/>
      <c r="AJ402" s="1815"/>
    </row>
    <row r="403" spans="1:36" ht="12.95" customHeight="1">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1666</v>
      </c>
      <c r="E405" s="477"/>
      <c r="F405" s="477"/>
      <c r="G405" s="477"/>
      <c r="H405" s="477"/>
      <c r="I405" s="477"/>
      <c r="J405" s="477"/>
      <c r="K405" s="477"/>
      <c r="L405" s="477"/>
      <c r="M405" s="477"/>
      <c r="N405" s="477"/>
      <c r="O405" s="477"/>
      <c r="P405" s="477"/>
      <c r="Q405" s="477"/>
      <c r="R405" s="477"/>
      <c r="S405" s="1825" t="s">
        <v>1185</v>
      </c>
      <c r="T405" s="1825"/>
      <c r="U405" s="1825"/>
      <c r="V405" s="1825"/>
      <c r="W405" s="1825"/>
      <c r="X405" s="1825"/>
      <c r="Y405" s="1825"/>
      <c r="Z405" s="1825"/>
      <c r="AA405" s="1825"/>
      <c r="AB405" s="1825"/>
      <c r="AC405" s="1825"/>
      <c r="AD405" s="1825"/>
      <c r="AE405" s="1825"/>
      <c r="AF405" s="1825"/>
      <c r="AG405" s="1825"/>
      <c r="AH405" s="1825"/>
      <c r="AI405" s="1825"/>
      <c r="AJ405" s="1825"/>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2679</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592</v>
      </c>
      <c r="S411" s="1332"/>
      <c r="AC411" s="27" t="s">
        <v>571</v>
      </c>
      <c r="AD411" s="1663"/>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6" t="s">
        <v>2680</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814"/>
      <c r="F418" s="1814"/>
      <c r="G418" s="1814"/>
      <c r="H418" s="13" t="s">
        <v>115</v>
      </c>
      <c r="I418" s="1814"/>
      <c r="J418" s="1814"/>
      <c r="K418" s="1814"/>
      <c r="L418" t="s">
        <v>116</v>
      </c>
      <c r="N418" s="27" t="s">
        <v>576</v>
      </c>
      <c r="P418" s="1759">
        <v>1.1000000000000001</v>
      </c>
      <c r="Q418" s="1759"/>
      <c r="R418" s="1759"/>
      <c r="S418" t="s">
        <v>117</v>
      </c>
      <c r="W418" s="1824">
        <f>IF(E418&gt;0,(E418*I418),(P418*43560))</f>
        <v>47916.000000000007</v>
      </c>
      <c r="X418" s="1824"/>
      <c r="Y418" s="1824"/>
      <c r="Z418" t="s">
        <v>118</v>
      </c>
      <c r="AF418" s="1760">
        <f>IFERROR(IF(P418&gt;0,(AG437/P418),(AG437/(W418/43560))),0)</f>
        <v>29.999999999999996</v>
      </c>
      <c r="AG418" s="1760"/>
      <c r="AH418" s="1760"/>
      <c r="AM418" s="3"/>
    </row>
    <row r="419" spans="1:39" ht="12.95" customHeight="1">
      <c r="E419" t="s">
        <v>51</v>
      </c>
    </row>
    <row r="420" spans="1:39" ht="12.95" customHeight="1">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2.95" customHeight="1">
      <c r="E421" s="118" t="s">
        <v>1737</v>
      </c>
      <c r="F421" s="1013"/>
      <c r="G421" s="1013"/>
      <c r="H421" s="1013"/>
      <c r="I421" s="1758">
        <v>0.9</v>
      </c>
      <c r="J421" s="1758"/>
      <c r="K421" s="1758"/>
      <c r="L421" s="1013"/>
      <c r="M421" s="118"/>
      <c r="N421" s="1013"/>
      <c r="O421" s="1013"/>
      <c r="P421" s="1441">
        <f>(DU755+DU778+DU800)/I421</f>
        <v>65.555555555555557</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3</v>
      </c>
      <c r="Q424" s="1332"/>
      <c r="S424" t="s">
        <v>189</v>
      </c>
      <c r="AE424" s="1332">
        <v>2</v>
      </c>
      <c r="AF424" s="1332"/>
    </row>
    <row r="425" spans="1:39" ht="12.95" customHeight="1">
      <c r="E425" t="s">
        <v>190</v>
      </c>
      <c r="P425" s="1332">
        <v>0</v>
      </c>
      <c r="Q425" s="1332"/>
      <c r="S425" t="s">
        <v>131</v>
      </c>
      <c r="AE425" s="1332" t="s">
        <v>546</v>
      </c>
      <c r="AF425" s="1332"/>
    </row>
    <row r="426" spans="1:39" ht="12.95" customHeight="1">
      <c r="F426" s="28" t="s">
        <v>132</v>
      </c>
    </row>
    <row r="427" spans="1:39" ht="12.95" customHeight="1">
      <c r="F427" s="1802" t="s">
        <v>2711</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670</v>
      </c>
      <c r="R429" s="1332"/>
    </row>
    <row r="430" spans="1:39" ht="12.95" customHeight="1">
      <c r="F430" t="s">
        <v>610</v>
      </c>
      <c r="P430" s="1"/>
      <c r="Q430" s="1"/>
      <c r="AF430" s="1332" t="s">
        <v>592</v>
      </c>
      <c r="AG430" s="1822"/>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19">
        <v>33</v>
      </c>
      <c r="AH437" s="1819"/>
      <c r="AI437" s="1819"/>
      <c r="AJ437" s="1819"/>
    </row>
    <row r="438" spans="1:55" ht="12.95"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3">
        <v>0</v>
      </c>
      <c r="AH438" s="1613"/>
      <c r="AI438" s="1613"/>
      <c r="AJ438" s="1613"/>
    </row>
    <row r="439" spans="1:55" ht="12.95"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9">
        <v>32</v>
      </c>
      <c r="AH439" s="1819"/>
      <c r="AI439" s="1819"/>
      <c r="AJ439" s="1819"/>
    </row>
    <row r="440" spans="1:55" ht="12.95"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9">
        <v>32</v>
      </c>
      <c r="AH440" s="1819"/>
      <c r="AI440" s="1819"/>
      <c r="AJ440" s="1819"/>
    </row>
    <row r="441" spans="1:55" ht="12.95"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2.95"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23864</v>
      </c>
      <c r="AH442" s="1695"/>
      <c r="AI442" s="1695"/>
      <c r="AJ442" s="1695"/>
    </row>
    <row r="443" spans="1:55" ht="12.95"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23864</v>
      </c>
      <c r="AH443" s="1695"/>
      <c r="AI443" s="1695"/>
      <c r="AJ443" s="1695"/>
    </row>
    <row r="444" spans="1:55" ht="12.95"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2.95"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2.95" customHeight="1">
      <c r="D446" s="1742"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1005</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924</v>
      </c>
      <c r="AH447" s="1695"/>
      <c r="AI447" s="1695"/>
      <c r="AJ447" s="1695"/>
      <c r="AZ447" s="3"/>
      <c r="BA447" s="3"/>
      <c r="BB447" s="3"/>
      <c r="BC447" s="3"/>
    </row>
    <row r="448" spans="1:55" ht="12.95" customHeight="1">
      <c r="D448" s="1742"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1949</v>
      </c>
      <c r="AH448" s="1695"/>
      <c r="AI448" s="1695"/>
      <c r="AJ448" s="1695"/>
      <c r="AZ448" s="3"/>
      <c r="BA448" s="3"/>
      <c r="BB448" s="3"/>
      <c r="BC448" s="3"/>
    </row>
    <row r="449" spans="1:55" ht="12.95" customHeight="1">
      <c r="D449" s="1742"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3">
        <f>AG442+AG446+AG448+AG449</f>
        <v>26818</v>
      </c>
      <c r="AH450" s="1843"/>
      <c r="AI450" s="1843"/>
      <c r="AJ450" s="1843"/>
      <c r="AZ450" s="3"/>
      <c r="BA450" s="3"/>
      <c r="BB450" s="3"/>
      <c r="BC450" s="3"/>
    </row>
    <row r="451" spans="1:55" ht="12.95"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745099.33333333337</v>
      </c>
      <c r="AD454" s="1811"/>
      <c r="AE454" s="1811"/>
      <c r="AF454" s="1811"/>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740126.75757575757</v>
      </c>
      <c r="AD455" s="1811"/>
      <c r="AE455" s="1811"/>
      <c r="AF455" s="1811"/>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700076.06060606055</v>
      </c>
      <c r="AD456" s="1811"/>
      <c r="AE456" s="1811"/>
      <c r="AF456" s="1811"/>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20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7"/>
      <c r="F472" s="1847"/>
      <c r="G472" s="1847"/>
      <c r="H472" s="1847"/>
      <c r="I472" s="1847"/>
      <c r="J472" s="1847"/>
      <c r="K472" s="1847"/>
      <c r="L472" s="1847"/>
      <c r="M472" s="1847"/>
      <c r="N472" s="1847"/>
      <c r="O472" s="1847"/>
      <c r="P472" s="1847"/>
      <c r="Q472" s="1847"/>
      <c r="R472" s="1847"/>
      <c r="S472" s="1847"/>
      <c r="T472" s="1847"/>
      <c r="U472" s="1847"/>
      <c r="V472" s="1848"/>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7" t="s">
        <v>2681</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2682</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v>0</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1" t="s">
        <v>397</v>
      </c>
      <c r="C489" s="1832"/>
      <c r="D489" s="1832"/>
      <c r="E489" s="1832"/>
      <c r="F489" s="1832"/>
      <c r="G489" s="1832"/>
      <c r="H489" s="1832"/>
      <c r="I489" s="1832"/>
      <c r="J489" s="1832"/>
      <c r="K489" s="1832"/>
      <c r="L489" s="1832"/>
      <c r="M489" s="1832"/>
      <c r="N489" s="1832"/>
      <c r="O489" s="1832"/>
      <c r="P489" s="1833"/>
      <c r="Q489" s="1837" t="s">
        <v>670</v>
      </c>
      <c r="R489" s="1838"/>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4"/>
      <c r="C490" s="1835"/>
      <c r="D490" s="1835"/>
      <c r="E490" s="1835"/>
      <c r="F490" s="1835"/>
      <c r="G490" s="1835"/>
      <c r="H490" s="1835"/>
      <c r="I490" s="1835"/>
      <c r="J490" s="1835"/>
      <c r="K490" s="1835"/>
      <c r="L490" s="1835"/>
      <c r="M490" s="1835"/>
      <c r="N490" s="1835"/>
      <c r="O490" s="1835"/>
      <c r="P490" s="1836"/>
      <c r="Q490" s="1839"/>
      <c r="R490" s="1840"/>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4" t="s">
        <v>2712</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2683</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t="s">
        <v>2684</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t="s">
        <v>2685</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1670</v>
      </c>
      <c r="C495" s="5"/>
      <c r="D495" s="5"/>
      <c r="E495" s="5"/>
      <c r="F495" s="5"/>
      <c r="G495" s="5"/>
      <c r="H495" s="5"/>
      <c r="I495" s="5"/>
      <c r="J495" s="5"/>
      <c r="K495" s="5"/>
      <c r="L495" s="5"/>
      <c r="M495" s="1446"/>
      <c r="N495" s="1447"/>
      <c r="O495" s="1447"/>
      <c r="P495" s="1448"/>
      <c r="Q495" s="121" t="s">
        <v>1671</v>
      </c>
      <c r="R495" s="5"/>
      <c r="S495" s="5"/>
      <c r="T495" s="5"/>
      <c r="U495" s="5"/>
      <c r="V495" s="5"/>
      <c r="W495" s="5"/>
      <c r="X495" s="5"/>
      <c r="Y495" s="5"/>
      <c r="Z495" s="5"/>
      <c r="AA495" s="5"/>
      <c r="AB495" s="5"/>
      <c r="AC495" s="5"/>
      <c r="AD495" s="5"/>
      <c r="AE495" s="5"/>
      <c r="AF495" s="5"/>
      <c r="AG495" s="5"/>
      <c r="AH495" s="1446">
        <v>39</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8</v>
      </c>
      <c r="AD501" s="1663"/>
      <c r="AE501" s="1663"/>
      <c r="AF501" s="1663"/>
      <c r="AG501" s="13" t="s">
        <v>403</v>
      </c>
      <c r="AH501" s="1403">
        <v>2024</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8</v>
      </c>
      <c r="AD502" s="1663"/>
      <c r="AE502" s="1663"/>
      <c r="AF502" s="1663"/>
      <c r="AG502" s="38" t="s">
        <v>403</v>
      </c>
      <c r="AH502" s="1403">
        <v>2022</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v>8</v>
      </c>
      <c r="AD503" s="1663"/>
      <c r="AE503" s="1663"/>
      <c r="AF503" s="1663"/>
      <c r="AG503" s="13" t="s">
        <v>403</v>
      </c>
      <c r="AH503" s="1403">
        <v>2024</v>
      </c>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v>8</v>
      </c>
      <c r="AD504" s="1663"/>
      <c r="AE504" s="1663"/>
      <c r="AF504" s="1663"/>
      <c r="AG504" s="13" t="s">
        <v>403</v>
      </c>
      <c r="AH504" s="1403">
        <v>2024</v>
      </c>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v>8</v>
      </c>
      <c r="AD505" s="1663"/>
      <c r="AE505" s="1663"/>
      <c r="AF505" s="1663"/>
      <c r="AG505" s="13" t="s">
        <v>403</v>
      </c>
      <c r="AH505" s="1403">
        <v>2024</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11</v>
      </c>
      <c r="AD506" s="1663"/>
      <c r="AE506" s="1663"/>
      <c r="AF506" s="1663"/>
      <c r="AG506" s="13" t="s">
        <v>403</v>
      </c>
      <c r="AH506" s="1403">
        <v>2025</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4</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2"/>
      <c r="AC508" s="1662" t="s">
        <v>592</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19" t="s">
        <v>546</v>
      </c>
      <c r="AD509" s="1819"/>
      <c r="AE509" s="1819"/>
      <c r="AF509" s="1819"/>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1</v>
      </c>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8">
        <v>0.95</v>
      </c>
      <c r="AD512" s="1829"/>
      <c r="AE512" s="1829"/>
      <c r="AF512" s="1830"/>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1"/>
      <c r="AZ513" s="3"/>
      <c r="BA513" s="3"/>
      <c r="BB513" s="3"/>
      <c r="BC513" s="3"/>
      <c r="BD513" s="3"/>
      <c r="BE513" s="3"/>
      <c r="BF513" s="3"/>
      <c r="BG513" s="3"/>
      <c r="BH513" s="3"/>
      <c r="BI513" s="3"/>
      <c r="BJ513" s="3"/>
      <c r="BK513" s="3"/>
      <c r="BL513" s="3"/>
      <c r="BM513" s="3"/>
      <c r="BN513" s="3" t="s">
        <v>2105</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8</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416</v>
      </c>
      <c r="AC515" s="1662">
        <v>8</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416</v>
      </c>
      <c r="AC518" s="1662">
        <v>8</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8</v>
      </c>
      <c r="AD519" s="1663"/>
      <c r="AE519" s="1663"/>
      <c r="AF519" s="1663"/>
      <c r="AG519" s="38" t="s">
        <v>403</v>
      </c>
      <c r="AH519" s="1403">
        <v>2027</v>
      </c>
      <c r="AI519" s="1403"/>
      <c r="AJ519" s="1403"/>
      <c r="AK519" s="1404"/>
      <c r="BB519" s="3"/>
      <c r="BC519" s="3"/>
      <c r="BD519" s="3"/>
      <c r="BE519" s="3"/>
      <c r="BF519" s="3"/>
      <c r="BG519" s="3"/>
      <c r="BH519" s="3"/>
      <c r="BI519" s="3"/>
      <c r="BJ519" s="3"/>
      <c r="BK519" s="3"/>
      <c r="BL519" s="3"/>
      <c r="BM519" s="3"/>
      <c r="BN519" s="3" t="s">
        <v>2111</v>
      </c>
    </row>
    <row r="520" spans="2:66" ht="12.95" customHeight="1">
      <c r="B520" s="1672" t="s">
        <v>419</v>
      </c>
      <c r="C520" s="1431"/>
      <c r="D520" s="1431"/>
      <c r="E520" s="1431"/>
      <c r="F520" s="1431"/>
      <c r="G520" s="1431"/>
      <c r="H520" s="1432"/>
      <c r="I520" s="41" t="s">
        <v>420</v>
      </c>
      <c r="J520" s="42"/>
      <c r="K520" s="42"/>
      <c r="L520" s="42"/>
      <c r="M520" s="42"/>
      <c r="N520" s="42"/>
      <c r="O520" s="1749" t="s">
        <v>2726</v>
      </c>
      <c r="P520" s="1750"/>
      <c r="Q520" s="1750"/>
      <c r="R520" s="1750"/>
      <c r="S520" s="1750"/>
      <c r="T520" s="1750"/>
      <c r="U520" s="1750"/>
      <c r="V520" s="1750"/>
      <c r="W520" s="1750"/>
      <c r="X520" s="1750"/>
      <c r="Y520" s="1750"/>
      <c r="Z520" s="1750"/>
      <c r="AA520" s="1750"/>
      <c r="AB520" s="58"/>
      <c r="AC520" s="1337">
        <v>8</v>
      </c>
      <c r="AD520" s="1338"/>
      <c r="AE520" s="1338"/>
      <c r="AF520" s="1338"/>
      <c r="AG520" s="129" t="s">
        <v>403</v>
      </c>
      <c r="AH520" s="1403">
        <v>2025</v>
      </c>
      <c r="AI520" s="1403"/>
      <c r="AJ520" s="1403"/>
      <c r="AK520" s="1404"/>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421</v>
      </c>
      <c r="AB521" s="65"/>
      <c r="AC521" s="1662">
        <v>8</v>
      </c>
      <c r="AD521" s="1663"/>
      <c r="AE521" s="1663"/>
      <c r="AF521" s="1663"/>
      <c r="AG521" s="13" t="s">
        <v>403</v>
      </c>
      <c r="AH521" s="1403">
        <v>2025</v>
      </c>
      <c r="AI521" s="1403"/>
      <c r="AJ521" s="1403"/>
      <c r="AK521" s="1404"/>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5</v>
      </c>
      <c r="AD522" s="1663"/>
      <c r="AE522" s="1663"/>
      <c r="AF522" s="1663"/>
      <c r="AG522" s="38" t="s">
        <v>403</v>
      </c>
      <c r="AH522" s="1403">
        <v>2026</v>
      </c>
      <c r="AI522" s="1403"/>
      <c r="AJ522" s="1403"/>
      <c r="AK522" s="1404"/>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423</v>
      </c>
      <c r="J523" s="42"/>
      <c r="K523" s="42"/>
      <c r="L523" s="42"/>
      <c r="M523" s="42"/>
      <c r="N523" s="42"/>
      <c r="O523" s="1749" t="s">
        <v>2727</v>
      </c>
      <c r="P523" s="1750"/>
      <c r="Q523" s="1750"/>
      <c r="R523" s="1750"/>
      <c r="S523" s="1750"/>
      <c r="T523" s="1750"/>
      <c r="U523" s="1750"/>
      <c r="V523" s="1750"/>
      <c r="W523" s="1750"/>
      <c r="X523" s="1750"/>
      <c r="Y523" s="1750"/>
      <c r="Z523" s="1750"/>
      <c r="AA523" s="1750"/>
      <c r="AC523" s="1662">
        <v>8</v>
      </c>
      <c r="AD523" s="1663"/>
      <c r="AE523" s="1663"/>
      <c r="AF523" s="1663"/>
      <c r="AG523" s="13" t="s">
        <v>403</v>
      </c>
      <c r="AH523" s="1403">
        <v>2025</v>
      </c>
      <c r="AI523" s="1403"/>
      <c r="AJ523" s="1403"/>
      <c r="AK523" s="1404"/>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421</v>
      </c>
      <c r="AC524" s="1662">
        <v>8</v>
      </c>
      <c r="AD524" s="1663"/>
      <c r="AE524" s="1663"/>
      <c r="AF524" s="1663"/>
      <c r="AG524" s="13" t="s">
        <v>403</v>
      </c>
      <c r="AH524" s="1403">
        <v>2025</v>
      </c>
      <c r="AI524" s="1403"/>
      <c r="AJ524" s="1403"/>
      <c r="AK524" s="1404"/>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v>5</v>
      </c>
      <c r="AD525" s="1663"/>
      <c r="AE525" s="1663"/>
      <c r="AF525" s="1663"/>
      <c r="AG525" s="38" t="s">
        <v>403</v>
      </c>
      <c r="AH525" s="1403">
        <v>2026</v>
      </c>
      <c r="AI525" s="1403"/>
      <c r="AJ525" s="1403"/>
      <c r="AK525" s="1404"/>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421</v>
      </c>
      <c r="AC527" s="1662" t="s">
        <v>592</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421</v>
      </c>
      <c r="AC530" s="1662" t="s">
        <v>592</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421</v>
      </c>
      <c r="AC533" s="1662" t="s">
        <v>592</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421</v>
      </c>
      <c r="AC536" s="1662" t="s">
        <v>592</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6</v>
      </c>
      <c r="AD538" s="1663"/>
      <c r="AE538" s="1663"/>
      <c r="AF538" s="1663"/>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5</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7</v>
      </c>
      <c r="AD540" s="1663"/>
      <c r="AE540" s="1663"/>
      <c r="AF540" s="1663"/>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8</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9</v>
      </c>
      <c r="AD542" s="1663"/>
      <c r="AE542" s="1663"/>
      <c r="AF542" s="1663"/>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f>N657</f>
        <v>0</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454</v>
      </c>
      <c r="X551" s="1431"/>
      <c r="Y551" s="1432"/>
      <c r="Z551" s="1672" t="s">
        <v>1852</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2686</v>
      </c>
      <c r="D554" s="1693"/>
      <c r="E554" s="1693"/>
      <c r="F554" s="1693"/>
      <c r="G554" s="1693"/>
      <c r="H554" s="1693"/>
      <c r="I554" s="1693"/>
      <c r="J554" s="1693"/>
      <c r="K554" s="1693"/>
      <c r="L554" s="1693"/>
      <c r="M554" s="1693" t="s">
        <v>2120</v>
      </c>
      <c r="N554" s="1693"/>
      <c r="O554" s="1693"/>
      <c r="P554" s="1693"/>
      <c r="Q554" s="1453">
        <f>(35*12)+30</f>
        <v>450</v>
      </c>
      <c r="R554" s="1453"/>
      <c r="S554" s="1454"/>
      <c r="T554" s="1452">
        <v>420</v>
      </c>
      <c r="U554" s="1453"/>
      <c r="V554" s="1454"/>
      <c r="W554" s="1455">
        <v>6.25E-2</v>
      </c>
      <c r="X554" s="1456"/>
      <c r="Y554" s="1457"/>
      <c r="Z554" s="1694" t="s">
        <v>2713</v>
      </c>
      <c r="AA554" s="1694"/>
      <c r="AB554" s="1694"/>
      <c r="AC554" s="1694"/>
      <c r="AD554" s="1694"/>
      <c r="AE554" s="1675">
        <v>1</v>
      </c>
      <c r="AF554" s="1676"/>
      <c r="AG554" s="1676"/>
      <c r="AH554" s="1677"/>
      <c r="AI554" s="1678"/>
      <c r="AJ554" s="1679"/>
      <c r="AK554" s="1679"/>
      <c r="AL554" s="1680"/>
      <c r="AM554" s="1668">
        <v>6289000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2687</v>
      </c>
      <c r="D555" s="1681"/>
      <c r="E555" s="1681"/>
      <c r="F555" s="1681"/>
      <c r="G555" s="1681"/>
      <c r="H555" s="1681"/>
      <c r="I555" s="1681"/>
      <c r="J555" s="1681"/>
      <c r="K555" s="1681"/>
      <c r="L555" s="1681"/>
      <c r="M555" s="1693" t="s">
        <v>2119</v>
      </c>
      <c r="N555" s="1693"/>
      <c r="O555" s="1693"/>
      <c r="P555" s="1693"/>
      <c r="Q555" s="1452">
        <v>450</v>
      </c>
      <c r="R555" s="1453"/>
      <c r="S555" s="1454"/>
      <c r="T555" s="1452">
        <v>420</v>
      </c>
      <c r="U555" s="1453"/>
      <c r="V555" s="1454"/>
      <c r="W555" s="1455">
        <v>6.25E-2</v>
      </c>
      <c r="X555" s="1456"/>
      <c r="Y555" s="1457"/>
      <c r="Z555" s="1694" t="s">
        <v>2713</v>
      </c>
      <c r="AA555" s="1694"/>
      <c r="AB555" s="1694"/>
      <c r="AC555" s="1694"/>
      <c r="AD555" s="1694"/>
      <c r="AE555" s="1675">
        <v>1</v>
      </c>
      <c r="AF555" s="1676"/>
      <c r="AG555" s="1676"/>
      <c r="AH555" s="1677"/>
      <c r="AI555" s="1678"/>
      <c r="AJ555" s="1679"/>
      <c r="AK555" s="1679"/>
      <c r="AL555" s="1680"/>
      <c r="AM555" s="1668">
        <f>16579372</f>
        <v>16579372</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2688</v>
      </c>
      <c r="D556" s="1681"/>
      <c r="E556" s="1681"/>
      <c r="F556" s="1681"/>
      <c r="G556" s="1681"/>
      <c r="H556" s="1681"/>
      <c r="I556" s="1681"/>
      <c r="J556" s="1681"/>
      <c r="K556" s="1681"/>
      <c r="L556" s="1681"/>
      <c r="M556" s="1693" t="s">
        <v>2111</v>
      </c>
      <c r="N556" s="1693"/>
      <c r="O556" s="1693"/>
      <c r="P556" s="1693"/>
      <c r="Q556" s="1452"/>
      <c r="R556" s="1453"/>
      <c r="S556" s="1454"/>
      <c r="T556" s="1452"/>
      <c r="U556" s="1453"/>
      <c r="V556" s="1454"/>
      <c r="W556" s="1455"/>
      <c r="X556" s="1456"/>
      <c r="Y556" s="1457"/>
      <c r="Z556" s="1694" t="s">
        <v>1185</v>
      </c>
      <c r="AA556" s="1694"/>
      <c r="AB556" s="1694"/>
      <c r="AC556" s="1694"/>
      <c r="AD556" s="1694"/>
      <c r="AE556" s="1675"/>
      <c r="AF556" s="1676"/>
      <c r="AG556" s="1676"/>
      <c r="AH556" s="1677"/>
      <c r="AI556" s="1678"/>
      <c r="AJ556" s="1679"/>
      <c r="AK556" s="1679"/>
      <c r="AL556" s="1680"/>
      <c r="AM556" s="1668">
        <f>976064-438379</f>
        <v>537685</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2689</v>
      </c>
      <c r="D557" s="1681"/>
      <c r="E557" s="1681"/>
      <c r="F557" s="1681"/>
      <c r="G557" s="1681"/>
      <c r="H557" s="1681"/>
      <c r="I557" s="1681"/>
      <c r="J557" s="1681"/>
      <c r="K557" s="1681"/>
      <c r="L557" s="1681"/>
      <c r="M557" s="1693" t="s">
        <v>2106</v>
      </c>
      <c r="N557" s="1693"/>
      <c r="O557" s="1693"/>
      <c r="P557" s="1693"/>
      <c r="Q557" s="1452"/>
      <c r="R557" s="1453"/>
      <c r="S557" s="1454"/>
      <c r="T557" s="1452"/>
      <c r="U557" s="1453"/>
      <c r="V557" s="1454"/>
      <c r="W557" s="1455"/>
      <c r="X557" s="1456"/>
      <c r="Y557" s="1457"/>
      <c r="Z557" s="1694" t="s">
        <v>2713</v>
      </c>
      <c r="AA557" s="1694"/>
      <c r="AB557" s="1694"/>
      <c r="AC557" s="1694"/>
      <c r="AD557" s="1694"/>
      <c r="AE557" s="1675"/>
      <c r="AF557" s="1676"/>
      <c r="AG557" s="1676"/>
      <c r="AH557" s="1677"/>
      <c r="AI557" s="1678"/>
      <c r="AJ557" s="1679"/>
      <c r="AK557" s="1679"/>
      <c r="AL557" s="1680"/>
      <c r="AM557" s="1668">
        <f>182221</f>
        <v>182221</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2727</v>
      </c>
      <c r="D558" s="1681"/>
      <c r="E558" s="1681"/>
      <c r="F558" s="1681"/>
      <c r="G558" s="1681"/>
      <c r="H558" s="1681"/>
      <c r="I558" s="1681"/>
      <c r="J558" s="1681"/>
      <c r="K558" s="1681"/>
      <c r="L558" s="1681"/>
      <c r="M558" s="1693" t="s">
        <v>2116</v>
      </c>
      <c r="N558" s="1693"/>
      <c r="O558" s="1693"/>
      <c r="P558" s="1693"/>
      <c r="Q558" s="1452">
        <f>660</f>
        <v>660</v>
      </c>
      <c r="R558" s="1453"/>
      <c r="S558" s="1454"/>
      <c r="T558" s="1452"/>
      <c r="U558" s="1453"/>
      <c r="V558" s="1454"/>
      <c r="W558" s="1455">
        <v>0.03</v>
      </c>
      <c r="X558" s="1456"/>
      <c r="Y558" s="1457"/>
      <c r="Z558" s="1694" t="s">
        <v>2713</v>
      </c>
      <c r="AA558" s="1694"/>
      <c r="AB558" s="1694"/>
      <c r="AC558" s="1694"/>
      <c r="AD558" s="1694"/>
      <c r="AE558" s="1675">
        <v>3</v>
      </c>
      <c r="AF558" s="1676"/>
      <c r="AG558" s="1676"/>
      <c r="AH558" s="1677"/>
      <c r="AI558" s="1678"/>
      <c r="AJ558" s="1679"/>
      <c r="AK558" s="1679"/>
      <c r="AL558" s="1680"/>
      <c r="AM558" s="1668">
        <v>1000000</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1" t="s">
        <v>2726</v>
      </c>
      <c r="D559" s="1681"/>
      <c r="E559" s="1681"/>
      <c r="F559" s="1681"/>
      <c r="G559" s="1681"/>
      <c r="H559" s="1681"/>
      <c r="I559" s="1681"/>
      <c r="J559" s="1681"/>
      <c r="K559" s="1681"/>
      <c r="L559" s="1681"/>
      <c r="M559" s="1693" t="s">
        <v>2116</v>
      </c>
      <c r="N559" s="1693"/>
      <c r="O559" s="1693"/>
      <c r="P559" s="1693"/>
      <c r="Q559" s="1452">
        <f>660</f>
        <v>660</v>
      </c>
      <c r="R559" s="1453"/>
      <c r="S559" s="1454"/>
      <c r="T559" s="1452"/>
      <c r="U559" s="1453"/>
      <c r="V559" s="1454"/>
      <c r="W559" s="1455">
        <v>0.03</v>
      </c>
      <c r="X559" s="1456"/>
      <c r="Y559" s="1457"/>
      <c r="Z559" s="1694" t="s">
        <v>2713</v>
      </c>
      <c r="AA559" s="1694"/>
      <c r="AB559" s="1694"/>
      <c r="AC559" s="1694"/>
      <c r="AD559" s="1694"/>
      <c r="AE559" s="1675">
        <v>2</v>
      </c>
      <c r="AF559" s="1676"/>
      <c r="AG559" s="1676"/>
      <c r="AH559" s="1677"/>
      <c r="AI559" s="1678"/>
      <c r="AJ559" s="1679"/>
      <c r="AK559" s="1679"/>
      <c r="AL559" s="1680"/>
      <c r="AM559" s="1668">
        <v>0</v>
      </c>
      <c r="AN559" s="1669"/>
      <c r="AO559" s="1669"/>
      <c r="AP559" s="1669"/>
      <c r="AQ559" s="1669"/>
      <c r="AR559" s="1669"/>
      <c r="AS559" s="1670"/>
      <c r="AT559" s="1148" t="str">
        <f t="shared" si="0"/>
        <v/>
      </c>
      <c r="AU559" s="1147"/>
      <c r="BB559" s="3"/>
      <c r="BC559" s="3"/>
      <c r="BD559" s="3"/>
      <c r="BE559" s="3"/>
      <c r="BF559" s="3"/>
      <c r="BG559" s="3"/>
      <c r="BH559" s="3" t="s">
        <v>585</v>
      </c>
      <c r="BI559" s="3" t="str">
        <f>AG665</f>
        <v>Yes</v>
      </c>
    </row>
    <row r="560" spans="1:61" ht="12.95" customHeight="1">
      <c r="B560" s="52" t="s">
        <v>456</v>
      </c>
      <c r="C560" s="1681"/>
      <c r="D560" s="1681"/>
      <c r="E560" s="1681"/>
      <c r="F560" s="1681"/>
      <c r="G560" s="1681"/>
      <c r="H560" s="1681"/>
      <c r="I560" s="1681"/>
      <c r="J560" s="1681"/>
      <c r="K560" s="1681"/>
      <c r="L560" s="1681"/>
      <c r="M560" s="1693" t="s">
        <v>1185</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3" t="s">
        <v>1185</v>
      </c>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3" t="s">
        <v>1185</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24588278</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Banc of CA (tax-exempt)</v>
      </c>
      <c r="H568" s="1359"/>
      <c r="I568" s="1359"/>
      <c r="J568" s="1359"/>
      <c r="K568" s="1359"/>
      <c r="L568" s="1359"/>
      <c r="M568" s="1359"/>
      <c r="N568" s="1359"/>
      <c r="O568" s="1359"/>
      <c r="P568" s="1359"/>
      <c r="Q568" s="1359"/>
      <c r="R568" s="1359"/>
      <c r="S568" s="8"/>
      <c r="T568" s="55" t="s">
        <v>113</v>
      </c>
      <c r="U568" t="s">
        <v>464</v>
      </c>
      <c r="Z568" s="1359" t="str">
        <f>C555</f>
        <v>Banc of CA (taxable)</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2690</v>
      </c>
      <c r="H569" s="1372"/>
      <c r="I569" s="1372"/>
      <c r="J569" s="1372"/>
      <c r="K569" s="1372"/>
      <c r="L569" s="1372"/>
      <c r="M569" s="1372"/>
      <c r="N569" s="1372"/>
      <c r="O569" s="1372"/>
      <c r="P569" s="1372"/>
      <c r="Q569" s="1372"/>
      <c r="R569" s="1372"/>
      <c r="S569" s="8"/>
      <c r="T569" s="22"/>
      <c r="U569" t="s">
        <v>85</v>
      </c>
      <c r="Z569" s="1372" t="s">
        <v>2695</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2691</v>
      </c>
      <c r="H570" s="1372"/>
      <c r="I570" s="1372"/>
      <c r="J570" s="1372"/>
      <c r="K570" s="1372"/>
      <c r="L570" s="1372"/>
      <c r="M570" s="1372"/>
      <c r="N570" s="1372"/>
      <c r="O570" s="1372"/>
      <c r="P570" s="1372"/>
      <c r="Q570" s="1372"/>
      <c r="R570" s="1372"/>
      <c r="T570" s="22"/>
      <c r="U570" t="s">
        <v>581</v>
      </c>
      <c r="Z570" s="1349" t="s">
        <v>2691</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2692</v>
      </c>
      <c r="H571" s="1372"/>
      <c r="I571" s="1372"/>
      <c r="J571" s="1372"/>
      <c r="K571" s="1372"/>
      <c r="L571" s="1372"/>
      <c r="M571" s="1372"/>
      <c r="N571" s="1372"/>
      <c r="O571" s="1372"/>
      <c r="P571" s="1372"/>
      <c r="Q571" s="1372"/>
      <c r="R571" s="1372"/>
      <c r="S571" s="8"/>
      <c r="T571" s="22"/>
      <c r="U571" t="s">
        <v>17</v>
      </c>
      <c r="Z571" s="1349" t="s">
        <v>2692</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2693</v>
      </c>
      <c r="H572" s="1347"/>
      <c r="I572" s="1347"/>
      <c r="J572" s="1347"/>
      <c r="K572" s="1347"/>
      <c r="L572" s="1347"/>
      <c r="O572" s="33" t="s">
        <v>206</v>
      </c>
      <c r="P572" s="1437"/>
      <c r="Q572" s="1437"/>
      <c r="R572" s="1437"/>
      <c r="S572" s="10"/>
      <c r="T572" s="22"/>
      <c r="U572" t="s">
        <v>316</v>
      </c>
      <c r="Z572" s="1346" t="s">
        <v>2693</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2694</v>
      </c>
      <c r="I573" s="1372"/>
      <c r="J573" s="1372"/>
      <c r="K573" s="1372"/>
      <c r="L573" s="1372"/>
      <c r="M573" s="1372"/>
      <c r="N573" s="1372"/>
      <c r="O573" s="1372"/>
      <c r="P573" s="1372"/>
      <c r="Q573" s="1372"/>
      <c r="R573" s="1372"/>
      <c r="S573" s="8"/>
      <c r="T573" s="22"/>
      <c r="U573" t="s">
        <v>18</v>
      </c>
      <c r="AA573" s="1372" t="s">
        <v>2694</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Red Stone Equity Partners</v>
      </c>
      <c r="H577" s="1359"/>
      <c r="I577" s="1359"/>
      <c r="J577" s="1359"/>
      <c r="K577" s="1359"/>
      <c r="L577" s="1359"/>
      <c r="M577" s="1359"/>
      <c r="N577" s="1359"/>
      <c r="O577" s="1359"/>
      <c r="P577" s="1359"/>
      <c r="Q577" s="1359"/>
      <c r="R577" s="1359"/>
      <c r="T577" s="55" t="s">
        <v>582</v>
      </c>
      <c r="U577" t="s">
        <v>464</v>
      </c>
      <c r="Z577" s="1359" t="str">
        <f>C557</f>
        <v>Deferred Costs</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2696</v>
      </c>
      <c r="H578" s="1372"/>
      <c r="I578" s="1372"/>
      <c r="J578" s="1372"/>
      <c r="K578" s="1372"/>
      <c r="L578" s="1372"/>
      <c r="M578" s="1372"/>
      <c r="N578" s="1372"/>
      <c r="O578" s="1372"/>
      <c r="P578" s="1372"/>
      <c r="Q578" s="1372"/>
      <c r="R578" s="1372"/>
      <c r="T578" s="22"/>
      <c r="U578" t="s">
        <v>85</v>
      </c>
      <c r="Z578" s="1372" t="s">
        <v>2628</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2697</v>
      </c>
      <c r="H579" s="1349"/>
      <c r="I579" s="1349"/>
      <c r="J579" s="1349"/>
      <c r="K579" s="1349"/>
      <c r="L579" s="1349"/>
      <c r="M579" s="1349"/>
      <c r="N579" s="1349"/>
      <c r="O579" s="1349"/>
      <c r="P579" s="1349"/>
      <c r="Q579" s="1349"/>
      <c r="R579" s="1349"/>
      <c r="T579" s="22"/>
      <c r="U579" t="s">
        <v>581</v>
      </c>
      <c r="Z579" s="1349" t="s">
        <v>2699</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2668</v>
      </c>
      <c r="H580" s="1349"/>
      <c r="I580" s="1349"/>
      <c r="J580" s="1349"/>
      <c r="K580" s="1349"/>
      <c r="L580" s="1349"/>
      <c r="M580" s="1349"/>
      <c r="N580" s="1349"/>
      <c r="O580" s="1349"/>
      <c r="P580" s="1349"/>
      <c r="Q580" s="1349"/>
      <c r="R580" s="1349"/>
      <c r="T580" s="22"/>
      <c r="U580" t="s">
        <v>17</v>
      </c>
      <c r="Z580" s="1349" t="s">
        <v>2636</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2669</v>
      </c>
      <c r="H581" s="1347"/>
      <c r="I581" s="1347"/>
      <c r="J581" s="1347"/>
      <c r="K581" s="1347"/>
      <c r="L581" s="1347"/>
      <c r="O581" s="33" t="s">
        <v>206</v>
      </c>
      <c r="P581" s="1437"/>
      <c r="Q581" s="1437"/>
      <c r="R581" s="1437"/>
      <c r="T581" s="22"/>
      <c r="U581" t="s">
        <v>316</v>
      </c>
      <c r="Z581" s="1346" t="s">
        <v>2630</v>
      </c>
      <c r="AA581" s="1347"/>
      <c r="AB581" s="1347"/>
      <c r="AC581" s="1347"/>
      <c r="AD581" s="1347"/>
      <c r="AE581" s="1347"/>
      <c r="AH581" s="33" t="s">
        <v>206</v>
      </c>
      <c r="AI581" s="1437"/>
      <c r="AJ581" s="1437"/>
      <c r="AK581" s="1437"/>
      <c r="BB581" s="3"/>
      <c r="BC581" s="3"/>
    </row>
    <row r="582" spans="1:55" ht="12.95" customHeight="1">
      <c r="A582" s="22"/>
      <c r="B582" t="s">
        <v>18</v>
      </c>
      <c r="H582" s="1372" t="s">
        <v>2698</v>
      </c>
      <c r="I582" s="1372"/>
      <c r="J582" s="1372"/>
      <c r="K582" s="1372"/>
      <c r="L582" s="1372"/>
      <c r="M582" s="1372"/>
      <c r="N582" s="1372"/>
      <c r="O582" s="1372"/>
      <c r="P582" s="1372"/>
      <c r="Q582" s="1372"/>
      <c r="R582" s="1372"/>
      <c r="T582" s="22"/>
      <c r="U582" t="s">
        <v>18</v>
      </c>
      <c r="AA582" s="1372" t="s">
        <v>2689</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t="str">
        <f>C558</f>
        <v>HASBARCO 2</v>
      </c>
      <c r="H585" s="1359"/>
      <c r="I585" s="1359"/>
      <c r="J585" s="1359"/>
      <c r="K585" s="1359"/>
      <c r="L585" s="1359"/>
      <c r="M585" s="1359"/>
      <c r="N585" s="1359"/>
      <c r="O585" s="1359"/>
      <c r="P585" s="1359"/>
      <c r="Q585" s="1359"/>
      <c r="R585" s="1359"/>
      <c r="T585" s="55" t="s">
        <v>585</v>
      </c>
      <c r="U585" t="s">
        <v>464</v>
      </c>
      <c r="Z585" s="1359" t="str">
        <f>C559</f>
        <v>HASBARCO 1</v>
      </c>
      <c r="AA585" s="1359"/>
      <c r="AB585" s="1359"/>
      <c r="AC585" s="1359"/>
      <c r="AD585" s="1359"/>
      <c r="AE585" s="1359"/>
      <c r="AF585" s="1359"/>
      <c r="AG585" s="1359"/>
      <c r="AH585" s="1359"/>
      <c r="AI585" s="1359"/>
      <c r="AJ585" s="1359"/>
      <c r="AK585" s="1359"/>
      <c r="BB585" s="3"/>
      <c r="BC585" s="3"/>
    </row>
    <row r="586" spans="1:55" ht="12.95" customHeight="1">
      <c r="A586" s="22"/>
      <c r="B586" t="s">
        <v>85</v>
      </c>
      <c r="G586" s="1417" t="s">
        <v>2628</v>
      </c>
      <c r="H586" s="1372"/>
      <c r="I586" s="1372"/>
      <c r="J586" s="1372"/>
      <c r="K586" s="1372"/>
      <c r="L586" s="1372"/>
      <c r="M586" s="1372"/>
      <c r="N586" s="1372"/>
      <c r="O586" s="1372"/>
      <c r="P586" s="1372"/>
      <c r="Q586" s="1372"/>
      <c r="R586" s="1372"/>
      <c r="T586" s="22"/>
      <c r="U586" t="s">
        <v>85</v>
      </c>
      <c r="Z586" s="1417" t="s">
        <v>2628</v>
      </c>
      <c r="AA586" s="1372"/>
      <c r="AB586" s="1372"/>
      <c r="AC586" s="1372"/>
      <c r="AD586" s="1372"/>
      <c r="AE586" s="1372"/>
      <c r="AF586" s="1372"/>
      <c r="AG586" s="1372"/>
      <c r="AH586" s="1372"/>
      <c r="AI586" s="1372"/>
      <c r="AJ586" s="1372"/>
      <c r="AK586" s="1372"/>
      <c r="BB586" s="3"/>
      <c r="BC586" s="3"/>
    </row>
    <row r="587" spans="1:55" ht="12.95" customHeight="1">
      <c r="A587" s="22"/>
      <c r="B587" t="s">
        <v>581</v>
      </c>
      <c r="G587" s="1417" t="s">
        <v>2617</v>
      </c>
      <c r="H587" s="1372"/>
      <c r="I587" s="1372"/>
      <c r="J587" s="1372"/>
      <c r="K587" s="1372"/>
      <c r="L587" s="1372"/>
      <c r="M587" s="1372"/>
      <c r="N587" s="1372"/>
      <c r="O587" s="1372"/>
      <c r="P587" s="1372"/>
      <c r="Q587" s="1372"/>
      <c r="R587" s="1372"/>
      <c r="T587" s="22"/>
      <c r="U587" t="s">
        <v>581</v>
      </c>
      <c r="Z587" s="1458" t="s">
        <v>2617</v>
      </c>
      <c r="AA587" s="1349"/>
      <c r="AB587" s="1349"/>
      <c r="AC587" s="1349"/>
      <c r="AD587" s="1349"/>
      <c r="AE587" s="1349"/>
      <c r="AF587" s="1349"/>
      <c r="AG587" s="1349"/>
      <c r="AH587" s="1349"/>
      <c r="AI587" s="1349"/>
      <c r="AJ587" s="1349"/>
      <c r="AK587" s="1349"/>
      <c r="BB587" s="3"/>
      <c r="BC587" s="3"/>
    </row>
    <row r="588" spans="1:55" ht="12.95" customHeight="1">
      <c r="A588" s="22"/>
      <c r="B588" t="s">
        <v>17</v>
      </c>
      <c r="G588" s="1417" t="s">
        <v>2636</v>
      </c>
      <c r="H588" s="1372"/>
      <c r="I588" s="1372"/>
      <c r="J588" s="1372"/>
      <c r="K588" s="1372"/>
      <c r="L588" s="1372"/>
      <c r="M588" s="1372"/>
      <c r="N588" s="1372"/>
      <c r="O588" s="1372"/>
      <c r="P588" s="1372"/>
      <c r="Q588" s="1372"/>
      <c r="R588" s="1372"/>
      <c r="T588" s="22"/>
      <c r="U588" t="s">
        <v>17</v>
      </c>
      <c r="Z588" s="1458" t="s">
        <v>2615</v>
      </c>
      <c r="AA588" s="1349"/>
      <c r="AB588" s="1349"/>
      <c r="AC588" s="1349"/>
      <c r="AD588" s="1349"/>
      <c r="AE588" s="1349"/>
      <c r="AF588" s="1349"/>
      <c r="AG588" s="1349"/>
      <c r="AH588" s="1349"/>
      <c r="AI588" s="1349"/>
      <c r="AJ588" s="1349"/>
      <c r="AK588" s="1349"/>
    </row>
    <row r="589" spans="1:55" ht="12.95" customHeight="1">
      <c r="A589" s="22"/>
      <c r="B589" t="s">
        <v>316</v>
      </c>
      <c r="G589" s="1346" t="s">
        <v>2630</v>
      </c>
      <c r="H589" s="1347"/>
      <c r="I589" s="1347"/>
      <c r="J589" s="1347"/>
      <c r="K589" s="1347"/>
      <c r="L589" s="1347"/>
      <c r="O589" s="33" t="s">
        <v>206</v>
      </c>
      <c r="P589" s="1437"/>
      <c r="Q589" s="1437"/>
      <c r="R589" s="1437"/>
      <c r="T589" s="22"/>
      <c r="U589" t="s">
        <v>316</v>
      </c>
      <c r="Z589" s="1346" t="s">
        <v>2630</v>
      </c>
      <c r="AA589" s="1347"/>
      <c r="AB589" s="1347"/>
      <c r="AC589" s="1347"/>
      <c r="AD589" s="1347"/>
      <c r="AE589" s="1347"/>
      <c r="AH589" s="33" t="s">
        <v>206</v>
      </c>
      <c r="AI589" s="1437"/>
      <c r="AJ589" s="1437"/>
      <c r="AK589" s="1437"/>
      <c r="AZ589" s="3"/>
      <c r="BA589" s="3"/>
      <c r="BB589" s="3"/>
      <c r="BC589" s="3"/>
    </row>
    <row r="590" spans="1:55" ht="12.95" customHeight="1">
      <c r="A590" s="22"/>
      <c r="B590" t="s">
        <v>18</v>
      </c>
      <c r="H590" s="1417" t="s">
        <v>458</v>
      </c>
      <c r="I590" s="1372"/>
      <c r="J590" s="1372"/>
      <c r="K590" s="1372"/>
      <c r="L590" s="1372"/>
      <c r="M590" s="1372"/>
      <c r="N590" s="1372"/>
      <c r="O590" s="1372"/>
      <c r="P590" s="1372"/>
      <c r="Q590" s="1372"/>
      <c r="R590" s="1372"/>
      <c r="T590" s="22"/>
      <c r="U590" t="s">
        <v>18</v>
      </c>
      <c r="AA590" s="1417" t="s">
        <v>458</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2" t="s">
        <v>2104</v>
      </c>
      <c r="N624" s="1442"/>
      <c r="O624" s="1442"/>
      <c r="P624" s="1442"/>
      <c r="Q624" s="1442" t="s">
        <v>1853</v>
      </c>
      <c r="R624" s="1442"/>
      <c r="S624" s="1442"/>
      <c r="T624" s="1442" t="s">
        <v>1851</v>
      </c>
      <c r="U624" s="1442"/>
      <c r="V624" s="1442"/>
      <c r="W624" s="1701" t="s">
        <v>454</v>
      </c>
      <c r="X624" s="1701"/>
      <c r="Y624" s="1701"/>
      <c r="Z624" s="1431" t="s">
        <v>2133</v>
      </c>
      <c r="AA624" s="1431"/>
      <c r="AB624" s="1432"/>
      <c r="AC624" s="1682" t="s">
        <v>1677</v>
      </c>
      <c r="AD624" s="1683"/>
      <c r="AE624" s="1684"/>
      <c r="AF624" s="1672" t="s">
        <v>1931</v>
      </c>
      <c r="AG624" s="1431"/>
      <c r="AH624" s="1431"/>
      <c r="AI624" s="1431"/>
      <c r="AJ624" s="1432"/>
      <c r="AK624" s="1733" t="s">
        <v>1932</v>
      </c>
      <c r="AL624" s="1734"/>
      <c r="AM624" s="1734"/>
      <c r="AN624" s="1735"/>
      <c r="AO624" s="1442" t="s">
        <v>455</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
        <v>2700</v>
      </c>
      <c r="D627" s="1692"/>
      <c r="E627" s="1692"/>
      <c r="F627" s="1692"/>
      <c r="G627" s="1692"/>
      <c r="H627" s="1692"/>
      <c r="I627" s="1692"/>
      <c r="J627" s="1692"/>
      <c r="K627" s="1692"/>
      <c r="L627" s="1692"/>
      <c r="M627" s="1618" t="s">
        <v>2120</v>
      </c>
      <c r="N627" s="1618"/>
      <c r="O627" s="1618"/>
      <c r="P627" s="1618"/>
      <c r="Q627" s="1426">
        <f>17*12</f>
        <v>204</v>
      </c>
      <c r="R627" s="1426"/>
      <c r="S627" s="1427"/>
      <c r="T627" s="1425">
        <v>420</v>
      </c>
      <c r="U627" s="1426"/>
      <c r="V627" s="1427"/>
      <c r="W627" s="1438">
        <v>6.25E-2</v>
      </c>
      <c r="X627" s="1439"/>
      <c r="Y627" s="1440"/>
      <c r="Z627" s="1479" t="s">
        <v>2132</v>
      </c>
      <c r="AA627" s="1480"/>
      <c r="AB627" s="1481"/>
      <c r="AC627" s="1446">
        <v>1</v>
      </c>
      <c r="AD627" s="1447"/>
      <c r="AE627" s="1448"/>
      <c r="AF627" s="1476">
        <f>-12*PMT(W627/12, T627, AO627)</f>
        <v>232448.2591151318</v>
      </c>
      <c r="AG627" s="1477"/>
      <c r="AH627" s="1477"/>
      <c r="AI627" s="1477"/>
      <c r="AJ627" s="1478"/>
      <c r="AK627" s="1428">
        <v>0</v>
      </c>
      <c r="AL627" s="1429"/>
      <c r="AM627" s="1429"/>
      <c r="AN627" s="1430"/>
      <c r="AO627" s="1482">
        <f>3299517</f>
        <v>3299517</v>
      </c>
      <c r="AP627" s="1482"/>
      <c r="AQ627" s="1482"/>
      <c r="AR627" s="1482"/>
      <c r="AS627" s="1482"/>
      <c r="AT627" s="3"/>
      <c r="AU627" s="3"/>
      <c r="AZ627" s="3"/>
      <c r="BA627" s="3"/>
      <c r="BB627" s="3"/>
      <c r="BC627" s="3"/>
      <c r="BD627" s="3"/>
    </row>
    <row r="628" spans="2:157" ht="12.95" customHeight="1">
      <c r="B628" s="52" t="s">
        <v>113</v>
      </c>
      <c r="C628" s="1692" t="s">
        <v>2726</v>
      </c>
      <c r="D628" s="1692"/>
      <c r="E628" s="1692"/>
      <c r="F628" s="1692"/>
      <c r="G628" s="1692"/>
      <c r="H628" s="1692"/>
      <c r="I628" s="1692"/>
      <c r="J628" s="1692"/>
      <c r="K628" s="1692"/>
      <c r="L628" s="1692"/>
      <c r="M628" s="1618" t="s">
        <v>2116</v>
      </c>
      <c r="N628" s="1618"/>
      <c r="O628" s="1618"/>
      <c r="P628" s="1618"/>
      <c r="Q628" s="1425">
        <v>660</v>
      </c>
      <c r="R628" s="1426"/>
      <c r="S628" s="1427"/>
      <c r="T628" s="1425">
        <v>660</v>
      </c>
      <c r="U628" s="1426"/>
      <c r="V628" s="1427"/>
      <c r="W628" s="1438">
        <v>0.03</v>
      </c>
      <c r="X628" s="1439"/>
      <c r="Y628" s="1440"/>
      <c r="Z628" s="1479" t="s">
        <v>458</v>
      </c>
      <c r="AA628" s="1480"/>
      <c r="AB628" s="1481"/>
      <c r="AC628" s="1446">
        <v>2</v>
      </c>
      <c r="AD628" s="1447"/>
      <c r="AE628" s="1448"/>
      <c r="AF628" s="1476"/>
      <c r="AG628" s="1477"/>
      <c r="AH628" s="1477"/>
      <c r="AI628" s="1477"/>
      <c r="AJ628" s="1478"/>
      <c r="AK628" s="1428">
        <v>0</v>
      </c>
      <c r="AL628" s="1429"/>
      <c r="AM628" s="1429"/>
      <c r="AN628" s="1430"/>
      <c r="AO628" s="1467">
        <v>9156458</v>
      </c>
      <c r="AP628" s="1468"/>
      <c r="AQ628" s="1468"/>
      <c r="AR628" s="1468"/>
      <c r="AS628" s="1469"/>
      <c r="AT628" s="1148" t="str">
        <f>IF(AND(NOT(C627=""),C628="",NOT(C629="")),"!","")</f>
        <v/>
      </c>
      <c r="AU628" s="3"/>
      <c r="AZ628" s="3"/>
      <c r="BA628" s="3"/>
      <c r="BB628" s="3"/>
      <c r="BC628" s="3"/>
      <c r="BD628" s="3"/>
    </row>
    <row r="629" spans="2:157" ht="12.95" customHeight="1">
      <c r="B629" s="52" t="s">
        <v>119</v>
      </c>
      <c r="C629" s="1692" t="s">
        <v>250</v>
      </c>
      <c r="D629" s="1692"/>
      <c r="E629" s="1692"/>
      <c r="F629" s="1692"/>
      <c r="G629" s="1692"/>
      <c r="H629" s="1692"/>
      <c r="I629" s="1692"/>
      <c r="J629" s="1692"/>
      <c r="K629" s="1692"/>
      <c r="L629" s="1692"/>
      <c r="M629" s="1618" t="s">
        <v>1185</v>
      </c>
      <c r="N629" s="1618"/>
      <c r="O629" s="1618"/>
      <c r="P629" s="1618"/>
      <c r="Q629" s="1425"/>
      <c r="R629" s="1426"/>
      <c r="S629" s="1427"/>
      <c r="T629" s="1425"/>
      <c r="U629" s="1426"/>
      <c r="V629" s="1427"/>
      <c r="W629" s="1438"/>
      <c r="X629" s="1439"/>
      <c r="Y629" s="1440"/>
      <c r="Z629" s="1479" t="s">
        <v>458</v>
      </c>
      <c r="AA629" s="1480"/>
      <c r="AB629" s="1481"/>
      <c r="AC629" s="1446"/>
      <c r="AD629" s="1447"/>
      <c r="AE629" s="1448"/>
      <c r="AF629" s="1476"/>
      <c r="AG629" s="1477"/>
      <c r="AH629" s="1477"/>
      <c r="AI629" s="1477"/>
      <c r="AJ629" s="1478"/>
      <c r="AK629" s="1428">
        <v>0</v>
      </c>
      <c r="AL629" s="1429"/>
      <c r="AM629" s="1429"/>
      <c r="AN629" s="1430"/>
      <c r="AO629" s="1467"/>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692" t="s">
        <v>2321</v>
      </c>
      <c r="D630" s="1348"/>
      <c r="E630" s="1348"/>
      <c r="F630" s="1348"/>
      <c r="G630" s="1348"/>
      <c r="H630" s="1348"/>
      <c r="I630" s="1348"/>
      <c r="J630" s="1348"/>
      <c r="K630" s="1348"/>
      <c r="L630" s="1348"/>
      <c r="M630" s="1618" t="s">
        <v>2116</v>
      </c>
      <c r="N630" s="1618"/>
      <c r="O630" s="1618"/>
      <c r="P630" s="1618"/>
      <c r="Q630" s="1425">
        <v>180</v>
      </c>
      <c r="R630" s="1426"/>
      <c r="S630" s="1427"/>
      <c r="T630" s="1425">
        <v>180</v>
      </c>
      <c r="U630" s="1426"/>
      <c r="V630" s="1427"/>
      <c r="W630" s="1438"/>
      <c r="X630" s="1439"/>
      <c r="Y630" s="1440"/>
      <c r="Z630" s="1479" t="s">
        <v>458</v>
      </c>
      <c r="AA630" s="1480"/>
      <c r="AB630" s="1481"/>
      <c r="AC630" s="1446"/>
      <c r="AD630" s="1447"/>
      <c r="AE630" s="1448"/>
      <c r="AF630" s="1476"/>
      <c r="AG630" s="1477"/>
      <c r="AH630" s="1477"/>
      <c r="AI630" s="1477"/>
      <c r="AJ630" s="1478"/>
      <c r="AK630" s="1428">
        <v>0</v>
      </c>
      <c r="AL630" s="1429"/>
      <c r="AM630" s="1429"/>
      <c r="AN630" s="1430"/>
      <c r="AO630" s="1467">
        <f>1151112</f>
        <v>1151112</v>
      </c>
      <c r="AP630" s="1468"/>
      <c r="AQ630" s="1468"/>
      <c r="AR630" s="1468"/>
      <c r="AS630" s="1469"/>
      <c r="AT630" s="1148" t="str">
        <f t="shared" si="1"/>
        <v/>
      </c>
      <c r="AU630" s="3"/>
      <c r="AZ630" s="3"/>
      <c r="BA630" s="3"/>
      <c r="BB630" s="3"/>
      <c r="BC630" s="3"/>
      <c r="BD630" s="3"/>
    </row>
    <row r="631" spans="2:157" ht="12.95" customHeight="1">
      <c r="B631" s="52" t="s">
        <v>764</v>
      </c>
      <c r="C631" s="1692" t="s">
        <v>2727</v>
      </c>
      <c r="D631" s="1348"/>
      <c r="E631" s="1348"/>
      <c r="F631" s="1348"/>
      <c r="G631" s="1348"/>
      <c r="H631" s="1348"/>
      <c r="I631" s="1348"/>
      <c r="J631" s="1348"/>
      <c r="K631" s="1348"/>
      <c r="L631" s="1348"/>
      <c r="M631" s="1618" t="s">
        <v>2116</v>
      </c>
      <c r="N631" s="1618"/>
      <c r="O631" s="1618"/>
      <c r="P631" s="1618"/>
      <c r="Q631" s="1425">
        <v>660</v>
      </c>
      <c r="R631" s="1426"/>
      <c r="S631" s="1427"/>
      <c r="T631" s="1425">
        <v>660</v>
      </c>
      <c r="U631" s="1426"/>
      <c r="V631" s="1427"/>
      <c r="W631" s="1438">
        <v>0.03</v>
      </c>
      <c r="X631" s="1439"/>
      <c r="Y631" s="1440"/>
      <c r="Z631" s="1479" t="s">
        <v>458</v>
      </c>
      <c r="AA631" s="1480"/>
      <c r="AB631" s="1481"/>
      <c r="AC631" s="1446">
        <v>3</v>
      </c>
      <c r="AD631" s="1447"/>
      <c r="AE631" s="1448"/>
      <c r="AF631" s="1476"/>
      <c r="AG631" s="1477"/>
      <c r="AH631" s="1477"/>
      <c r="AI631" s="1477"/>
      <c r="AJ631" s="1478"/>
      <c r="AK631" s="1428">
        <v>0</v>
      </c>
      <c r="AL631" s="1429"/>
      <c r="AM631" s="1429"/>
      <c r="AN631" s="1430"/>
      <c r="AO631" s="1467">
        <v>1000000</v>
      </c>
      <c r="AP631" s="1468"/>
      <c r="AQ631" s="1468"/>
      <c r="AR631" s="1468"/>
      <c r="AS631" s="1469"/>
      <c r="AT631" s="1148" t="str">
        <f t="shared" si="1"/>
        <v/>
      </c>
      <c r="AU631" s="3"/>
      <c r="AZ631" s="3"/>
      <c r="BA631" s="3"/>
      <c r="BB631" s="3"/>
      <c r="BC631" s="3"/>
      <c r="BD631" s="3"/>
    </row>
    <row r="632" spans="2:157" ht="12.95" customHeight="1">
      <c r="B632" s="52" t="s">
        <v>585</v>
      </c>
      <c r="C632" s="1692" t="s">
        <v>2720</v>
      </c>
      <c r="D632" s="1348"/>
      <c r="E632" s="1348"/>
      <c r="F632" s="1348"/>
      <c r="G632" s="1348"/>
      <c r="H632" s="1348"/>
      <c r="I632" s="1348"/>
      <c r="J632" s="1348"/>
      <c r="K632" s="1348"/>
      <c r="L632" s="1348"/>
      <c r="M632" s="1618" t="s">
        <v>2110</v>
      </c>
      <c r="N632" s="1618"/>
      <c r="O632" s="1618"/>
      <c r="P632" s="1618"/>
      <c r="Q632" s="1425">
        <f>22*12</f>
        <v>264</v>
      </c>
      <c r="R632" s="1426"/>
      <c r="S632" s="1427"/>
      <c r="T632" s="1425"/>
      <c r="U632" s="1426"/>
      <c r="V632" s="1427"/>
      <c r="W632" s="1438"/>
      <c r="X632" s="1439"/>
      <c r="Y632" s="1440"/>
      <c r="Z632" s="1479" t="s">
        <v>2132</v>
      </c>
      <c r="AA632" s="1480"/>
      <c r="AB632" s="1481"/>
      <c r="AC632" s="1446"/>
      <c r="AD632" s="1447"/>
      <c r="AE632" s="1448"/>
      <c r="AF632" s="1476">
        <v>0</v>
      </c>
      <c r="AG632" s="1477"/>
      <c r="AH632" s="1477"/>
      <c r="AI632" s="1477"/>
      <c r="AJ632" s="1478"/>
      <c r="AK632" s="1428"/>
      <c r="AL632" s="1429"/>
      <c r="AM632" s="1429"/>
      <c r="AN632" s="1430"/>
      <c r="AO632" s="1467">
        <v>164095</v>
      </c>
      <c r="AP632" s="1468"/>
      <c r="AQ632" s="1468"/>
      <c r="AR632" s="1468"/>
      <c r="AS632" s="1469"/>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8" t="s">
        <v>1185</v>
      </c>
      <c r="N633" s="1618"/>
      <c r="O633" s="1618"/>
      <c r="P633" s="1618"/>
      <c r="Q633" s="1425"/>
      <c r="R633" s="1426"/>
      <c r="S633" s="1427"/>
      <c r="T633" s="1425"/>
      <c r="U633" s="1426"/>
      <c r="V633" s="1427"/>
      <c r="W633" s="1438"/>
      <c r="X633" s="1439"/>
      <c r="Y633" s="1440"/>
      <c r="Z633" s="1479" t="s">
        <v>1185</v>
      </c>
      <c r="AA633" s="1480"/>
      <c r="AB633" s="1481"/>
      <c r="AC633" s="1446"/>
      <c r="AD633" s="1447"/>
      <c r="AE633" s="1448"/>
      <c r="AF633" s="1476"/>
      <c r="AG633" s="1477"/>
      <c r="AH633" s="1477"/>
      <c r="AI633" s="1477"/>
      <c r="AJ633" s="1478"/>
      <c r="AK633" s="1428"/>
      <c r="AL633" s="1429"/>
      <c r="AM633" s="1429"/>
      <c r="AN633" s="1430"/>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8" t="s">
        <v>1185</v>
      </c>
      <c r="N634" s="1618"/>
      <c r="O634" s="1618"/>
      <c r="P634" s="1618"/>
      <c r="Q634" s="1425"/>
      <c r="R634" s="1426"/>
      <c r="S634" s="1427"/>
      <c r="T634" s="1425"/>
      <c r="U634" s="1426"/>
      <c r="V634" s="1427"/>
      <c r="W634" s="1438"/>
      <c r="X634" s="1439"/>
      <c r="Y634" s="1440"/>
      <c r="Z634" s="1479" t="s">
        <v>1185</v>
      </c>
      <c r="AA634" s="1480"/>
      <c r="AB634" s="1481"/>
      <c r="AC634" s="1446"/>
      <c r="AD634" s="1447"/>
      <c r="AE634" s="1448"/>
      <c r="AF634" s="1476"/>
      <c r="AG634" s="1477"/>
      <c r="AH634" s="1477"/>
      <c r="AI634" s="1477"/>
      <c r="AJ634" s="1478"/>
      <c r="AK634" s="1428"/>
      <c r="AL634" s="1429"/>
      <c r="AM634" s="1429"/>
      <c r="AN634" s="1430"/>
      <c r="AO634" s="1467"/>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8" t="s">
        <v>1185</v>
      </c>
      <c r="N635" s="1618"/>
      <c r="O635" s="1618"/>
      <c r="P635" s="1618"/>
      <c r="Q635" s="1425"/>
      <c r="R635" s="1426"/>
      <c r="S635" s="1427"/>
      <c r="T635" s="1425"/>
      <c r="U635" s="1426"/>
      <c r="V635" s="1427"/>
      <c r="W635" s="1438"/>
      <c r="X635" s="1439"/>
      <c r="Y635" s="1440"/>
      <c r="Z635" s="1479" t="s">
        <v>1185</v>
      </c>
      <c r="AA635" s="1480"/>
      <c r="AB635" s="1481"/>
      <c r="AC635" s="1446"/>
      <c r="AD635" s="1447"/>
      <c r="AE635" s="1448"/>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488</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8"/>
      <c r="D636" s="1348"/>
      <c r="E636" s="1348"/>
      <c r="F636" s="1348"/>
      <c r="G636" s="1348"/>
      <c r="H636" s="1348"/>
      <c r="I636" s="1348"/>
      <c r="J636" s="1348"/>
      <c r="K636" s="1348"/>
      <c r="L636" s="1348"/>
      <c r="M636" s="1618" t="s">
        <v>1185</v>
      </c>
      <c r="N636" s="1618"/>
      <c r="O636" s="1618"/>
      <c r="P636" s="1618"/>
      <c r="Q636" s="1425"/>
      <c r="R636" s="1426"/>
      <c r="S636" s="1427"/>
      <c r="T636" s="1425"/>
      <c r="U636" s="1426"/>
      <c r="V636" s="1427"/>
      <c r="W636" s="1438"/>
      <c r="X636" s="1439"/>
      <c r="Y636" s="1440"/>
      <c r="Z636" s="1479" t="s">
        <v>1185</v>
      </c>
      <c r="AA636" s="1480"/>
      <c r="AB636" s="1481"/>
      <c r="AC636" s="1446"/>
      <c r="AD636" s="1447"/>
      <c r="AE636" s="1448"/>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711.66666666666663</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1185</v>
      </c>
      <c r="N637" s="1618"/>
      <c r="O637" s="1618"/>
      <c r="P637" s="1618"/>
      <c r="Q637" s="1425"/>
      <c r="R637" s="1426"/>
      <c r="S637" s="1427"/>
      <c r="T637" s="1425"/>
      <c r="U637" s="1426"/>
      <c r="V637" s="1427"/>
      <c r="W637" s="1438"/>
      <c r="X637" s="1439"/>
      <c r="Y637" s="1440"/>
      <c r="Z637" s="1479" t="s">
        <v>1185</v>
      </c>
      <c r="AA637" s="1480"/>
      <c r="AB637" s="1481"/>
      <c r="AC637" s="1446"/>
      <c r="AD637" s="1447"/>
      <c r="AE637" s="1448"/>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t="e">
        <f t="shared" si="3"/>
        <v>#VALUE!</v>
      </c>
      <c r="ED637" s="1445"/>
      <c r="EE637" s="1445"/>
      <c r="EF637" s="1445"/>
      <c r="EG637" s="1445"/>
      <c r="EH637" s="1445">
        <f t="shared" si="4"/>
        <v>274.5</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1185</v>
      </c>
      <c r="N638" s="1618"/>
      <c r="O638" s="1618"/>
      <c r="P638" s="1618"/>
      <c r="Q638" s="1425"/>
      <c r="R638" s="1426"/>
      <c r="S638" s="1427"/>
      <c r="T638" s="1425"/>
      <c r="U638" s="1426"/>
      <c r="V638" s="1427"/>
      <c r="W638" s="1438"/>
      <c r="X638" s="1439"/>
      <c r="Y638" s="1440"/>
      <c r="Z638" s="1479" t="s">
        <v>1185</v>
      </c>
      <c r="AA638" s="1480"/>
      <c r="AB638" s="1481"/>
      <c r="AC638" s="1446"/>
      <c r="AD638" s="1447"/>
      <c r="AE638" s="1448"/>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f t="shared" si="4"/>
        <v>549</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14771182</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457.5</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f>9817096</f>
        <v>9817096</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t="e">
        <f t="shared" si="4"/>
        <v>#VALUE!</v>
      </c>
      <c r="EI640" s="1445"/>
      <c r="EJ640" s="1445"/>
      <c r="EK640" s="1445"/>
      <c r="EL640" s="1445"/>
      <c r="EM640" s="1445">
        <f t="shared" si="5"/>
        <v>563.55555555555554</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24588278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f t="shared" si="5"/>
        <v>704.66666666666663</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f t="shared" si="5"/>
        <v>469.77777777777777</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9" t="str">
        <f>C627</f>
        <v>Banc of CA</v>
      </c>
      <c r="H643" s="1359"/>
      <c r="I643" s="1359"/>
      <c r="J643" s="1359"/>
      <c r="K643" s="1359"/>
      <c r="L643" s="1359"/>
      <c r="M643" s="1359"/>
      <c r="N643" s="1359"/>
      <c r="O643" s="1359"/>
      <c r="P643" s="1359"/>
      <c r="Q643" s="1359"/>
      <c r="R643" s="1359"/>
      <c r="S643" s="8"/>
      <c r="T643" s="55" t="s">
        <v>113</v>
      </c>
      <c r="U643" t="s">
        <v>464</v>
      </c>
      <c r="Z643" s="1359" t="str">
        <f>C628</f>
        <v>HASBARCO 1</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2701</v>
      </c>
      <c r="H644" s="1372"/>
      <c r="I644" s="1372"/>
      <c r="J644" s="1372"/>
      <c r="K644" s="1372"/>
      <c r="L644" s="1372"/>
      <c r="M644" s="1372"/>
      <c r="N644" s="1372"/>
      <c r="O644" s="1372"/>
      <c r="P644" s="1372"/>
      <c r="Q644" s="1372"/>
      <c r="R644" s="1372"/>
      <c r="S644" s="8"/>
      <c r="T644" s="22"/>
      <c r="U644" t="s">
        <v>85</v>
      </c>
      <c r="Z644" s="1417" t="s">
        <v>2628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2" t="s">
        <v>2702</v>
      </c>
      <c r="H645" s="1372"/>
      <c r="I645" s="1372"/>
      <c r="J645" s="1372"/>
      <c r="K645" s="1372"/>
      <c r="L645" s="1372"/>
      <c r="M645" s="1372"/>
      <c r="N645" s="1372"/>
      <c r="O645" s="1372"/>
      <c r="P645" s="1372"/>
      <c r="Q645" s="1372"/>
      <c r="R645" s="1372"/>
      <c r="T645" s="22"/>
      <c r="U645" t="s">
        <v>581</v>
      </c>
      <c r="Z645" s="1458" t="s">
        <v>2617</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2692</v>
      </c>
      <c r="H646" s="1372"/>
      <c r="I646" s="1372"/>
      <c r="J646" s="1372"/>
      <c r="K646" s="1372"/>
      <c r="L646" s="1372"/>
      <c r="M646" s="1372"/>
      <c r="N646" s="1372"/>
      <c r="O646" s="1372"/>
      <c r="P646" s="1372"/>
      <c r="Q646" s="1372"/>
      <c r="R646" s="1372"/>
      <c r="S646" s="8"/>
      <c r="T646" s="22"/>
      <c r="U646" t="s">
        <v>17</v>
      </c>
      <c r="Z646" s="1458" t="s">
        <v>2636</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t="s">
        <v>2693</v>
      </c>
      <c r="H647" s="1347"/>
      <c r="I647" s="1347"/>
      <c r="J647" s="1347"/>
      <c r="K647" s="1347"/>
      <c r="L647" s="1347"/>
      <c r="O647" s="33" t="s">
        <v>206</v>
      </c>
      <c r="P647" s="1437"/>
      <c r="Q647" s="1437"/>
      <c r="R647" s="1437"/>
      <c r="S647" s="10"/>
      <c r="T647" s="22"/>
      <c r="U647" t="s">
        <v>316</v>
      </c>
      <c r="Z647" s="1346" t="s">
        <v>2630</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2694</v>
      </c>
      <c r="I648" s="1372"/>
      <c r="J648" s="1372"/>
      <c r="K648" s="1372"/>
      <c r="L648" s="1372"/>
      <c r="M648" s="1372"/>
      <c r="N648" s="1372"/>
      <c r="O648" s="1372"/>
      <c r="P648" s="1372"/>
      <c r="Q648" s="1372"/>
      <c r="R648" s="1372"/>
      <c r="S648" s="8"/>
      <c r="T648" s="22"/>
      <c r="U648" t="s">
        <v>18</v>
      </c>
      <c r="AA648" s="1372" t="s">
        <v>2703</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9" t="str">
        <f>C629</f>
        <v xml:space="preserve"> </v>
      </c>
      <c r="H651" s="1359"/>
      <c r="I651" s="1359"/>
      <c r="J651" s="1359"/>
      <c r="K651" s="1359"/>
      <c r="L651" s="1359"/>
      <c r="M651" s="1359"/>
      <c r="N651" s="1359"/>
      <c r="O651" s="1359"/>
      <c r="P651" s="1359"/>
      <c r="Q651" s="1359"/>
      <c r="R651" s="1359"/>
      <c r="T651" s="55" t="s">
        <v>582</v>
      </c>
      <c r="U651" t="s">
        <v>464</v>
      </c>
      <c r="Z651" s="1359" t="str">
        <f>C630</f>
        <v>Deferred Developer Fee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c r="H652" s="1372"/>
      <c r="I652" s="1372"/>
      <c r="J652" s="1372"/>
      <c r="K652" s="1372"/>
      <c r="L652" s="1372"/>
      <c r="M652" s="1372"/>
      <c r="N652" s="1372"/>
      <c r="O652" s="1372"/>
      <c r="P652" s="1372"/>
      <c r="Q652" s="1372"/>
      <c r="R652" s="1372"/>
      <c r="T652" s="22"/>
      <c r="U652" t="s">
        <v>85</v>
      </c>
      <c r="Z652" s="1372" t="s">
        <v>2704</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9"/>
      <c r="H653" s="1349"/>
      <c r="I653" s="1349"/>
      <c r="J653" s="1349"/>
      <c r="K653" s="1349"/>
      <c r="L653" s="1349"/>
      <c r="M653" s="1349"/>
      <c r="N653" s="1349"/>
      <c r="O653" s="1349"/>
      <c r="P653" s="1349"/>
      <c r="Q653" s="1349"/>
      <c r="R653" s="1349"/>
      <c r="T653" s="22"/>
      <c r="U653" t="s">
        <v>581</v>
      </c>
      <c r="Z653" s="1349" t="s">
        <v>2699</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c r="H654" s="1349"/>
      <c r="I654" s="1349"/>
      <c r="J654" s="1349"/>
      <c r="K654" s="1349"/>
      <c r="L654" s="1349"/>
      <c r="M654" s="1349"/>
      <c r="N654" s="1349"/>
      <c r="O654" s="1349"/>
      <c r="P654" s="1349"/>
      <c r="Q654" s="1349"/>
      <c r="R654" s="1349"/>
      <c r="T654" s="22"/>
      <c r="U654" t="s">
        <v>17</v>
      </c>
      <c r="Z654" s="1349" t="s">
        <v>2615</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c r="H655" s="1347"/>
      <c r="I655" s="1347"/>
      <c r="J655" s="1347"/>
      <c r="K655" s="1347"/>
      <c r="L655" s="1347"/>
      <c r="O655" s="33" t="s">
        <v>206</v>
      </c>
      <c r="P655" s="1437"/>
      <c r="Q655" s="1437"/>
      <c r="R655" s="1437"/>
      <c r="T655" s="22"/>
      <c r="U655" t="s">
        <v>316</v>
      </c>
      <c r="Z655" s="1346" t="s">
        <v>2630</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c r="I656" s="1372"/>
      <c r="J656" s="1372"/>
      <c r="K656" s="1372"/>
      <c r="L656" s="1372"/>
      <c r="M656" s="1372"/>
      <c r="N656" s="1372"/>
      <c r="O656" s="1372"/>
      <c r="P656" s="1372"/>
      <c r="Q656" s="1372"/>
      <c r="R656" s="1372"/>
      <c r="T656" s="22"/>
      <c r="U656" t="s">
        <v>18</v>
      </c>
      <c r="AA656" s="1372" t="s">
        <v>2321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9" t="str">
        <f>C631</f>
        <v>HASBARCO 2</v>
      </c>
      <c r="H659" s="1359"/>
      <c r="I659" s="1359"/>
      <c r="J659" s="1359"/>
      <c r="K659" s="1359"/>
      <c r="L659" s="1359"/>
      <c r="M659" s="1359"/>
      <c r="N659" s="1359"/>
      <c r="O659" s="1359"/>
      <c r="P659" s="1359"/>
      <c r="Q659" s="1359"/>
      <c r="R659" s="1359"/>
      <c r="T659" s="55" t="s">
        <v>585</v>
      </c>
      <c r="U659" t="s">
        <v>464</v>
      </c>
      <c r="Z659" s="1359" t="str">
        <f>C632</f>
        <v>HASBARCO Pre-Paid Com'l Lease</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417" t="s">
        <v>2628</v>
      </c>
      <c r="H660" s="1372"/>
      <c r="I660" s="1372"/>
      <c r="J660" s="1372"/>
      <c r="K660" s="1372"/>
      <c r="L660" s="1372"/>
      <c r="M660" s="1372"/>
      <c r="N660" s="1372"/>
      <c r="O660" s="1372"/>
      <c r="P660" s="1372"/>
      <c r="Q660" s="1372"/>
      <c r="R660" s="1372"/>
      <c r="T660" s="22"/>
      <c r="U660" t="s">
        <v>85</v>
      </c>
      <c r="Z660" s="1417" t="s">
        <v>2634</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417" t="s">
        <v>2617</v>
      </c>
      <c r="H661" s="1372"/>
      <c r="I661" s="1372"/>
      <c r="J661" s="1372"/>
      <c r="K661" s="1372"/>
      <c r="L661" s="1372"/>
      <c r="M661" s="1372"/>
      <c r="N661" s="1372"/>
      <c r="O661" s="1372"/>
      <c r="P661" s="1372"/>
      <c r="Q661" s="1372"/>
      <c r="R661" s="1372"/>
      <c r="T661" s="22"/>
      <c r="U661" t="s">
        <v>581</v>
      </c>
      <c r="Z661" s="1458" t="s">
        <v>2617</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417" t="s">
        <v>2615</v>
      </c>
      <c r="H662" s="1372"/>
      <c r="I662" s="1372"/>
      <c r="J662" s="1372"/>
      <c r="K662" s="1372"/>
      <c r="L662" s="1372"/>
      <c r="M662" s="1372"/>
      <c r="N662" s="1372"/>
      <c r="O662" s="1372"/>
      <c r="P662" s="1372"/>
      <c r="Q662" s="1372"/>
      <c r="R662" s="1372"/>
      <c r="T662" s="22"/>
      <c r="U662" t="s">
        <v>17</v>
      </c>
      <c r="Z662" s="1458" t="s">
        <v>2615</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t="s">
        <v>2630</v>
      </c>
      <c r="H663" s="1347"/>
      <c r="I663" s="1347"/>
      <c r="J663" s="1347"/>
      <c r="K663" s="1347"/>
      <c r="L663" s="1347"/>
      <c r="O663" s="33" t="s">
        <v>206</v>
      </c>
      <c r="P663" s="1437"/>
      <c r="Q663" s="1437"/>
      <c r="R663" s="1437"/>
      <c r="T663" s="22"/>
      <c r="U663" t="s">
        <v>316</v>
      </c>
      <c r="Z663" s="1346" t="s">
        <v>2630</v>
      </c>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417" t="s">
        <v>2728</v>
      </c>
      <c r="I664" s="1372"/>
      <c r="J664" s="1372"/>
      <c r="K664" s="1372"/>
      <c r="L664" s="1372"/>
      <c r="M664" s="1372"/>
      <c r="N664" s="1372"/>
      <c r="O664" s="1372"/>
      <c r="P664" s="1372"/>
      <c r="Q664" s="1372"/>
      <c r="R664" s="1372"/>
      <c r="T664" s="22"/>
      <c r="U664" t="s">
        <v>18</v>
      </c>
      <c r="AA664" s="1417" t="s">
        <v>458</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1199.6666666666665</v>
      </c>
      <c r="ED670" s="1445"/>
      <c r="EE670" s="1445"/>
      <c r="EF670" s="1445"/>
      <c r="EG670" s="1445"/>
      <c r="EH670" s="1445">
        <f>SUMIF(EH635:EL669,"&gt;0")</f>
        <v>1281</v>
      </c>
      <c r="EI670" s="1445"/>
      <c r="EJ670" s="1445"/>
      <c r="EK670" s="1445"/>
      <c r="EL670" s="1445"/>
      <c r="EM670" s="1445">
        <f>SUMIF(EM635:EQ669,"&gt;0")</f>
        <v>1738</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1"/>
      <c r="AF695" s="1691"/>
      <c r="AG695" s="1691"/>
      <c r="AH695" s="1691"/>
      <c r="AI695" s="1691"/>
    </row>
    <row r="696" spans="1:67" ht="12.95" customHeight="1">
      <c r="B696" s="135"/>
      <c r="C696" s="135"/>
      <c r="D696" s="317" t="s">
        <v>984</v>
      </c>
      <c r="E696" s="135"/>
      <c r="F696" s="135"/>
      <c r="G696" s="135"/>
      <c r="H696" s="135"/>
      <c r="AE696" s="1702"/>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1"/>
      <c r="AF698" s="1691"/>
      <c r="AG698" s="1691"/>
      <c r="AH698" s="1691"/>
      <c r="AI698" s="1691"/>
    </row>
    <row r="699" spans="1:67" ht="12.95" customHeight="1">
      <c r="B699" s="135"/>
      <c r="C699" s="135"/>
      <c r="D699" s="136" t="s">
        <v>436</v>
      </c>
      <c r="E699" s="135"/>
      <c r="F699" s="135"/>
      <c r="G699" s="135"/>
      <c r="H699" s="135"/>
      <c r="AE699" s="1661"/>
      <c r="AF699" s="1661"/>
      <c r="AG699" s="1661"/>
      <c r="AH699" s="1661"/>
      <c r="AI699" s="1661"/>
    </row>
    <row r="700" spans="1:67" ht="12.95" customHeight="1">
      <c r="B700" s="135"/>
      <c r="C700" s="135"/>
      <c r="D700" s="136" t="s">
        <v>437</v>
      </c>
      <c r="E700" s="135"/>
      <c r="F700" s="135"/>
      <c r="G700" s="135"/>
      <c r="H700" s="135"/>
      <c r="W700" s="1359" t="str">
        <f>H335</f>
        <v>Housing Authority of the County of Santa Barbara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19" t="s">
        <v>1680</v>
      </c>
      <c r="L714" s="1720"/>
      <c r="M714" s="1720"/>
      <c r="N714" s="1721"/>
      <c r="O714" s="1363" t="s">
        <v>448</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8</v>
      </c>
      <c r="H718" s="1351"/>
      <c r="I718" s="1351"/>
      <c r="J718" s="1352"/>
      <c r="K718" s="1343">
        <v>528</v>
      </c>
      <c r="L718" s="1344"/>
      <c r="M718" s="1344"/>
      <c r="N718" s="1345"/>
      <c r="O718" s="1340">
        <v>915</v>
      </c>
      <c r="P718" s="1341"/>
      <c r="Q718" s="1341"/>
      <c r="R718" s="1341"/>
      <c r="S718" s="1342"/>
      <c r="T718" s="1340"/>
      <c r="U718" s="1341"/>
      <c r="V718" s="1341"/>
      <c r="W718" s="1342"/>
      <c r="X718" s="1353">
        <f t="shared" ref="X718:X741" si="8">O718+T718</f>
        <v>915</v>
      </c>
      <c r="Y718" s="1354"/>
      <c r="Z718" s="1354"/>
      <c r="AA718" s="1354"/>
      <c r="AB718" s="1355"/>
      <c r="AC718" s="1360">
        <v>0.3</v>
      </c>
      <c r="AD718" s="1361"/>
      <c r="AE718" s="1361"/>
      <c r="AF718" s="1361"/>
      <c r="AG718" s="1362"/>
      <c r="AH718" s="1356">
        <f>IF($AC718&gt;0,($X718/$AZ718), "")</f>
        <v>0.27643504531722052</v>
      </c>
      <c r="AI718" s="1357"/>
      <c r="AJ718" s="1358"/>
      <c r="AK718" s="1337" t="s">
        <v>592</v>
      </c>
      <c r="AL718" s="1338"/>
      <c r="AM718" s="1338"/>
      <c r="AN718" s="1338"/>
      <c r="AO718" s="1339"/>
      <c r="AP718" s="3"/>
      <c r="AQ718" s="3"/>
      <c r="AR718" s="3"/>
      <c r="AS718" s="3"/>
      <c r="AZ718" s="118">
        <f t="shared" ref="AZ718:AZ752" si="9">IF($G718=0,"N/A",VLOOKUP($T$189,TC_Rent,(MATCH($B718,bedrooms,FALSE)),FALSE))</f>
        <v>3310</v>
      </c>
      <c r="BA718" s="3"/>
      <c r="BB718" s="3"/>
      <c r="BC718" s="3"/>
      <c r="BD718" s="3"/>
      <c r="BE718" s="204"/>
      <c r="BF718" s="293">
        <f t="shared" ref="BF718:BF752" si="10">G718</f>
        <v>8</v>
      </c>
      <c r="BG718" s="297">
        <f t="shared" ref="BG718:BG752" si="11">IF($BF$753=0,0,BF718/$BF$753)</f>
        <v>0.25</v>
      </c>
      <c r="BH718" s="298">
        <f t="shared" ref="BH718:BH752" si="12">IF(BG718=0,"",BG718*AC718)</f>
        <v>7.4999999999999997E-2</v>
      </c>
      <c r="BI718" s="3"/>
      <c r="BJ718" s="3"/>
      <c r="BK718" s="3"/>
      <c r="BL718" s="3"/>
      <c r="BM718" s="3"/>
      <c r="BN718" s="3"/>
      <c r="BS718" s="293">
        <f t="shared" ref="BS718:BS752" si="13">G718</f>
        <v>8</v>
      </c>
      <c r="BT718" s="297">
        <f t="shared" ref="BT718:BT752" si="14">IF($BS$753=0,0,BS718/$BS$753)</f>
        <v>0.25</v>
      </c>
      <c r="BU718" s="298">
        <f t="shared" ref="BU718:BU752" si="15">IF(BT718=0,"",BT718*AH718)</f>
        <v>6.9108761329305129E-2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8</v>
      </c>
      <c r="CN718" s="1471"/>
      <c r="CO718" s="3"/>
      <c r="CP718" s="1459">
        <f t="shared" ref="CP718:CP752" si="18">IF(B718="SRO/Studio",G718,0)</f>
        <v>0</v>
      </c>
      <c r="CQ718" s="1460"/>
      <c r="CR718" s="1460"/>
      <c r="CS718" s="1460"/>
      <c r="CT718" s="1461"/>
      <c r="CU718" s="1443">
        <f t="shared" ref="CU718:CU752" si="19">IF(B718="1 Bedroom",G718,0)</f>
        <v>8</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8</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4" t="str">
        <f t="shared" ref="EZ718:EZ752" si="30">IF(CP718&gt;0,O718,"")</f>
        <v/>
      </c>
      <c r="FA718" s="1466"/>
      <c r="FB718" s="1466"/>
      <c r="FC718" s="1466"/>
      <c r="FD718" s="1465"/>
      <c r="FE718" s="1464">
        <f t="shared" ref="FE718:FE752" si="31">IF(CU718&gt;0,O718,"")</f>
        <v>915</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325</v>
      </c>
      <c r="C719" s="1338"/>
      <c r="D719" s="1338"/>
      <c r="E719" s="1338"/>
      <c r="F719" s="1339"/>
      <c r="G719" s="1350">
        <v>7</v>
      </c>
      <c r="H719" s="1351"/>
      <c r="I719" s="1351"/>
      <c r="J719" s="1352"/>
      <c r="K719" s="1343">
        <v>528</v>
      </c>
      <c r="L719" s="1344"/>
      <c r="M719" s="1344"/>
      <c r="N719" s="1345"/>
      <c r="O719" s="1340">
        <v>1525</v>
      </c>
      <c r="P719" s="1341"/>
      <c r="Q719" s="1341"/>
      <c r="R719" s="1341"/>
      <c r="S719" s="1342"/>
      <c r="T719" s="1340"/>
      <c r="U719" s="1341"/>
      <c r="V719" s="1341"/>
      <c r="W719" s="1342"/>
      <c r="X719" s="1353">
        <f t="shared" si="8"/>
        <v>1525</v>
      </c>
      <c r="Y719" s="1354"/>
      <c r="Z719" s="1354"/>
      <c r="AA719" s="1354"/>
      <c r="AB719" s="1355"/>
      <c r="AC719" s="1360">
        <v>0.5</v>
      </c>
      <c r="AD719" s="1361"/>
      <c r="AE719" s="1361"/>
      <c r="AF719" s="1361"/>
      <c r="AG719" s="1362"/>
      <c r="AH719" s="1356">
        <f t="shared" ref="AH719:AH752" si="36">IF($AC719&gt;0,($X719/$AZ719), "")</f>
        <v>0.4607250755287009</v>
      </c>
      <c r="AI719" s="1357"/>
      <c r="AJ719" s="1358"/>
      <c r="AK719" s="1337" t="s">
        <v>592</v>
      </c>
      <c r="AL719" s="1338"/>
      <c r="AM719" s="1338"/>
      <c r="AN719" s="1338"/>
      <c r="AO719" s="1339"/>
      <c r="AP719" s="3"/>
      <c r="AQ719" s="3"/>
      <c r="AR719" s="3"/>
      <c r="AS719" s="3"/>
      <c r="AZ719" s="118">
        <f t="shared" si="9"/>
        <v>3310</v>
      </c>
      <c r="BA719" s="3"/>
      <c r="BB719" s="3"/>
      <c r="BC719" s="3"/>
      <c r="BD719" s="3"/>
      <c r="BE719" s="204"/>
      <c r="BF719" s="294">
        <f t="shared" si="10"/>
        <v>7</v>
      </c>
      <c r="BG719" s="297">
        <f t="shared" si="11"/>
        <v>0.21875</v>
      </c>
      <c r="BH719" s="298">
        <f t="shared" si="12"/>
        <v>0.109375</v>
      </c>
      <c r="BI719" s="3"/>
      <c r="BJ719" s="3"/>
      <c r="BK719" s="3"/>
      <c r="BL719" s="3"/>
      <c r="BM719" s="3"/>
      <c r="BN719" s="3"/>
      <c r="BS719" s="294">
        <f t="shared" si="13"/>
        <v>7</v>
      </c>
      <c r="BT719" s="297">
        <f t="shared" si="14"/>
        <v>0.21875</v>
      </c>
      <c r="BU719" s="298">
        <f t="shared" si="15"/>
        <v>0.10078361027190333</v>
      </c>
      <c r="CC719" s="3"/>
      <c r="CD719" s="3"/>
      <c r="CE719" s="3"/>
      <c r="CF719" s="3"/>
      <c r="CG719" s="1464">
        <f t="shared" ref="CG719:CG752" si="37">IF(AND(AC719&lt;=0.5,AC719&gt;=0.36),1,0)</f>
        <v>1</v>
      </c>
      <c r="CH719" s="1465"/>
      <c r="CI719" s="1470">
        <f t="shared" ref="CI719:CI752" si="38">IF(CG719=1,G719,0)</f>
        <v>7</v>
      </c>
      <c r="CJ719" s="1471"/>
      <c r="CK719" s="1464">
        <f t="shared" si="16"/>
        <v>0</v>
      </c>
      <c r="CL719" s="1465"/>
      <c r="CM719" s="1470">
        <f t="shared" si="17"/>
        <v>0</v>
      </c>
      <c r="CN719" s="1471"/>
      <c r="CO719" s="3"/>
      <c r="CP719" s="1459">
        <f t="shared" si="18"/>
        <v>0</v>
      </c>
      <c r="CQ719" s="1460"/>
      <c r="CR719" s="1460"/>
      <c r="CS719" s="1460"/>
      <c r="CT719" s="1461"/>
      <c r="CU719" s="1443">
        <f t="shared" si="19"/>
        <v>7</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4" t="str">
        <f t="shared" si="30"/>
        <v/>
      </c>
      <c r="FA719" s="1466"/>
      <c r="FB719" s="1466"/>
      <c r="FC719" s="1466"/>
      <c r="FD719" s="1465"/>
      <c r="FE719" s="1464">
        <f t="shared" si="31"/>
        <v>1525</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163</v>
      </c>
      <c r="C720" s="1338"/>
      <c r="D720" s="1338"/>
      <c r="E720" s="1338"/>
      <c r="F720" s="1339"/>
      <c r="G720" s="1350">
        <v>2</v>
      </c>
      <c r="H720" s="1351"/>
      <c r="I720" s="1351"/>
      <c r="J720" s="1352"/>
      <c r="K720" s="1343">
        <v>864</v>
      </c>
      <c r="L720" s="1344"/>
      <c r="M720" s="1344"/>
      <c r="N720" s="1345"/>
      <c r="O720" s="1340">
        <v>1098</v>
      </c>
      <c r="P720" s="1341"/>
      <c r="Q720" s="1341"/>
      <c r="R720" s="1341"/>
      <c r="S720" s="1342"/>
      <c r="T720" s="1340"/>
      <c r="U720" s="1341"/>
      <c r="V720" s="1341"/>
      <c r="W720" s="1342"/>
      <c r="X720" s="1353">
        <f t="shared" si="8"/>
        <v>1098</v>
      </c>
      <c r="Y720" s="1354"/>
      <c r="Z720" s="1354"/>
      <c r="AA720" s="1354"/>
      <c r="AB720" s="1355"/>
      <c r="AC720" s="1360">
        <v>0.3</v>
      </c>
      <c r="AD720" s="1361"/>
      <c r="AE720" s="1361"/>
      <c r="AF720" s="1361"/>
      <c r="AG720" s="1362"/>
      <c r="AH720" s="1356">
        <f t="shared" si="36"/>
        <v>0.27643504531722052</v>
      </c>
      <c r="AI720" s="1357"/>
      <c r="AJ720" s="1358"/>
      <c r="AK720" s="1337" t="s">
        <v>592</v>
      </c>
      <c r="AL720" s="1338"/>
      <c r="AM720" s="1338"/>
      <c r="AN720" s="1338"/>
      <c r="AO720" s="1339"/>
      <c r="AP720" s="3"/>
      <c r="AQ720" s="3"/>
      <c r="AR720" s="3"/>
      <c r="AS720" s="3"/>
      <c r="AZ720" s="118">
        <f t="shared" si="9"/>
        <v>3972</v>
      </c>
      <c r="BA720" s="3"/>
      <c r="BB720" s="3"/>
      <c r="BC720" s="3"/>
      <c r="BD720" s="3"/>
      <c r="BE720" s="204"/>
      <c r="BF720" s="294">
        <f t="shared" si="10"/>
        <v>2</v>
      </c>
      <c r="BG720" s="297">
        <f t="shared" si="11"/>
        <v>6.25E-2</v>
      </c>
      <c r="BH720" s="298">
        <f t="shared" si="12"/>
        <v>1.8749999999999999E-2</v>
      </c>
      <c r="BI720" s="3"/>
      <c r="BJ720" s="3"/>
      <c r="BK720" s="3"/>
      <c r="BL720" s="3"/>
      <c r="BM720" s="3"/>
      <c r="BN720" s="3"/>
      <c r="BS720" s="294">
        <f t="shared" si="13"/>
        <v>2</v>
      </c>
      <c r="BT720" s="297">
        <f t="shared" si="14"/>
        <v>6.25E-2</v>
      </c>
      <c r="BU720" s="298">
        <f t="shared" si="15"/>
        <v>1.7277190332326282E-2</v>
      </c>
      <c r="CC720" s="3"/>
      <c r="CD720" s="3"/>
      <c r="CE720" s="3"/>
      <c r="CF720" s="3"/>
      <c r="CG720" s="1464">
        <f t="shared" si="37"/>
        <v>0</v>
      </c>
      <c r="CH720" s="1465"/>
      <c r="CI720" s="1470">
        <f t="shared" si="38"/>
        <v>0</v>
      </c>
      <c r="CJ720" s="1471"/>
      <c r="CK720" s="1464">
        <f t="shared" si="16"/>
        <v>1</v>
      </c>
      <c r="CL720" s="1465"/>
      <c r="CM720" s="1470">
        <f t="shared" si="17"/>
        <v>2</v>
      </c>
      <c r="CN720" s="1471"/>
      <c r="CO720" s="3"/>
      <c r="CP720" s="1459">
        <f t="shared" si="18"/>
        <v>0</v>
      </c>
      <c r="CQ720" s="1460"/>
      <c r="CR720" s="1460"/>
      <c r="CS720" s="1460"/>
      <c r="CT720" s="1461"/>
      <c r="CU720" s="1443">
        <f t="shared" si="19"/>
        <v>0</v>
      </c>
      <c r="CV720" s="1443"/>
      <c r="CW720" s="1443"/>
      <c r="CX720" s="1443"/>
      <c r="CY720" s="1443"/>
      <c r="CZ720" s="1443">
        <f t="shared" si="20"/>
        <v>2</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2</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4" t="str">
        <f t="shared" si="30"/>
        <v/>
      </c>
      <c r="FA720" s="1466"/>
      <c r="FB720" s="1466"/>
      <c r="FC720" s="1466"/>
      <c r="FD720" s="1465"/>
      <c r="FE720" s="1464" t="str">
        <f t="shared" si="31"/>
        <v/>
      </c>
      <c r="FF720" s="1466"/>
      <c r="FG720" s="1466"/>
      <c r="FH720" s="1466"/>
      <c r="FI720" s="1465"/>
      <c r="FJ720" s="1464">
        <f t="shared" si="32"/>
        <v>1098</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163</v>
      </c>
      <c r="C721" s="1338"/>
      <c r="D721" s="1338"/>
      <c r="E721" s="1338"/>
      <c r="F721" s="1339"/>
      <c r="G721" s="1350">
        <v>4</v>
      </c>
      <c r="H721" s="1351"/>
      <c r="I721" s="1351"/>
      <c r="J721" s="1352"/>
      <c r="K721" s="1343">
        <v>864</v>
      </c>
      <c r="L721" s="1344"/>
      <c r="M721" s="1344"/>
      <c r="N721" s="1345"/>
      <c r="O721" s="1340">
        <v>1098</v>
      </c>
      <c r="P721" s="1341"/>
      <c r="Q721" s="1341"/>
      <c r="R721" s="1341"/>
      <c r="S721" s="1342"/>
      <c r="T721" s="1340"/>
      <c r="U721" s="1341"/>
      <c r="V721" s="1341"/>
      <c r="W721" s="1342"/>
      <c r="X721" s="1353">
        <f t="shared" si="8"/>
        <v>1098</v>
      </c>
      <c r="Y721" s="1354"/>
      <c r="Z721" s="1354"/>
      <c r="AA721" s="1354"/>
      <c r="AB721" s="1355"/>
      <c r="AC721" s="1360">
        <v>0.3</v>
      </c>
      <c r="AD721" s="1361"/>
      <c r="AE721" s="1361"/>
      <c r="AF721" s="1361"/>
      <c r="AG721" s="1362"/>
      <c r="AH721" s="1356">
        <f t="shared" si="36"/>
        <v>0.27643504531722052</v>
      </c>
      <c r="AI721" s="1357"/>
      <c r="AJ721" s="1358"/>
      <c r="AK721" s="1337" t="s">
        <v>592</v>
      </c>
      <c r="AL721" s="1338"/>
      <c r="AM721" s="1338"/>
      <c r="AN721" s="1338"/>
      <c r="AO721" s="1339"/>
      <c r="AP721" s="3"/>
      <c r="AQ721" s="3"/>
      <c r="AR721" s="3"/>
      <c r="AS721" s="3"/>
      <c r="AY721" s="116"/>
      <c r="AZ721" s="118">
        <f t="shared" si="9"/>
        <v>3972</v>
      </c>
      <c r="BA721" s="3"/>
      <c r="BB721" s="3"/>
      <c r="BC721" s="3"/>
      <c r="BD721" s="3"/>
      <c r="BE721" s="204"/>
      <c r="BF721" s="294">
        <f t="shared" si="10"/>
        <v>4</v>
      </c>
      <c r="BG721" s="297">
        <f t="shared" si="11"/>
        <v>0.125</v>
      </c>
      <c r="BH721" s="298">
        <f t="shared" si="12"/>
        <v>3.7499999999999999E-2</v>
      </c>
      <c r="BI721" s="3"/>
      <c r="BJ721" s="3"/>
      <c r="BK721" s="3"/>
      <c r="BL721" s="3"/>
      <c r="BM721" s="3"/>
      <c r="BN721" s="3"/>
      <c r="BS721" s="294">
        <f t="shared" si="13"/>
        <v>4</v>
      </c>
      <c r="BT721" s="297">
        <f t="shared" si="14"/>
        <v>0.125</v>
      </c>
      <c r="BU721" s="298">
        <f t="shared" si="15"/>
        <v>3.4554380664652565E-2</v>
      </c>
      <c r="CC721" s="3"/>
      <c r="CD721" s="3"/>
      <c r="CE721" s="3"/>
      <c r="CF721" s="3"/>
      <c r="CG721" s="1464">
        <f t="shared" si="37"/>
        <v>0</v>
      </c>
      <c r="CH721" s="1465"/>
      <c r="CI721" s="1470">
        <f t="shared" si="38"/>
        <v>0</v>
      </c>
      <c r="CJ721" s="1471"/>
      <c r="CK721" s="1464">
        <f t="shared" si="16"/>
        <v>1</v>
      </c>
      <c r="CL721" s="1465"/>
      <c r="CM721" s="1470">
        <f t="shared" si="17"/>
        <v>4</v>
      </c>
      <c r="CN721" s="1471"/>
      <c r="CO721" s="3"/>
      <c r="CP721" s="1459">
        <f t="shared" si="18"/>
        <v>0</v>
      </c>
      <c r="CQ721" s="1460"/>
      <c r="CR721" s="1460"/>
      <c r="CS721" s="1460"/>
      <c r="CT721" s="1461"/>
      <c r="CU721" s="1443">
        <f t="shared" si="19"/>
        <v>0</v>
      </c>
      <c r="CV721" s="1443"/>
      <c r="CW721" s="1443"/>
      <c r="CX721" s="1443"/>
      <c r="CY721" s="1443"/>
      <c r="CZ721" s="1443">
        <f t="shared" si="20"/>
        <v>4</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4</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4" t="str">
        <f t="shared" si="30"/>
        <v/>
      </c>
      <c r="FA721" s="1466"/>
      <c r="FB721" s="1466"/>
      <c r="FC721" s="1466"/>
      <c r="FD721" s="1465"/>
      <c r="FE721" s="1464" t="str">
        <f t="shared" si="31"/>
        <v/>
      </c>
      <c r="FF721" s="1466"/>
      <c r="FG721" s="1466"/>
      <c r="FH721" s="1466"/>
      <c r="FI721" s="1465"/>
      <c r="FJ721" s="1464">
        <f t="shared" si="32"/>
        <v>1098</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163</v>
      </c>
      <c r="C722" s="1338"/>
      <c r="D722" s="1338"/>
      <c r="E722" s="1338"/>
      <c r="F722" s="1339"/>
      <c r="G722" s="1350">
        <v>2</v>
      </c>
      <c r="H722" s="1351"/>
      <c r="I722" s="1351"/>
      <c r="J722" s="1352"/>
      <c r="K722" s="1343">
        <v>864</v>
      </c>
      <c r="L722" s="1344"/>
      <c r="M722" s="1344"/>
      <c r="N722" s="1345"/>
      <c r="O722" s="1340">
        <v>1830</v>
      </c>
      <c r="P722" s="1341"/>
      <c r="Q722" s="1341"/>
      <c r="R722" s="1341"/>
      <c r="S722" s="1342"/>
      <c r="T722" s="1340"/>
      <c r="U722" s="1341"/>
      <c r="V722" s="1341"/>
      <c r="W722" s="1342"/>
      <c r="X722" s="1353">
        <f t="shared" si="8"/>
        <v>1830</v>
      </c>
      <c r="Y722" s="1354"/>
      <c r="Z722" s="1354"/>
      <c r="AA722" s="1354"/>
      <c r="AB722" s="1355"/>
      <c r="AC722" s="1360">
        <v>0.5</v>
      </c>
      <c r="AD722" s="1361"/>
      <c r="AE722" s="1361"/>
      <c r="AF722" s="1361"/>
      <c r="AG722" s="1362"/>
      <c r="AH722" s="1356">
        <f t="shared" si="36"/>
        <v>0.4607250755287009</v>
      </c>
      <c r="AI722" s="1357"/>
      <c r="AJ722" s="1358"/>
      <c r="AK722" s="1337" t="s">
        <v>592</v>
      </c>
      <c r="AL722" s="1338"/>
      <c r="AM722" s="1338"/>
      <c r="AN722" s="1338"/>
      <c r="AO722" s="1339"/>
      <c r="AP722" s="3"/>
      <c r="AQ722" s="3"/>
      <c r="AR722" s="3"/>
      <c r="AS722" s="3"/>
      <c r="AY722" s="116"/>
      <c r="AZ722" s="118">
        <f t="shared" si="9"/>
        <v>3972</v>
      </c>
      <c r="BA722" s="3"/>
      <c r="BB722" s="3"/>
      <c r="BC722" s="3"/>
      <c r="BD722" s="3"/>
      <c r="BE722" s="204"/>
      <c r="BF722" s="294">
        <f t="shared" si="10"/>
        <v>2</v>
      </c>
      <c r="BG722" s="297">
        <f t="shared" si="11"/>
        <v>6.25E-2</v>
      </c>
      <c r="BH722" s="298">
        <f t="shared" si="12"/>
        <v>3.125E-2</v>
      </c>
      <c r="BI722" s="3"/>
      <c r="BJ722" s="3"/>
      <c r="BK722" s="3"/>
      <c r="BL722" s="3"/>
      <c r="BM722" s="3"/>
      <c r="BN722" s="3"/>
      <c r="BS722" s="294">
        <f t="shared" si="13"/>
        <v>2</v>
      </c>
      <c r="BT722" s="297">
        <f t="shared" si="14"/>
        <v>6.25E-2</v>
      </c>
      <c r="BU722" s="298">
        <f t="shared" si="15"/>
        <v>2.8795317220543806E-2</v>
      </c>
      <c r="CC722" s="3"/>
      <c r="CD722" s="3"/>
      <c r="CE722" s="3"/>
      <c r="CF722" s="3"/>
      <c r="CG722" s="1464">
        <f t="shared" si="37"/>
        <v>1</v>
      </c>
      <c r="CH722" s="1465"/>
      <c r="CI722" s="1470">
        <f t="shared" si="38"/>
        <v>2</v>
      </c>
      <c r="CJ722" s="1471"/>
      <c r="CK722" s="1464">
        <f t="shared" si="16"/>
        <v>0</v>
      </c>
      <c r="CL722" s="1465"/>
      <c r="CM722" s="1470">
        <f t="shared" si="17"/>
        <v>0</v>
      </c>
      <c r="CN722" s="1471"/>
      <c r="CO722" s="3"/>
      <c r="CP722" s="1459">
        <f t="shared" si="18"/>
        <v>0</v>
      </c>
      <c r="CQ722" s="1460"/>
      <c r="CR722" s="1460"/>
      <c r="CS722" s="1460"/>
      <c r="CT722" s="1461"/>
      <c r="CU722" s="1443">
        <f t="shared" si="19"/>
        <v>0</v>
      </c>
      <c r="CV722" s="1443"/>
      <c r="CW722" s="1443"/>
      <c r="CX722" s="1443"/>
      <c r="CY722" s="1443"/>
      <c r="CZ722" s="1443">
        <f t="shared" si="20"/>
        <v>2</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4" t="str">
        <f t="shared" si="30"/>
        <v/>
      </c>
      <c r="FA722" s="1466"/>
      <c r="FB722" s="1466"/>
      <c r="FC722" s="1466"/>
      <c r="FD722" s="1465"/>
      <c r="FE722" s="1464" t="str">
        <f t="shared" si="31"/>
        <v/>
      </c>
      <c r="FF722" s="1466"/>
      <c r="FG722" s="1466"/>
      <c r="FH722" s="1466"/>
      <c r="FI722" s="1465"/>
      <c r="FJ722" s="1464">
        <f t="shared" si="32"/>
        <v>1830</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164</v>
      </c>
      <c r="C723" s="1338"/>
      <c r="D723" s="1338"/>
      <c r="E723" s="1338"/>
      <c r="F723" s="1339"/>
      <c r="G723" s="1350">
        <v>4</v>
      </c>
      <c r="H723" s="1351"/>
      <c r="I723" s="1351"/>
      <c r="J723" s="1352"/>
      <c r="K723" s="1343">
        <v>1152</v>
      </c>
      <c r="L723" s="1344"/>
      <c r="M723" s="1344"/>
      <c r="N723" s="1345"/>
      <c r="O723" s="1340">
        <v>1268</v>
      </c>
      <c r="P723" s="1341"/>
      <c r="Q723" s="1341"/>
      <c r="R723" s="1341"/>
      <c r="S723" s="1342"/>
      <c r="T723" s="1340"/>
      <c r="U723" s="1341"/>
      <c r="V723" s="1341"/>
      <c r="W723" s="1342"/>
      <c r="X723" s="1353">
        <f t="shared" si="8"/>
        <v>1268</v>
      </c>
      <c r="Y723" s="1354"/>
      <c r="Z723" s="1354"/>
      <c r="AA723" s="1354"/>
      <c r="AB723" s="1355"/>
      <c r="AC723" s="1360">
        <v>0.3</v>
      </c>
      <c r="AD723" s="1361"/>
      <c r="AE723" s="1361"/>
      <c r="AF723" s="1361"/>
      <c r="AG723" s="1362"/>
      <c r="AH723" s="1356">
        <f t="shared" si="36"/>
        <v>0.27625272331154682</v>
      </c>
      <c r="AI723" s="1357"/>
      <c r="AJ723" s="1358"/>
      <c r="AK723" s="1337" t="s">
        <v>592</v>
      </c>
      <c r="AL723" s="1338"/>
      <c r="AM723" s="1338"/>
      <c r="AN723" s="1338"/>
      <c r="AO723" s="1339"/>
      <c r="AP723" s="3"/>
      <c r="AQ723" s="3"/>
      <c r="AR723" s="3"/>
      <c r="AS723" s="3"/>
      <c r="AY723" s="116"/>
      <c r="AZ723" s="118">
        <f t="shared" si="9"/>
        <v>4590</v>
      </c>
      <c r="BA723" s="3"/>
      <c r="BB723" s="3"/>
      <c r="BC723" s="3"/>
      <c r="BD723" s="3"/>
      <c r="BE723" s="204"/>
      <c r="BF723" s="294">
        <f t="shared" si="10"/>
        <v>4</v>
      </c>
      <c r="BG723" s="297">
        <f t="shared" si="11"/>
        <v>0.125</v>
      </c>
      <c r="BH723" s="298">
        <f t="shared" si="12"/>
        <v>3.7499999999999999E-2</v>
      </c>
      <c r="BI723" s="3"/>
      <c r="BJ723" s="3"/>
      <c r="BK723" s="3"/>
      <c r="BL723" s="3"/>
      <c r="BM723" s="3"/>
      <c r="BN723" s="3"/>
      <c r="BS723" s="294">
        <f t="shared" si="13"/>
        <v>4</v>
      </c>
      <c r="BT723" s="297">
        <f t="shared" si="14"/>
        <v>0.125</v>
      </c>
      <c r="BU723" s="298">
        <f t="shared" si="15"/>
        <v>3.4531590413943353E-2</v>
      </c>
      <c r="CC723" s="3"/>
      <c r="CD723" s="3"/>
      <c r="CE723" s="3"/>
      <c r="CF723" s="3"/>
      <c r="CG723" s="1464">
        <f t="shared" si="37"/>
        <v>0</v>
      </c>
      <c r="CH723" s="1465"/>
      <c r="CI723" s="1470">
        <f t="shared" si="38"/>
        <v>0</v>
      </c>
      <c r="CJ723" s="1471"/>
      <c r="CK723" s="1464">
        <f t="shared" si="16"/>
        <v>1</v>
      </c>
      <c r="CL723" s="1465"/>
      <c r="CM723" s="1470">
        <f t="shared" si="17"/>
        <v>4</v>
      </c>
      <c r="CN723" s="1471"/>
      <c r="CO723" s="3"/>
      <c r="CP723" s="1459">
        <f t="shared" si="18"/>
        <v>0</v>
      </c>
      <c r="CQ723" s="1460"/>
      <c r="CR723" s="1460"/>
      <c r="CS723" s="1460"/>
      <c r="CT723" s="1461"/>
      <c r="CU723" s="1443">
        <f t="shared" si="19"/>
        <v>0</v>
      </c>
      <c r="CV723" s="1443"/>
      <c r="CW723" s="1443"/>
      <c r="CX723" s="1443"/>
      <c r="CY723" s="1443"/>
      <c r="CZ723" s="1443">
        <f t="shared" si="20"/>
        <v>0</v>
      </c>
      <c r="DA723" s="1443"/>
      <c r="DB723" s="1443"/>
      <c r="DC723" s="1443"/>
      <c r="DD723" s="1443"/>
      <c r="DE723" s="1443">
        <f t="shared" si="21"/>
        <v>4</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4</v>
      </c>
      <c r="EK723" s="1444"/>
      <c r="EL723" s="1444"/>
      <c r="EM723" s="1444"/>
      <c r="EN723" s="1444"/>
      <c r="EO723" s="1444">
        <f t="shared" si="28"/>
        <v>0</v>
      </c>
      <c r="EP723" s="1444"/>
      <c r="EQ723" s="1444"/>
      <c r="ER723" s="1444"/>
      <c r="ES723" s="1444"/>
      <c r="ET723" s="1444">
        <f t="shared" si="29"/>
        <v>0</v>
      </c>
      <c r="EU723" s="1444"/>
      <c r="EV723" s="1444"/>
      <c r="EW723" s="1444"/>
      <c r="EX723" s="1444"/>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f t="shared" si="33"/>
        <v>1268</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164</v>
      </c>
      <c r="C724" s="1338"/>
      <c r="D724" s="1338"/>
      <c r="E724" s="1338"/>
      <c r="F724" s="1339"/>
      <c r="G724" s="1350">
        <v>3</v>
      </c>
      <c r="H724" s="1351"/>
      <c r="I724" s="1351"/>
      <c r="J724" s="1352"/>
      <c r="K724" s="1343">
        <v>1152</v>
      </c>
      <c r="L724" s="1344"/>
      <c r="M724" s="1344"/>
      <c r="N724" s="1345"/>
      <c r="O724" s="1340">
        <v>2114</v>
      </c>
      <c r="P724" s="1341"/>
      <c r="Q724" s="1341"/>
      <c r="R724" s="1341"/>
      <c r="S724" s="1342"/>
      <c r="T724" s="1340"/>
      <c r="U724" s="1341"/>
      <c r="V724" s="1341"/>
      <c r="W724" s="1342"/>
      <c r="X724" s="1353">
        <f t="shared" si="8"/>
        <v>2114</v>
      </c>
      <c r="Y724" s="1354"/>
      <c r="Z724" s="1354"/>
      <c r="AA724" s="1354"/>
      <c r="AB724" s="1355"/>
      <c r="AC724" s="1360">
        <v>0.5</v>
      </c>
      <c r="AD724" s="1361"/>
      <c r="AE724" s="1361"/>
      <c r="AF724" s="1361"/>
      <c r="AG724" s="1362"/>
      <c r="AH724" s="1356">
        <f t="shared" si="36"/>
        <v>0.46056644880174291</v>
      </c>
      <c r="AI724" s="1357"/>
      <c r="AJ724" s="1358"/>
      <c r="AK724" s="1337" t="s">
        <v>592</v>
      </c>
      <c r="AL724" s="1338"/>
      <c r="AM724" s="1338"/>
      <c r="AN724" s="1338"/>
      <c r="AO724" s="1339"/>
      <c r="AP724" s="3"/>
      <c r="AQ724" s="3"/>
      <c r="AR724" s="3"/>
      <c r="AS724" s="3"/>
      <c r="AY724" s="116"/>
      <c r="AZ724" s="118">
        <f t="shared" si="9"/>
        <v>4590</v>
      </c>
      <c r="BA724" s="3"/>
      <c r="BB724" s="3"/>
      <c r="BC724" s="3"/>
      <c r="BD724" s="3"/>
      <c r="BE724" s="204"/>
      <c r="BF724" s="294">
        <f t="shared" si="10"/>
        <v>3</v>
      </c>
      <c r="BG724" s="297">
        <f t="shared" si="11"/>
        <v>9.375E-2</v>
      </c>
      <c r="BH724" s="298">
        <f t="shared" si="12"/>
        <v>4.6875E-2</v>
      </c>
      <c r="BI724" s="3"/>
      <c r="BJ724" s="3"/>
      <c r="BK724" s="3"/>
      <c r="BL724" s="3"/>
      <c r="BM724" s="3"/>
      <c r="BN724" s="3"/>
      <c r="BS724" s="294">
        <f t="shared" si="13"/>
        <v>3</v>
      </c>
      <c r="BT724" s="297">
        <f t="shared" si="14"/>
        <v>9.375E-2</v>
      </c>
      <c r="BU724" s="298">
        <f t="shared" si="15"/>
        <v>4.3178104575163398E-2</v>
      </c>
      <c r="CC724" s="3"/>
      <c r="CE724" s="3"/>
      <c r="CF724" s="3"/>
      <c r="CG724" s="1464">
        <f t="shared" si="37"/>
        <v>1</v>
      </c>
      <c r="CH724" s="1465"/>
      <c r="CI724" s="1470">
        <f t="shared" si="38"/>
        <v>3</v>
      </c>
      <c r="CJ724" s="1471"/>
      <c r="CK724" s="1464">
        <f t="shared" si="16"/>
        <v>0</v>
      </c>
      <c r="CL724" s="1465"/>
      <c r="CM724" s="1470">
        <f t="shared" si="17"/>
        <v>0</v>
      </c>
      <c r="CN724" s="1471"/>
      <c r="CO724" s="3"/>
      <c r="CP724" s="1459">
        <f t="shared" si="18"/>
        <v>0</v>
      </c>
      <c r="CQ724" s="1460"/>
      <c r="CR724" s="1460"/>
      <c r="CS724" s="1460"/>
      <c r="CT724" s="1461"/>
      <c r="CU724" s="1443">
        <f t="shared" si="19"/>
        <v>0</v>
      </c>
      <c r="CV724" s="1443"/>
      <c r="CW724" s="1443"/>
      <c r="CX724" s="1443"/>
      <c r="CY724" s="1443"/>
      <c r="CZ724" s="1443">
        <f t="shared" si="20"/>
        <v>0</v>
      </c>
      <c r="DA724" s="1443"/>
      <c r="DB724" s="1443"/>
      <c r="DC724" s="1443"/>
      <c r="DD724" s="1443"/>
      <c r="DE724" s="1443">
        <f t="shared" si="21"/>
        <v>3</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f t="shared" si="33"/>
        <v>2114</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164</v>
      </c>
      <c r="C725" s="1338"/>
      <c r="D725" s="1338"/>
      <c r="E725" s="1338"/>
      <c r="F725" s="1339"/>
      <c r="G725" s="1350">
        <v>2</v>
      </c>
      <c r="H725" s="1351"/>
      <c r="I725" s="1351"/>
      <c r="J725" s="1352"/>
      <c r="K725" s="1343">
        <v>1152</v>
      </c>
      <c r="L725" s="1344"/>
      <c r="M725" s="1344"/>
      <c r="N725" s="1345"/>
      <c r="O725" s="1340">
        <v>2114</v>
      </c>
      <c r="P725" s="1341"/>
      <c r="Q725" s="1341"/>
      <c r="R725" s="1341"/>
      <c r="S725" s="1342"/>
      <c r="T725" s="1340"/>
      <c r="U725" s="1341"/>
      <c r="V725" s="1341"/>
      <c r="W725" s="1342"/>
      <c r="X725" s="1353">
        <f t="shared" si="8"/>
        <v>2114</v>
      </c>
      <c r="Y725" s="1354"/>
      <c r="Z725" s="1354"/>
      <c r="AA725" s="1354"/>
      <c r="AB725" s="1355"/>
      <c r="AC725" s="1360">
        <v>0.5</v>
      </c>
      <c r="AD725" s="1361"/>
      <c r="AE725" s="1361"/>
      <c r="AF725" s="1361"/>
      <c r="AG725" s="1362"/>
      <c r="AH725" s="1356">
        <f t="shared" si="36"/>
        <v>0.46056644880174291</v>
      </c>
      <c r="AI725" s="1357"/>
      <c r="AJ725" s="1358"/>
      <c r="AK725" s="1337" t="s">
        <v>592</v>
      </c>
      <c r="AL725" s="1338"/>
      <c r="AM725" s="1338"/>
      <c r="AN725" s="1338"/>
      <c r="AO725" s="1339"/>
      <c r="AP725" s="3"/>
      <c r="AQ725" s="3"/>
      <c r="AR725" s="3"/>
      <c r="AS725" s="3"/>
      <c r="AY725" s="1085"/>
      <c r="AZ725" s="118">
        <f t="shared" si="9"/>
        <v>4590</v>
      </c>
      <c r="BA725" s="3"/>
      <c r="BB725" s="3"/>
      <c r="BC725" s="3"/>
      <c r="BD725" s="3"/>
      <c r="BE725" s="204"/>
      <c r="BF725" s="294">
        <f t="shared" si="10"/>
        <v>2</v>
      </c>
      <c r="BG725" s="297">
        <f t="shared" si="11"/>
        <v>6.25E-2</v>
      </c>
      <c r="BH725" s="298">
        <f t="shared" si="12"/>
        <v>3.125E-2</v>
      </c>
      <c r="BI725" s="3"/>
      <c r="BJ725" s="3"/>
      <c r="BK725" s="3"/>
      <c r="BL725" s="3"/>
      <c r="BM725" s="3"/>
      <c r="BN725" s="3"/>
      <c r="BS725" s="294">
        <f t="shared" si="13"/>
        <v>2</v>
      </c>
      <c r="BT725" s="297">
        <f t="shared" si="14"/>
        <v>6.25E-2</v>
      </c>
      <c r="BU725" s="298">
        <f t="shared" si="15"/>
        <v>2.8785403050108932E-2</v>
      </c>
      <c r="BV725" s="292"/>
      <c r="BW725" s="3"/>
      <c r="BX725" s="3"/>
      <c r="BY725" s="3"/>
      <c r="BZ725" s="3"/>
      <c r="CA725" s="3"/>
      <c r="CB725" s="3"/>
      <c r="CC725" s="3"/>
      <c r="CE725" s="3"/>
      <c r="CF725" s="3"/>
      <c r="CG725" s="1464">
        <f t="shared" si="37"/>
        <v>1</v>
      </c>
      <c r="CH725" s="1465"/>
      <c r="CI725" s="1470">
        <f t="shared" si="38"/>
        <v>2</v>
      </c>
      <c r="CJ725" s="1471"/>
      <c r="CK725" s="1464">
        <f t="shared" si="16"/>
        <v>0</v>
      </c>
      <c r="CL725" s="1465"/>
      <c r="CM725" s="1470">
        <f t="shared" si="17"/>
        <v>0</v>
      </c>
      <c r="CN725" s="1471"/>
      <c r="CO725" s="3"/>
      <c r="CP725" s="1459">
        <f t="shared" si="18"/>
        <v>0</v>
      </c>
      <c r="CQ725" s="1460"/>
      <c r="CR725" s="1460"/>
      <c r="CS725" s="1460"/>
      <c r="CT725" s="1461"/>
      <c r="CU725" s="1443">
        <f t="shared" si="19"/>
        <v>0</v>
      </c>
      <c r="CV725" s="1443"/>
      <c r="CW725" s="1443"/>
      <c r="CX725" s="1443"/>
      <c r="CY725" s="1443"/>
      <c r="CZ725" s="1443">
        <f t="shared" si="20"/>
        <v>0</v>
      </c>
      <c r="DA725" s="1443"/>
      <c r="DB725" s="1443"/>
      <c r="DC725" s="1443"/>
      <c r="DD725" s="1443"/>
      <c r="DE725" s="1443">
        <f t="shared" si="21"/>
        <v>2</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f t="shared" si="33"/>
        <v>2114</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49" t="s">
        <v>125</v>
      </c>
      <c r="C753" s="1450"/>
      <c r="D753" s="1450"/>
      <c r="E753" s="1450"/>
      <c r="F753" s="1451"/>
      <c r="G753" s="1621">
        <f>SUM(G718:G752)</f>
        <v>32</v>
      </c>
      <c r="H753" s="1622"/>
      <c r="I753" s="1622"/>
      <c r="J753" s="1623"/>
      <c r="K753" s="902" t="s">
        <v>124</v>
      </c>
      <c r="L753" s="5"/>
      <c r="M753" s="5"/>
      <c r="N753" s="46"/>
      <c r="O753" s="1353">
        <f>SUMPRODUCT(G718:G752,O718:O752)</f>
        <v>43885</v>
      </c>
      <c r="P753" s="1354"/>
      <c r="Q753" s="1354"/>
      <c r="R753" s="1354"/>
      <c r="S753" s="1355"/>
      <c r="T753"/>
      <c r="U753"/>
      <c r="V753"/>
      <c r="W753"/>
      <c r="X753" s="904" t="s">
        <v>901</v>
      </c>
      <c r="Y753" s="903"/>
      <c r="Z753" s="903"/>
      <c r="AA753" s="903"/>
      <c r="AB753" s="905"/>
      <c r="AC753" s="1604">
        <f>BH753</f>
        <v>0.38749999999999996</v>
      </c>
      <c r="AD753" s="1605"/>
      <c r="AE753" s="1605"/>
      <c r="AF753" s="1605"/>
      <c r="AG753" s="1606"/>
      <c r="AH753" s="1604">
        <f>IFERROR(BU753,"")</f>
        <v>0.35701435785794677</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32</v>
      </c>
      <c r="BG753" s="300">
        <f>SUM(BG718:BG752)</f>
        <v>1</v>
      </c>
      <c r="BH753" s="300">
        <f>SUM(BH718:BH752)</f>
        <v>0.38749999999999996</v>
      </c>
      <c r="BI753"/>
      <c r="BJ753"/>
      <c r="BK753"/>
      <c r="BL753"/>
      <c r="BO753"/>
      <c r="BP753"/>
      <c r="BQ753"/>
      <c r="BR753"/>
      <c r="BS753" s="859">
        <f>SUM(BS718:BS752)</f>
        <v>32</v>
      </c>
      <c r="BT753" s="300">
        <f>SUM(BT718:BT752)</f>
        <v>1</v>
      </c>
      <c r="BU753" s="300">
        <f>SUM(BU718:BU752)</f>
        <v>0.35701435785794677</v>
      </c>
      <c r="CI753" s="1464">
        <f>SUM(CI718:CJ752)</f>
        <v>14</v>
      </c>
      <c r="CJ753" s="1465"/>
      <c r="CM753" s="1464">
        <f>SUM(CM718:CN752)</f>
        <v>18</v>
      </c>
      <c r="CN753" s="1465"/>
      <c r="CP753" s="1464">
        <f>SUM(CP718:CT752)</f>
        <v>0</v>
      </c>
      <c r="CQ753" s="1466"/>
      <c r="CR753" s="1466"/>
      <c r="CS753" s="1466"/>
      <c r="CT753" s="1465"/>
      <c r="CU753" s="1462">
        <f>SUM(CU718:CY752)</f>
        <v>15</v>
      </c>
      <c r="CV753" s="1462"/>
      <c r="CW753" s="1462"/>
      <c r="CX753" s="1462"/>
      <c r="CY753" s="1462"/>
      <c r="CZ753" s="1462">
        <f>SUM(CZ718:DD752)</f>
        <v>8</v>
      </c>
      <c r="DA753" s="1462"/>
      <c r="DB753" s="1462"/>
      <c r="DC753" s="1462"/>
      <c r="DD753" s="1462"/>
      <c r="DE753" s="1462">
        <f>SUM(DE718:DI752)</f>
        <v>9</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8</v>
      </c>
      <c r="EA753" s="1462"/>
      <c r="EB753" s="1462"/>
      <c r="EC753" s="1462"/>
      <c r="ED753" s="1462"/>
      <c r="EE753" s="1462">
        <f>SUM(EE718:EI752)</f>
        <v>6</v>
      </c>
      <c r="EF753" s="1462"/>
      <c r="EG753" s="1462"/>
      <c r="EH753" s="1462"/>
      <c r="EI753" s="1462"/>
      <c r="EJ753" s="1462">
        <f>SUM(EJ718:EN752)</f>
        <v>4</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2440</v>
      </c>
      <c r="FF753" s="1462"/>
      <c r="FG753" s="1462"/>
      <c r="FH753" s="1462"/>
      <c r="FI753" s="1462"/>
      <c r="FJ753" s="1462">
        <f>SUM(FJ718:FN752)</f>
        <v>4026</v>
      </c>
      <c r="FK753" s="1462"/>
      <c r="FL753" s="1462"/>
      <c r="FM753" s="1462"/>
      <c r="FN753" s="1462"/>
      <c r="FO753" s="1462">
        <f>SUM(FO718:FS752)</f>
        <v>5496</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4">
        <f>CP753+CU753+CZ753+DE753+DJ753+DO753</f>
        <v>32</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15</v>
      </c>
      <c r="CZ755" s="3"/>
      <c r="DA755" s="3"/>
      <c r="DB755" s="3"/>
      <c r="DC755" s="3"/>
      <c r="DD755" s="861">
        <f>CZ753*2</f>
        <v>16</v>
      </c>
      <c r="DE755" s="3"/>
      <c r="DF755" s="3"/>
      <c r="DG755" s="3"/>
      <c r="DH755" s="3"/>
      <c r="DI755" s="861">
        <f>DE753*3</f>
        <v>27</v>
      </c>
      <c r="DJ755" s="3"/>
      <c r="DK755" s="3"/>
      <c r="DL755" s="3"/>
      <c r="DM755" s="3"/>
      <c r="DN755" s="861">
        <f>DJ753*4</f>
        <v>0</v>
      </c>
      <c r="DO755" s="3"/>
      <c r="DP755" s="3"/>
      <c r="DQ755" s="3"/>
      <c r="DR755" s="3"/>
      <c r="DS755" s="861">
        <f>DO753*5</f>
        <v>0</v>
      </c>
      <c r="DU755" s="861">
        <f>CT755+CY755+DD755+DI755+DN755+DS755</f>
        <v>58</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2">
        <f>DU755</f>
        <v>58</v>
      </c>
      <c r="P756" s="1462"/>
      <c r="Q756" s="1462"/>
      <c r="R756" s="1462"/>
      <c r="S756" s="969"/>
      <c r="T756" s="969"/>
      <c r="U756" s="118" t="s">
        <v>1893</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19" t="s">
        <v>1680</v>
      </c>
      <c r="U769" s="1720"/>
      <c r="V769" s="1720"/>
      <c r="W769" s="1721"/>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3">
        <v>1</v>
      </c>
      <c r="P773" s="1613"/>
      <c r="Q773" s="1613"/>
      <c r="R773" s="1613"/>
      <c r="S773" s="1613"/>
      <c r="T773" s="1343">
        <v>528</v>
      </c>
      <c r="U773" s="1344"/>
      <c r="V773" s="1344"/>
      <c r="W773" s="1345"/>
      <c r="X773" s="1340">
        <v>1</v>
      </c>
      <c r="Y773" s="1341"/>
      <c r="Z773" s="1341"/>
      <c r="AA773" s="1341"/>
      <c r="AB773" s="1342"/>
      <c r="AC773" s="1353">
        <f>X773*O773</f>
        <v>1</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70">
        <f>SUM(O773:S776)</f>
        <v>1</v>
      </c>
      <c r="P777" s="1472"/>
      <c r="Q777" s="1472"/>
      <c r="R777" s="1472"/>
      <c r="S777" s="1471"/>
      <c r="X777" s="1449" t="s">
        <v>124</v>
      </c>
      <c r="Y777" s="1450"/>
      <c r="Z777" s="1450"/>
      <c r="AA777" s="1450"/>
      <c r="AB777" s="1451"/>
      <c r="AC777" s="1353">
        <f>SUM(AC773:AG776)</f>
        <v>1</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1</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1862</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19" t="s">
        <v>1680</v>
      </c>
      <c r="U783" s="1720"/>
      <c r="V783" s="1720"/>
      <c r="W783" s="1721"/>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43886</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526632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16</v>
      </c>
      <c r="CV802" s="1474"/>
      <c r="CW802" s="1474"/>
      <c r="CX802" s="1474"/>
      <c r="CY802" s="1475"/>
      <c r="CZ802" s="1473">
        <f>CZ753+CZ777+CZ797</f>
        <v>8</v>
      </c>
      <c r="DA802" s="1474"/>
      <c r="DB802" s="1474"/>
      <c r="DC802" s="1474"/>
      <c r="DD802" s="1475"/>
      <c r="DE802" s="1473">
        <f>DE753+DE777+DE797</f>
        <v>9</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58</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16</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52824</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265080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791712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2637</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1500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12000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3" t="s">
        <v>2714</v>
      </c>
      <c r="N846" s="1594"/>
      <c r="O846" s="1594"/>
      <c r="P846" s="1594"/>
      <c r="Q846" s="1594"/>
      <c r="R846" s="1594"/>
      <c r="S846" s="1594"/>
      <c r="T846" s="1594"/>
      <c r="U846" s="1594"/>
      <c r="V846" s="1595"/>
      <c r="W846" s="1482">
        <v>600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14100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7">
        <v>39586</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57000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f>31680+15000</f>
        <v>46680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103680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75000</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09">
        <f>1.66+0.66</f>
        <v>2.3199999999999998</v>
      </c>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30000</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09">
        <v>1</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2715</v>
      </c>
      <c r="N861" s="1594"/>
      <c r="O861" s="1594"/>
      <c r="P861" s="1594"/>
      <c r="Q861" s="1594"/>
      <c r="R861" s="1594"/>
      <c r="S861" s="1594"/>
      <c r="T861" s="1594"/>
      <c r="U861" s="1594"/>
      <c r="V861" s="1595"/>
      <c r="W861" s="1630">
        <f>54985</f>
        <v>54985</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159985</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40000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f>20000+15000</f>
        <v>35000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4800</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3000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42800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2716</v>
      </c>
      <c r="N874" s="1594"/>
      <c r="O874" s="1594"/>
      <c r="P874" s="1594"/>
      <c r="Q874" s="1594"/>
      <c r="R874" s="1594"/>
      <c r="S874" s="1594"/>
      <c r="T874" s="1594"/>
      <c r="U874" s="1594"/>
      <c r="V874" s="1595"/>
      <c r="W874" s="1467">
        <v>0</v>
      </c>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3" t="s">
        <v>2717</v>
      </c>
      <c r="N875" s="1594"/>
      <c r="O875" s="1594"/>
      <c r="P875" s="1594"/>
      <c r="Q875" s="1594"/>
      <c r="R875" s="1594"/>
      <c r="S875" s="1594"/>
      <c r="T875" s="1594"/>
      <c r="U875" s="1594"/>
      <c r="V875" s="1595"/>
      <c r="W875" s="1467">
        <v>800</v>
      </c>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800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400951</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33</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12150</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v>176164</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v>4200</v>
      </c>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30000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16500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9600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2500</v>
      </c>
      <c r="AD891" s="1468"/>
      <c r="AE891" s="1468"/>
      <c r="AF891" s="1468"/>
      <c r="AG891" s="1468"/>
      <c r="AH891" s="1469"/>
      <c r="AZ891" s="34"/>
      <c r="BA891" s="34"/>
      <c r="BB891" s="34"/>
      <c r="BC891" s="34"/>
    </row>
    <row r="892" spans="3:55" ht="12.95"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3" t="s">
        <v>2719</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v>9600</v>
      </c>
      <c r="AD894" s="1482"/>
      <c r="AE894" s="1482"/>
      <c r="AF894" s="1482"/>
      <c r="AG894" s="1482"/>
      <c r="AH894" s="1482"/>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3631243</f>
        <v>3631243</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2" t="s">
        <v>592</v>
      </c>
      <c r="V936" s="1403"/>
      <c r="W936" s="1403"/>
      <c r="X936" s="1403"/>
      <c r="Y936" s="1403"/>
      <c r="Z936" s="1404"/>
      <c r="AA936" s="1408"/>
      <c r="AB936" s="1409"/>
      <c r="AC936" s="1409"/>
      <c r="AD936" s="1409"/>
      <c r="AE936" s="1409"/>
      <c r="AF936" s="1410"/>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2" t="s">
        <v>592</v>
      </c>
      <c r="V937" s="1403"/>
      <c r="W937" s="1403"/>
      <c r="X937" s="1403"/>
      <c r="Y937" s="1403"/>
      <c r="Z937" s="1404"/>
      <c r="AA937" s="1408"/>
      <c r="AB937" s="1409"/>
      <c r="AC937" s="1409"/>
      <c r="AD937" s="1409"/>
      <c r="AE937" s="1409"/>
      <c r="AF937" s="1410"/>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2" t="s">
        <v>592</v>
      </c>
      <c r="V938" s="1403"/>
      <c r="W938" s="1403"/>
      <c r="X938" s="1403"/>
      <c r="Y938" s="1403"/>
      <c r="Z938" s="1404"/>
      <c r="AA938" s="1408"/>
      <c r="AB938" s="1409"/>
      <c r="AC938" s="1409"/>
      <c r="AD938" s="1409"/>
      <c r="AE938" s="1409"/>
      <c r="AF938" s="1410"/>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2" t="s">
        <v>592</v>
      </c>
      <c r="V939" s="1403"/>
      <c r="W939" s="1403"/>
      <c r="X939" s="1403"/>
      <c r="Y939" s="1403"/>
      <c r="Z939" s="1404"/>
      <c r="AA939" s="1408"/>
      <c r="AB939" s="1409"/>
      <c r="AC939" s="1409"/>
      <c r="AD939" s="1409"/>
      <c r="AE939" s="1409"/>
      <c r="AF939" s="1410"/>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2192</v>
      </c>
      <c r="G946" s="1602"/>
      <c r="H946" s="1603"/>
      <c r="I946" s="1593" t="s">
        <v>334</v>
      </c>
      <c r="J946" s="1594"/>
      <c r="K946" s="1594"/>
      <c r="L946" s="1594"/>
      <c r="M946" s="1594"/>
      <c r="N946" s="1594"/>
      <c r="O946" s="1594"/>
      <c r="P946" s="1594"/>
      <c r="Q946" s="1594"/>
      <c r="R946" s="1594"/>
      <c r="S946" s="1594"/>
      <c r="T946" s="1595"/>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93" t="s">
        <v>2726</v>
      </c>
      <c r="J948" s="1538"/>
      <c r="K948" s="1538"/>
      <c r="L948" s="1538"/>
      <c r="M948" s="1538"/>
      <c r="N948" s="1538"/>
      <c r="O948" s="1538"/>
      <c r="P948" s="1538"/>
      <c r="Q948" s="1538"/>
      <c r="R948" s="1538"/>
      <c r="S948" s="1538"/>
      <c r="T948" s="1539"/>
      <c r="U948" s="1402" t="s">
        <v>546</v>
      </c>
      <c r="V948" s="1403"/>
      <c r="W948" s="1403"/>
      <c r="X948" s="1403"/>
      <c r="Y948" s="1403"/>
      <c r="Z948" s="1404"/>
      <c r="AA948" s="1408">
        <v>9156458</v>
      </c>
      <c r="AB948" s="1409"/>
      <c r="AC948" s="1409"/>
      <c r="AD948" s="1409"/>
      <c r="AE948" s="1409"/>
      <c r="AF948" s="1410"/>
      <c r="AV948" s="2"/>
      <c r="AW948" s="2"/>
      <c r="AX948" s="2"/>
      <c r="AY948" s="2"/>
      <c r="AZ948" s="34"/>
      <c r="BA948" s="34"/>
      <c r="BB948" s="34"/>
      <c r="BC948" s="34"/>
    </row>
    <row r="949" spans="1:55" ht="12.95" customHeight="1">
      <c r="F949" s="47" t="s">
        <v>170</v>
      </c>
      <c r="G949" s="48"/>
      <c r="H949" s="48"/>
      <c r="I949" s="1593" t="s">
        <v>2727</v>
      </c>
      <c r="J949" s="1538"/>
      <c r="K949" s="1538"/>
      <c r="L949" s="1538"/>
      <c r="M949" s="1538"/>
      <c r="N949" s="1538"/>
      <c r="O949" s="1538"/>
      <c r="P949" s="1538"/>
      <c r="Q949" s="1538"/>
      <c r="R949" s="1538"/>
      <c r="S949" s="1538"/>
      <c r="T949" s="1539"/>
      <c r="U949" s="1402" t="s">
        <v>546</v>
      </c>
      <c r="V949" s="1403"/>
      <c r="W949" s="1403"/>
      <c r="X949" s="1403"/>
      <c r="Y949" s="1403"/>
      <c r="Z949" s="1404"/>
      <c r="AA949" s="1408">
        <v>1000000</v>
      </c>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v>45519</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t="s">
        <v>2705</v>
      </c>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2.95" customHeight="1">
      <c r="C957" s="66" t="s">
        <v>881</v>
      </c>
      <c r="D957" s="5"/>
      <c r="E957" s="5"/>
      <c r="J957" s="1553" t="s">
        <v>2706</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v>0.84</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16</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v>265080</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f>M960*20</f>
        <v>5301600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v>20</v>
      </c>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404366</v>
      </c>
      <c r="S986" s="1552"/>
      <c r="T986" s="1552"/>
      <c r="U986" s="1552"/>
      <c r="V986" s="1552"/>
      <c r="W986" s="1552"/>
      <c r="X986" s="1552"/>
      <c r="Y986" s="1552"/>
      <c r="Z986" s="1552"/>
      <c r="AA986" s="1552"/>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466230</v>
      </c>
      <c r="S987" s="1552"/>
      <c r="T987" s="1552"/>
      <c r="U987" s="1552"/>
      <c r="V987" s="1552"/>
      <c r="W987" s="1552"/>
      <c r="X987" s="1552"/>
      <c r="Y987" s="1552"/>
      <c r="Z987" s="1552"/>
      <c r="AA987" s="1552"/>
      <c r="AB987" s="1390">
        <f>CU802</f>
        <v>16</v>
      </c>
      <c r="AC987" s="1391"/>
      <c r="AD987" s="1391"/>
      <c r="AE987" s="1391"/>
      <c r="AF987" s="1391"/>
      <c r="AG987" s="1391"/>
      <c r="AH987" s="1391"/>
      <c r="AI987" s="1392"/>
      <c r="AJ987" s="1489">
        <f>IF(ISERROR((R987*AB987)),0,(R987*AB987))</f>
        <v>7459680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562400</v>
      </c>
      <c r="S988" s="1552"/>
      <c r="T988" s="1552"/>
      <c r="U988" s="1552"/>
      <c r="V988" s="1552"/>
      <c r="W988" s="1552"/>
      <c r="X988" s="1552"/>
      <c r="Y988" s="1552"/>
      <c r="Z988" s="1552"/>
      <c r="AA988" s="1552"/>
      <c r="AB988" s="1390">
        <f>CZ802</f>
        <v>8</v>
      </c>
      <c r="AC988" s="1391"/>
      <c r="AD988" s="1391"/>
      <c r="AE988" s="1391"/>
      <c r="AF988" s="1391"/>
      <c r="AG988" s="1391"/>
      <c r="AH988" s="1391"/>
      <c r="AI988" s="1392"/>
      <c r="AJ988" s="1489">
        <f>IF(ISERROR((R988*AB988)),0,(R988*AB988))</f>
        <v>4499200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719872</v>
      </c>
      <c r="S989" s="1552"/>
      <c r="T989" s="1552"/>
      <c r="U989" s="1552"/>
      <c r="V989" s="1552"/>
      <c r="W989" s="1552"/>
      <c r="X989" s="1552"/>
      <c r="Y989" s="1552"/>
      <c r="Z989" s="1552"/>
      <c r="AA989" s="1552"/>
      <c r="AB989" s="1390">
        <f>DE802</f>
        <v>9</v>
      </c>
      <c r="AC989" s="1391"/>
      <c r="AD989" s="1391"/>
      <c r="AE989" s="1391"/>
      <c r="AF989" s="1391"/>
      <c r="AG989" s="1391"/>
      <c r="AH989" s="1391"/>
      <c r="AI989" s="1392"/>
      <c r="AJ989" s="1489">
        <f>IF(ISERROR((R989*AB989)),0,(R989*AB989))</f>
        <v>6478848</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801982</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33</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18437728</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546</v>
      </c>
      <c r="AH994" s="1502"/>
      <c r="AI994" s="87"/>
      <c r="AJ994" s="1393">
        <f>ROUND(IF(AND(AG994="yes",D1000&gt;0),AJ992*0.2,0),0)</f>
        <v>3687546</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t="s">
        <v>2637</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32</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0.43</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0.56000000000000005</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2607</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2236</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546</v>
      </c>
      <c r="AH1016" s="1504"/>
      <c r="AI1016" s="87"/>
      <c r="AJ1016" s="1393">
        <f>IF(AG1016="yes",AJ992*AY1024,0)</f>
        <v>3687545.6</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2606</v>
      </c>
      <c r="AY1024" s="201">
        <f>IF(SUM(AY1013:AY1023)&lt;=0.2,SUM(AY1013:AY1023),0.2)</f>
        <v>0.2</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3">
        <f>ROUND(IF(AG1025="Yes",AF1027,0),0)</f>
        <v>209171</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v>209171</v>
      </c>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670</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1</v>
      </c>
      <c r="BB1039" s="3" t="s">
        <v>2493</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2.95"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3">
        <f>IF((X1048=0),0,AY1005*AJ992)</f>
        <v>7928223.04</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161695</v>
      </c>
      <c r="BA1045" s="3" t="s">
        <v>2478</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3014624.6999999997</v>
      </c>
      <c r="BA1046" s="1182">
        <f>IF(BA1040,20%,15%)</f>
        <v>0.15</v>
      </c>
      <c r="BB1046" s="3" t="s">
        <v>2479</v>
      </c>
      <c r="BC1046" s="3" t="s">
        <v>2480</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0">
        <f>AY1003</f>
        <v>32</v>
      </c>
      <c r="J1048" s="1571"/>
      <c r="K1048" s="7"/>
      <c r="L1048" s="133"/>
      <c r="M1048" s="133"/>
      <c r="N1048" s="133"/>
      <c r="O1048" s="133"/>
      <c r="P1048" s="133"/>
      <c r="Q1048" s="133"/>
      <c r="R1048" s="133"/>
      <c r="S1048" s="133"/>
      <c r="T1048" s="133"/>
      <c r="U1048" s="133"/>
      <c r="V1048" s="134" t="s">
        <v>974</v>
      </c>
      <c r="W1048" s="48"/>
      <c r="X1048" s="1568">
        <f>CI753</f>
        <v>14</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3">
        <f>IF((X1052=0),0,(2*AY1006)*AJ992)</f>
        <v>20650255.360000003</v>
      </c>
      <c r="AK1049" s="1394"/>
      <c r="AL1049" s="1394"/>
      <c r="AM1049" s="1394"/>
      <c r="AN1049" s="1394"/>
      <c r="AO1049" s="1394"/>
      <c r="AP1049" s="1394"/>
      <c r="AQ1049" s="1395"/>
      <c r="AR1049" s="68"/>
      <c r="AS1049" s="68"/>
      <c r="AT1049" s="68"/>
      <c r="AU1049" s="14"/>
      <c r="AV1049" s="68"/>
      <c r="AW1049" s="68"/>
      <c r="AX1049" s="68"/>
      <c r="AY1049" s="68"/>
      <c r="AZ1049" s="962">
        <f>AZ1045*BA1049</f>
        <v>24254.25</v>
      </c>
      <c r="BA1049" s="1182">
        <v>0.15</v>
      </c>
      <c r="BB1049" s="3" t="s">
        <v>2479</v>
      </c>
      <c r="BC1049" s="3" t="s">
        <v>2483</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32</v>
      </c>
      <c r="J1052" s="1571"/>
      <c r="K1052" s="14"/>
      <c r="L1052" s="133"/>
      <c r="M1052" s="133"/>
      <c r="N1052" s="133"/>
      <c r="O1052" s="133"/>
      <c r="P1052" s="133"/>
      <c r="Q1052" s="133"/>
      <c r="R1052" s="133"/>
      <c r="S1052" s="133"/>
      <c r="T1052" s="133"/>
      <c r="U1052" s="133"/>
      <c r="V1052" s="134" t="s">
        <v>975</v>
      </c>
      <c r="X1052" s="1568">
        <f>CM753</f>
        <v>18</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54600469</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9">
        <f>'Sources and Uses Budget'!S107+'Sources and Uses Budget'!T107</f>
        <v>23102510</v>
      </c>
      <c r="AB1056" s="1849"/>
      <c r="AC1056" s="1849"/>
      <c r="AD1056" s="1849"/>
      <c r="AE1056" s="1849"/>
      <c r="AF1056" s="184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3038878.9499999997</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0">
        <f>IFERROR((AA1056-BA1059)/(AJ1053-AJ1045-AJ1049),"")</f>
        <v>0.86840005237723827</v>
      </c>
      <c r="AB1057" s="1851"/>
      <c r="AC1057" s="1851"/>
      <c r="AD1057" s="1851"/>
      <c r="AE1057" s="1851"/>
      <c r="AF1057" s="185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5">
        <f>'Sources and Uses Budget'!$S$104+'Sources and Uses Budget'!$T$104</f>
        <v>3005012</v>
      </c>
      <c r="BB1058" s="3" t="s">
        <v>2494</v>
      </c>
    </row>
    <row r="1059" spans="1:54" ht="12.95" customHeight="1">
      <c r="A1059" s="14"/>
      <c r="B1059" s="14"/>
      <c r="C1059" s="208"/>
      <c r="D1059" s="858"/>
      <c r="E1059" s="858"/>
      <c r="F1059" s="858"/>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6">
        <f>MAX($BA$1058-$BA$1055,0)</f>
        <v>505012</v>
      </c>
      <c r="BB1059" s="3" t="s">
        <v>2495</v>
      </c>
    </row>
    <row r="1060" spans="1:54" ht="12.95" customHeight="1">
      <c r="A1060" s="88"/>
      <c r="B1060" s="1172"/>
      <c r="C1060" s="1172"/>
      <c r="D1060" s="1172"/>
      <c r="E1060" s="1172"/>
      <c r="F1060" s="1172"/>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7"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topLeftCell="D1" zoomScale="160" zoomScaleNormal="160" workbookViewId="0">
      <selection activeCell="A120" sqref="A1:XFD12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7" t="s">
        <v>622</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374</v>
      </c>
      <c r="D2" s="138" t="s">
        <v>373</v>
      </c>
      <c r="E2" s="138" t="s">
        <v>24</v>
      </c>
      <c r="F2" s="139" t="str">
        <f>Application!B627&amp;Application!C627</f>
        <v>1)Banc of CA</v>
      </c>
      <c r="G2" s="139" t="str">
        <f>Application!B628&amp;Application!C628</f>
        <v>2)HASBARCO 1</v>
      </c>
      <c r="H2" s="139" t="str">
        <f>Application!B629&amp;Application!C629</f>
        <v xml:space="preserve">3) </v>
      </c>
      <c r="I2" s="139" t="str">
        <f>Application!B630&amp;Application!C630</f>
        <v>4)Deferred Developer Fee</v>
      </c>
      <c r="J2" s="139" t="str">
        <f>Application!B631&amp;Application!C631</f>
        <v>5)HASBARCO 2</v>
      </c>
      <c r="K2" s="139" t="str">
        <f>Application!B632&amp;Application!C632</f>
        <v>6)HASBARCO Pre-Paid Com'l Lease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v>
      </c>
      <c r="C4" s="147">
        <v>77600</v>
      </c>
      <c r="D4" s="147">
        <v>2400</v>
      </c>
      <c r="E4" s="147">
        <v>77600</v>
      </c>
      <c r="F4" s="147"/>
      <c r="G4" s="147"/>
      <c r="H4" s="147"/>
      <c r="I4" s="147"/>
      <c r="J4" s="147"/>
      <c r="K4" s="147">
        <v>2400</v>
      </c>
      <c r="L4" s="147"/>
      <c r="M4" s="147"/>
      <c r="N4" s="147"/>
      <c r="O4" s="147"/>
      <c r="P4" s="147"/>
      <c r="Q4" s="147"/>
      <c r="R4" s="516">
        <f>SUM(E4:Q4)</f>
        <v>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80000</v>
      </c>
      <c r="C8" s="146">
        <f t="shared" ref="C8:Q8" si="0">SUM(C4:C7)</f>
        <v>77600</v>
      </c>
      <c r="D8" s="146">
        <f t="shared" si="0"/>
        <v>2400</v>
      </c>
      <c r="E8" s="146">
        <f t="shared" si="0"/>
        <v>77600</v>
      </c>
      <c r="F8" s="146">
        <f t="shared" si="0"/>
        <v>0</v>
      </c>
      <c r="G8" s="146">
        <f t="shared" si="0"/>
        <v>0</v>
      </c>
      <c r="H8" s="146">
        <f t="shared" si="0"/>
        <v>0</v>
      </c>
      <c r="I8" s="146">
        <f t="shared" si="0"/>
        <v>0</v>
      </c>
      <c r="J8" s="146">
        <f t="shared" si="0"/>
        <v>0</v>
      </c>
      <c r="K8" s="146">
        <f t="shared" si="0"/>
        <v>2400</v>
      </c>
      <c r="L8" s="146">
        <f t="shared" si="0"/>
        <v>0</v>
      </c>
      <c r="M8" s="146">
        <f t="shared" si="0"/>
        <v>0</v>
      </c>
      <c r="N8" s="146">
        <f t="shared" si="0"/>
        <v>0</v>
      </c>
      <c r="O8" s="146">
        <f t="shared" si="0"/>
        <v>0</v>
      </c>
      <c r="P8" s="146"/>
      <c r="Q8" s="146">
        <f t="shared" si="0"/>
        <v>0</v>
      </c>
      <c r="R8" s="342">
        <f>SUM(R4:R7)</f>
        <v>80000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80000</v>
      </c>
      <c r="C12" s="146">
        <f t="shared" si="2"/>
        <v>77600</v>
      </c>
      <c r="D12" s="146">
        <f t="shared" si="2"/>
        <v>2400</v>
      </c>
      <c r="E12" s="146">
        <f t="shared" si="2"/>
        <v>77600</v>
      </c>
      <c r="F12" s="146">
        <f t="shared" si="2"/>
        <v>0</v>
      </c>
      <c r="G12" s="146">
        <f t="shared" si="2"/>
        <v>0</v>
      </c>
      <c r="H12" s="146">
        <f t="shared" si="2"/>
        <v>0</v>
      </c>
      <c r="I12" s="146">
        <f t="shared" si="2"/>
        <v>0</v>
      </c>
      <c r="J12" s="146">
        <f t="shared" si="2"/>
        <v>0</v>
      </c>
      <c r="K12" s="146">
        <f t="shared" si="2"/>
        <v>2400</v>
      </c>
      <c r="L12" s="146">
        <f t="shared" si="2"/>
        <v>0</v>
      </c>
      <c r="M12" s="146">
        <f t="shared" si="2"/>
        <v>0</v>
      </c>
      <c r="N12" s="146">
        <f t="shared" si="2"/>
        <v>0</v>
      </c>
      <c r="O12" s="146">
        <f t="shared" si="2"/>
        <v>0</v>
      </c>
      <c r="P12" s="146"/>
      <c r="Q12" s="146">
        <f t="shared" si="2"/>
        <v>0</v>
      </c>
      <c r="R12" s="342">
        <f>SUM(R8+R11)</f>
        <v>80000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450000</v>
      </c>
      <c r="C29" s="147">
        <v>436500</v>
      </c>
      <c r="D29" s="147">
        <v>13500</v>
      </c>
      <c r="E29" s="147">
        <v>436500</v>
      </c>
      <c r="F29" s="147"/>
      <c r="G29" s="147"/>
      <c r="H29" s="147"/>
      <c r="I29" s="147"/>
      <c r="J29" s="147"/>
      <c r="K29" s="147">
        <v>13500</v>
      </c>
      <c r="L29" s="147"/>
      <c r="M29" s="147"/>
      <c r="N29" s="147"/>
      <c r="O29" s="147"/>
      <c r="P29" s="147"/>
      <c r="Q29" s="147"/>
      <c r="R29" s="516">
        <f t="shared" ref="R29:R37" si="7">SUM(E29:Q29)</f>
        <v>450000</v>
      </c>
      <c r="S29" s="147">
        <v>436500</v>
      </c>
      <c r="T29" s="147"/>
      <c r="U29" s="143"/>
    </row>
    <row r="30" spans="1:21" s="144" customFormat="1">
      <c r="A30" s="145" t="s">
        <v>600</v>
      </c>
      <c r="B30" s="146">
        <f t="shared" si="6"/>
        <v>12705000</v>
      </c>
      <c r="C30" s="147">
        <v>12621656</v>
      </c>
      <c r="D30" s="147">
        <v>83344</v>
      </c>
      <c r="E30" s="147">
        <v>2694804</v>
      </c>
      <c r="F30" s="147">
        <v>1455239</v>
      </c>
      <c r="G30" s="147">
        <v>7471613</v>
      </c>
      <c r="H30" s="147"/>
      <c r="I30" s="147"/>
      <c r="J30" s="147">
        <v>1000000</v>
      </c>
      <c r="K30" s="147">
        <v>83344</v>
      </c>
      <c r="L30" s="147"/>
      <c r="M30" s="147"/>
      <c r="N30" s="147"/>
      <c r="O30" s="147"/>
      <c r="P30" s="147"/>
      <c r="Q30" s="147"/>
      <c r="R30" s="516">
        <f t="shared" si="7"/>
        <v>12705000</v>
      </c>
      <c r="S30" s="147">
        <v>12621656</v>
      </c>
      <c r="T30" s="147"/>
      <c r="U30" s="143"/>
    </row>
    <row r="31" spans="1:21" s="144" customFormat="1">
      <c r="A31" s="145" t="s">
        <v>601</v>
      </c>
      <c r="B31" s="146">
        <f t="shared" si="6"/>
        <v>737916</v>
      </c>
      <c r="C31" s="147">
        <v>734049</v>
      </c>
      <c r="D31" s="147">
        <v>3867</v>
      </c>
      <c r="E31" s="147">
        <f>128898</f>
        <v>128898</v>
      </c>
      <c r="F31" s="147"/>
      <c r="G31" s="147">
        <v>605151</v>
      </c>
      <c r="H31" s="147"/>
      <c r="I31" s="147"/>
      <c r="J31" s="147"/>
      <c r="K31" s="147">
        <v>3867</v>
      </c>
      <c r="L31" s="147"/>
      <c r="M31" s="147"/>
      <c r="N31" s="147"/>
      <c r="O31" s="147"/>
      <c r="P31" s="147"/>
      <c r="Q31" s="147"/>
      <c r="R31" s="516">
        <f t="shared" si="7"/>
        <v>737916</v>
      </c>
      <c r="S31" s="147">
        <v>734049</v>
      </c>
      <c r="T31" s="147"/>
      <c r="U31" s="143"/>
    </row>
    <row r="32" spans="1:21" s="144" customFormat="1">
      <c r="A32" s="145" t="s">
        <v>137</v>
      </c>
      <c r="B32" s="146">
        <f t="shared" si="6"/>
        <v>511124</v>
      </c>
      <c r="C32" s="147">
        <v>505271</v>
      </c>
      <c r="D32" s="147">
        <v>5853</v>
      </c>
      <c r="E32" s="147">
        <v>189259</v>
      </c>
      <c r="F32" s="147"/>
      <c r="G32" s="147">
        <v>316012</v>
      </c>
      <c r="H32" s="147"/>
      <c r="I32" s="147"/>
      <c r="J32" s="147"/>
      <c r="K32" s="147">
        <v>5853</v>
      </c>
      <c r="L32" s="147"/>
      <c r="M32" s="147"/>
      <c r="N32" s="147"/>
      <c r="O32" s="147"/>
      <c r="P32" s="147"/>
      <c r="Q32" s="147"/>
      <c r="R32" s="516">
        <f t="shared" si="7"/>
        <v>511124</v>
      </c>
      <c r="S32" s="147">
        <v>505271</v>
      </c>
      <c r="T32" s="147"/>
      <c r="U32" s="143"/>
    </row>
    <row r="33" spans="1:21" s="144" customFormat="1">
      <c r="A33" s="145" t="s">
        <v>138</v>
      </c>
      <c r="B33" s="146">
        <f t="shared" si="6"/>
        <v>600000</v>
      </c>
      <c r="C33" s="147">
        <v>600000</v>
      </c>
      <c r="D33" s="147"/>
      <c r="E33" s="147"/>
      <c r="F33" s="147"/>
      <c r="G33" s="147">
        <v>600000</v>
      </c>
      <c r="H33" s="147"/>
      <c r="I33" s="147"/>
      <c r="J33" s="147"/>
      <c r="K33" s="147"/>
      <c r="L33" s="147"/>
      <c r="M33" s="147"/>
      <c r="N33" s="147"/>
      <c r="O33" s="147"/>
      <c r="P33" s="147"/>
      <c r="Q33" s="147"/>
      <c r="R33" s="516">
        <f t="shared" si="7"/>
        <v>600000</v>
      </c>
      <c r="S33" s="147">
        <v>600000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15004040</v>
      </c>
      <c r="C38" s="146">
        <f>SUM(C29:C37)</f>
        <v>14897476</v>
      </c>
      <c r="D38" s="146">
        <f t="shared" ref="D38:Q38" si="8">SUM(D29:D37)</f>
        <v>106564</v>
      </c>
      <c r="E38" s="146">
        <f t="shared" si="8"/>
        <v>3449461</v>
      </c>
      <c r="F38" s="146">
        <f t="shared" si="8"/>
        <v>1455239</v>
      </c>
      <c r="G38" s="146">
        <f t="shared" si="8"/>
        <v>8992776</v>
      </c>
      <c r="H38" s="146">
        <f t="shared" si="8"/>
        <v>0</v>
      </c>
      <c r="I38" s="146">
        <f t="shared" si="8"/>
        <v>0</v>
      </c>
      <c r="J38" s="146">
        <f t="shared" si="8"/>
        <v>1000000</v>
      </c>
      <c r="K38" s="146">
        <f t="shared" si="8"/>
        <v>106564</v>
      </c>
      <c r="L38" s="146">
        <f t="shared" si="8"/>
        <v>0</v>
      </c>
      <c r="M38" s="146">
        <f t="shared" si="8"/>
        <v>0</v>
      </c>
      <c r="N38" s="146">
        <f t="shared" si="8"/>
        <v>0</v>
      </c>
      <c r="O38" s="146">
        <f t="shared" si="8"/>
        <v>0</v>
      </c>
      <c r="P38" s="146">
        <f t="shared" si="8"/>
        <v>0</v>
      </c>
      <c r="Q38" s="146">
        <f t="shared" si="8"/>
        <v>0</v>
      </c>
      <c r="R38" s="342">
        <f>SUM(R29:R37)</f>
        <v>15004040</v>
      </c>
      <c r="S38" s="150">
        <f>SUM(S29:S37)</f>
        <v>14897476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360000</v>
      </c>
      <c r="C40" s="147">
        <v>345000</v>
      </c>
      <c r="D40" s="147">
        <v>15000</v>
      </c>
      <c r="E40" s="147">
        <v>345000</v>
      </c>
      <c r="F40" s="147"/>
      <c r="G40" s="147"/>
      <c r="H40" s="147"/>
      <c r="I40" s="147"/>
      <c r="J40" s="147"/>
      <c r="K40" s="147">
        <v>15000</v>
      </c>
      <c r="L40" s="147"/>
      <c r="M40" s="147"/>
      <c r="N40" s="147"/>
      <c r="O40" s="147"/>
      <c r="P40" s="147"/>
      <c r="Q40" s="147"/>
      <c r="R40" s="516">
        <f>SUM(E40:Q40)</f>
        <v>360000</v>
      </c>
      <c r="S40" s="147">
        <v>345000</v>
      </c>
      <c r="T40" s="147"/>
      <c r="U40" s="143"/>
    </row>
    <row r="41" spans="1:21" s="144" customFormat="1">
      <c r="A41" s="145" t="s">
        <v>146</v>
      </c>
      <c r="B41" s="146">
        <f>SUM(C41+D41)</f>
        <v>25000</v>
      </c>
      <c r="C41" s="147">
        <v>25000</v>
      </c>
      <c r="D41" s="147"/>
      <c r="E41" s="147">
        <v>25000</v>
      </c>
      <c r="F41" s="147"/>
      <c r="G41" s="147"/>
      <c r="H41" s="147"/>
      <c r="I41" s="147"/>
      <c r="J41" s="147"/>
      <c r="K41" s="147"/>
      <c r="L41" s="147"/>
      <c r="M41" s="147"/>
      <c r="N41" s="147"/>
      <c r="O41" s="147"/>
      <c r="P41" s="147"/>
      <c r="Q41" s="147"/>
      <c r="R41" s="516">
        <f>SUM(E41:Q41)</f>
        <v>25000</v>
      </c>
      <c r="S41" s="147">
        <v>25000</v>
      </c>
      <c r="T41" s="147"/>
      <c r="U41" s="143"/>
    </row>
    <row r="42" spans="1:21" s="144" customFormat="1">
      <c r="A42" s="149" t="s">
        <v>147</v>
      </c>
      <c r="B42" s="146">
        <f>SUM(C42:D42)</f>
        <v>385000</v>
      </c>
      <c r="C42" s="146">
        <f>SUM(C39:C41)</f>
        <v>370000</v>
      </c>
      <c r="D42" s="146">
        <f>SUM(D39:D41)</f>
        <v>15000</v>
      </c>
      <c r="E42" s="146">
        <f t="shared" ref="E42:T42" si="9">SUM(E40:E41)</f>
        <v>370000</v>
      </c>
      <c r="F42" s="146">
        <f t="shared" si="9"/>
        <v>0</v>
      </c>
      <c r="G42" s="146">
        <f t="shared" si="9"/>
        <v>0</v>
      </c>
      <c r="H42" s="146">
        <f t="shared" si="9"/>
        <v>0</v>
      </c>
      <c r="I42" s="146">
        <f t="shared" si="9"/>
        <v>0</v>
      </c>
      <c r="J42" s="146">
        <f t="shared" si="9"/>
        <v>0</v>
      </c>
      <c r="K42" s="146">
        <f t="shared" si="9"/>
        <v>15000</v>
      </c>
      <c r="L42" s="146">
        <f t="shared" si="9"/>
        <v>0</v>
      </c>
      <c r="M42" s="146">
        <f t="shared" si="9"/>
        <v>0</v>
      </c>
      <c r="N42" s="146">
        <f t="shared" si="9"/>
        <v>0</v>
      </c>
      <c r="O42" s="146">
        <f t="shared" si="9"/>
        <v>0</v>
      </c>
      <c r="P42" s="146">
        <f t="shared" si="9"/>
        <v>0</v>
      </c>
      <c r="Q42" s="146">
        <f t="shared" si="9"/>
        <v>0</v>
      </c>
      <c r="R42" s="342">
        <f>SUM(R40:R41)</f>
        <v>385000</v>
      </c>
      <c r="S42" s="150">
        <f t="shared" si="9"/>
        <v>370000</v>
      </c>
      <c r="T42" s="150">
        <f t="shared" si="9"/>
        <v>0</v>
      </c>
      <c r="U42" s="143"/>
    </row>
    <row r="43" spans="1:21" s="144" customFormat="1">
      <c r="A43" s="149" t="s">
        <v>148</v>
      </c>
      <c r="B43" s="146">
        <f>SUM(C43:D43)</f>
        <v>270000</v>
      </c>
      <c r="C43" s="147">
        <v>255000</v>
      </c>
      <c r="D43" s="147">
        <v>15000</v>
      </c>
      <c r="E43" s="147">
        <v>255000</v>
      </c>
      <c r="F43" s="147"/>
      <c r="G43" s="147"/>
      <c r="H43" s="147"/>
      <c r="I43" s="147"/>
      <c r="J43" s="147"/>
      <c r="K43" s="147">
        <v>15000</v>
      </c>
      <c r="L43" s="147"/>
      <c r="M43" s="147"/>
      <c r="N43" s="147"/>
      <c r="O43" s="147"/>
      <c r="P43" s="147"/>
      <c r="Q43" s="147"/>
      <c r="R43" s="516">
        <f>SUM(E43:Q43)</f>
        <v>270000</v>
      </c>
      <c r="S43" s="147">
        <v>255000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1291851</v>
      </c>
      <c r="C45" s="147">
        <v>1291851</v>
      </c>
      <c r="D45" s="147"/>
      <c r="E45" s="147">
        <v>1291851</v>
      </c>
      <c r="F45" s="147"/>
      <c r="G45" s="147"/>
      <c r="H45" s="147"/>
      <c r="I45" s="147"/>
      <c r="J45" s="147"/>
      <c r="K45" s="147"/>
      <c r="L45" s="147"/>
      <c r="M45" s="147"/>
      <c r="N45" s="147"/>
      <c r="O45" s="147"/>
      <c r="P45" s="147"/>
      <c r="Q45" s="147"/>
      <c r="R45" s="516">
        <f t="shared" ref="R45:R53" si="11">SUM(E45:Q45)</f>
        <v>1291851</v>
      </c>
      <c r="S45" s="147">
        <v>800000</v>
      </c>
      <c r="T45" s="147"/>
      <c r="U45" s="143"/>
    </row>
    <row r="46" spans="1:21" s="144" customFormat="1">
      <c r="A46" s="145" t="s">
        <v>151</v>
      </c>
      <c r="B46" s="146">
        <f t="shared" si="10"/>
        <v>240455</v>
      </c>
      <c r="C46" s="147">
        <v>240455</v>
      </c>
      <c r="D46" s="147"/>
      <c r="E46" s="147">
        <v>240455</v>
      </c>
      <c r="F46" s="147"/>
      <c r="G46" s="147"/>
      <c r="H46" s="147"/>
      <c r="I46" s="147"/>
      <c r="J46" s="147"/>
      <c r="K46" s="147"/>
      <c r="L46" s="147"/>
      <c r="M46" s="147"/>
      <c r="N46" s="147"/>
      <c r="O46" s="147"/>
      <c r="P46" s="147"/>
      <c r="Q46" s="147"/>
      <c r="R46" s="516">
        <f t="shared" si="11"/>
        <v>240455</v>
      </c>
      <c r="S46" s="147">
        <v>120000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v>0</v>
      </c>
      <c r="T47" s="147"/>
      <c r="U47" s="143"/>
    </row>
    <row r="48" spans="1:21" s="144" customFormat="1">
      <c r="A48" s="145" t="s">
        <v>153</v>
      </c>
      <c r="B48" s="146">
        <f t="shared" si="10"/>
        <v>150002</v>
      </c>
      <c r="C48" s="147">
        <v>150002</v>
      </c>
      <c r="D48" s="147"/>
      <c r="E48" s="147">
        <v>82631</v>
      </c>
      <c r="F48" s="147"/>
      <c r="G48" s="147">
        <v>67371</v>
      </c>
      <c r="H48" s="147"/>
      <c r="I48" s="147"/>
      <c r="J48" s="147"/>
      <c r="K48" s="147"/>
      <c r="L48" s="147"/>
      <c r="M48" s="147"/>
      <c r="N48" s="147"/>
      <c r="O48" s="147"/>
      <c r="P48" s="147"/>
      <c r="Q48" s="147"/>
      <c r="R48" s="516">
        <f t="shared" si="11"/>
        <v>150002</v>
      </c>
      <c r="S48" s="147">
        <v>150002</v>
      </c>
      <c r="T48" s="147"/>
      <c r="U48" s="143"/>
    </row>
    <row r="49" spans="1:21" s="144" customFormat="1">
      <c r="A49" s="145" t="s">
        <v>57</v>
      </c>
      <c r="B49" s="146">
        <f t="shared" si="10"/>
        <v>110000</v>
      </c>
      <c r="C49" s="147">
        <v>110000</v>
      </c>
      <c r="D49" s="147"/>
      <c r="E49" s="147">
        <v>110000</v>
      </c>
      <c r="F49" s="147"/>
      <c r="G49" s="147"/>
      <c r="H49" s="147"/>
      <c r="I49" s="147"/>
      <c r="J49" s="147"/>
      <c r="K49" s="147"/>
      <c r="L49" s="147"/>
      <c r="M49" s="147"/>
      <c r="N49" s="147"/>
      <c r="O49" s="147"/>
      <c r="P49" s="147"/>
      <c r="Q49" s="147"/>
      <c r="R49" s="516">
        <f t="shared" si="11"/>
        <v>110000</v>
      </c>
      <c r="S49" s="147">
        <v>55000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16">
        <f t="shared" si="11"/>
        <v>60000</v>
      </c>
      <c r="S50" s="147">
        <v>30000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2721</v>
      </c>
      <c r="B53" s="146">
        <f t="shared" si="10"/>
        <v>300003</v>
      </c>
      <c r="C53" s="147">
        <v>285003</v>
      </c>
      <c r="D53" s="147">
        <v>15000</v>
      </c>
      <c r="E53" s="147">
        <v>285003</v>
      </c>
      <c r="F53" s="147"/>
      <c r="G53" s="147"/>
      <c r="H53" s="147"/>
      <c r="I53" s="147"/>
      <c r="J53" s="147"/>
      <c r="K53" s="147">
        <v>15000</v>
      </c>
      <c r="L53" s="147"/>
      <c r="M53" s="147"/>
      <c r="N53" s="147"/>
      <c r="O53" s="147"/>
      <c r="P53" s="147"/>
      <c r="Q53" s="147"/>
      <c r="R53" s="516">
        <f t="shared" si="11"/>
        <v>300003</v>
      </c>
      <c r="S53" s="147">
        <v>285003</v>
      </c>
      <c r="T53" s="147"/>
      <c r="U53" s="143"/>
    </row>
    <row r="54" spans="1:21" s="153" customFormat="1">
      <c r="A54" s="149" t="s">
        <v>157</v>
      </c>
      <c r="B54" s="150">
        <f>SUM(C54:D54)</f>
        <v>2152311</v>
      </c>
      <c r="C54" s="150">
        <f t="shared" ref="C54:T54" si="12">SUM(C45:C53)</f>
        <v>2137311</v>
      </c>
      <c r="D54" s="150">
        <f t="shared" si="12"/>
        <v>15000</v>
      </c>
      <c r="E54" s="150">
        <f t="shared" si="12"/>
        <v>2069940</v>
      </c>
      <c r="F54" s="150">
        <f t="shared" si="12"/>
        <v>0</v>
      </c>
      <c r="G54" s="150">
        <f t="shared" si="12"/>
        <v>67371</v>
      </c>
      <c r="H54" s="150">
        <f t="shared" si="12"/>
        <v>0</v>
      </c>
      <c r="I54" s="150">
        <f t="shared" si="12"/>
        <v>0</v>
      </c>
      <c r="J54" s="150">
        <f t="shared" si="12"/>
        <v>0</v>
      </c>
      <c r="K54" s="150">
        <f t="shared" si="12"/>
        <v>15000</v>
      </c>
      <c r="L54" s="150">
        <f t="shared" si="12"/>
        <v>0</v>
      </c>
      <c r="M54" s="150">
        <f t="shared" si="12"/>
        <v>0</v>
      </c>
      <c r="N54" s="150">
        <f t="shared" si="12"/>
        <v>0</v>
      </c>
      <c r="O54" s="150">
        <f t="shared" si="12"/>
        <v>0</v>
      </c>
      <c r="P54" s="150">
        <f t="shared" si="12"/>
        <v>0</v>
      </c>
      <c r="Q54" s="150">
        <f t="shared" si="12"/>
        <v>0</v>
      </c>
      <c r="R54" s="342">
        <f t="shared" si="12"/>
        <v>2152311</v>
      </c>
      <c r="S54" s="150">
        <f t="shared" si="12"/>
        <v>1440005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32995</v>
      </c>
      <c r="C56" s="147">
        <v>32995</v>
      </c>
      <c r="D56" s="147"/>
      <c r="E56" s="147">
        <v>32995</v>
      </c>
      <c r="F56" s="147"/>
      <c r="G56" s="147"/>
      <c r="H56" s="147"/>
      <c r="I56" s="147"/>
      <c r="J56" s="147"/>
      <c r="K56" s="147"/>
      <c r="L56" s="147"/>
      <c r="M56" s="147"/>
      <c r="N56" s="147"/>
      <c r="O56" s="147"/>
      <c r="P56" s="147"/>
      <c r="Q56" s="147"/>
      <c r="R56" s="516">
        <f t="shared" ref="R56:R61" si="14">SUM(E56:Q56)</f>
        <v>32995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32995</v>
      </c>
      <c r="C62" s="146">
        <f t="shared" ref="C62:R62" si="15">SUM(C56:C61)</f>
        <v>32995</v>
      </c>
      <c r="D62" s="146">
        <f t="shared" si="15"/>
        <v>0</v>
      </c>
      <c r="E62" s="146">
        <f t="shared" si="15"/>
        <v>32995</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32995</v>
      </c>
      <c r="S62" s="148"/>
      <c r="T62" s="148"/>
      <c r="U62" s="143"/>
    </row>
    <row r="63" spans="1:21" s="144" customFormat="1">
      <c r="A63" s="154" t="s">
        <v>302</v>
      </c>
      <c r="B63" s="146">
        <f t="shared" ref="B63:R63" si="16">SUM(B8+B11+B13+B14+B15+B26+B27+B38+B42+B43+B54+B62)</f>
        <v>17924346</v>
      </c>
      <c r="C63" s="146">
        <f t="shared" si="16"/>
        <v>17770382</v>
      </c>
      <c r="D63" s="146">
        <f t="shared" si="16"/>
        <v>153964</v>
      </c>
      <c r="E63" s="146">
        <f t="shared" si="16"/>
        <v>6254996</v>
      </c>
      <c r="F63" s="146">
        <f t="shared" si="16"/>
        <v>1455239</v>
      </c>
      <c r="G63" s="146">
        <f t="shared" si="16"/>
        <v>9060147</v>
      </c>
      <c r="H63" s="146">
        <f t="shared" si="16"/>
        <v>0</v>
      </c>
      <c r="I63" s="146">
        <f t="shared" si="16"/>
        <v>0</v>
      </c>
      <c r="J63" s="146">
        <f t="shared" si="16"/>
        <v>1000000</v>
      </c>
      <c r="K63" s="146">
        <f t="shared" si="16"/>
        <v>153964</v>
      </c>
      <c r="L63" s="146">
        <f t="shared" si="16"/>
        <v>0</v>
      </c>
      <c r="M63" s="146">
        <f t="shared" si="16"/>
        <v>0</v>
      </c>
      <c r="N63" s="146">
        <f t="shared" si="16"/>
        <v>0</v>
      </c>
      <c r="O63" s="146">
        <f t="shared" si="16"/>
        <v>0</v>
      </c>
      <c r="P63" s="146">
        <f t="shared" si="16"/>
        <v>0</v>
      </c>
      <c r="Q63" s="146">
        <f t="shared" si="16"/>
        <v>0</v>
      </c>
      <c r="R63" s="342">
        <f t="shared" si="16"/>
        <v>17924346</v>
      </c>
      <c r="S63" s="146">
        <f>SUM(S10+S13+S14+S15+S26+S27+S38+S42+S43+S54)</f>
        <v>16962481</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v>50000</v>
      </c>
      <c r="F65" s="147"/>
      <c r="G65" s="147"/>
      <c r="H65" s="147"/>
      <c r="I65" s="147"/>
      <c r="J65" s="147"/>
      <c r="K65" s="147"/>
      <c r="L65" s="147"/>
      <c r="M65" s="147"/>
      <c r="N65" s="147"/>
      <c r="O65" s="147"/>
      <c r="P65" s="147"/>
      <c r="Q65" s="147"/>
      <c r="R65" s="516">
        <f>SUM(E65:Q65)</f>
        <v>50000</v>
      </c>
      <c r="S65" s="147">
        <v>50000</v>
      </c>
      <c r="T65" s="147"/>
      <c r="U65" s="143"/>
    </row>
    <row r="66" spans="1:21" s="144" customFormat="1" ht="24" customHeight="1">
      <c r="A66" s="283" t="s">
        <v>1642</v>
      </c>
      <c r="B66" s="146">
        <f>SUM(C66+D66)</f>
        <v>250000</v>
      </c>
      <c r="C66" s="147">
        <v>250000</v>
      </c>
      <c r="D66" s="147"/>
      <c r="E66" s="147">
        <v>250000</v>
      </c>
      <c r="F66" s="147"/>
      <c r="G66" s="147"/>
      <c r="H66" s="147"/>
      <c r="I66" s="147"/>
      <c r="J66" s="147"/>
      <c r="K66" s="147"/>
      <c r="L66" s="147"/>
      <c r="M66" s="147"/>
      <c r="N66" s="147"/>
      <c r="O66" s="147"/>
      <c r="P66" s="147"/>
      <c r="Q66" s="147"/>
      <c r="R66" s="516">
        <f>SUM(E66:Q66)</f>
        <v>250000</v>
      </c>
      <c r="S66" s="147">
        <v>250000</v>
      </c>
      <c r="T66" s="147"/>
      <c r="U66" s="143"/>
    </row>
    <row r="67" spans="1:21" s="144" customFormat="1" ht="24" customHeight="1">
      <c r="A67" s="283" t="s">
        <v>1643</v>
      </c>
      <c r="B67" s="146">
        <f>SUM(C67+D67)</f>
        <v>250000</v>
      </c>
      <c r="C67" s="147">
        <v>250000</v>
      </c>
      <c r="D67" s="147"/>
      <c r="E67" s="147">
        <v>250000</v>
      </c>
      <c r="F67" s="147"/>
      <c r="G67" s="147"/>
      <c r="H67" s="147"/>
      <c r="I67" s="147"/>
      <c r="J67" s="147"/>
      <c r="K67" s="147"/>
      <c r="L67" s="147"/>
      <c r="M67" s="147"/>
      <c r="N67" s="147"/>
      <c r="O67" s="147"/>
      <c r="P67" s="147"/>
      <c r="Q67" s="147"/>
      <c r="R67" s="516">
        <f>SUM(E67:Q67)</f>
        <v>250000</v>
      </c>
      <c r="S67" s="147">
        <v>250000</v>
      </c>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2722</v>
      </c>
      <c r="B69" s="146">
        <f>SUM(C69+D69)</f>
        <v>75000</v>
      </c>
      <c r="C69" s="147">
        <v>75000</v>
      </c>
      <c r="D69" s="147"/>
      <c r="E69" s="147">
        <v>75000</v>
      </c>
      <c r="F69" s="147"/>
      <c r="G69" s="147"/>
      <c r="H69" s="147"/>
      <c r="I69" s="147"/>
      <c r="J69" s="147"/>
      <c r="K69" s="147"/>
      <c r="L69" s="147"/>
      <c r="M69" s="147"/>
      <c r="N69" s="147"/>
      <c r="O69" s="147"/>
      <c r="P69" s="147"/>
      <c r="Q69" s="147"/>
      <c r="R69" s="516">
        <f>SUM(E69:Q69)</f>
        <v>75000</v>
      </c>
      <c r="S69" s="147">
        <v>75000</v>
      </c>
      <c r="T69" s="147"/>
      <c r="U69" s="143"/>
    </row>
    <row r="70" spans="1:21" s="144" customFormat="1">
      <c r="A70" s="149" t="s">
        <v>1646</v>
      </c>
      <c r="B70" s="146">
        <f>SUM(C70:D70)</f>
        <v>625000</v>
      </c>
      <c r="C70" s="146">
        <f>SUM(C65:C69)</f>
        <v>625000</v>
      </c>
      <c r="D70" s="146">
        <f>SUM(D65:D69)</f>
        <v>0</v>
      </c>
      <c r="E70" s="146">
        <f t="shared" ref="E70:T70" si="17">SUM(E65:E69)</f>
        <v>625000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625000</v>
      </c>
      <c r="S70" s="150">
        <f t="shared" si="17"/>
        <v>625000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198826</v>
      </c>
      <c r="C75" s="147">
        <v>198826</v>
      </c>
      <c r="D75" s="147"/>
      <c r="E75" s="147">
        <v>22406</v>
      </c>
      <c r="F75" s="147">
        <v>176420</v>
      </c>
      <c r="G75" s="147"/>
      <c r="H75" s="147"/>
      <c r="I75" s="147"/>
      <c r="J75" s="147"/>
      <c r="K75" s="147"/>
      <c r="L75" s="147"/>
      <c r="M75" s="147"/>
      <c r="N75" s="147"/>
      <c r="O75" s="147"/>
      <c r="P75" s="147"/>
      <c r="Q75" s="147"/>
      <c r="R75" s="516">
        <f>SUM(E75:Q75)</f>
        <v>198826</v>
      </c>
      <c r="S75" s="148"/>
      <c r="T75" s="148"/>
      <c r="U75" s="143"/>
    </row>
    <row r="76" spans="1:21" s="144" customFormat="1">
      <c r="A76" s="1149" t="s">
        <v>2718</v>
      </c>
      <c r="B76" s="146">
        <f>SUM(C76+D76)</f>
        <v>85795</v>
      </c>
      <c r="C76" s="147">
        <v>85795</v>
      </c>
      <c r="D76" s="147"/>
      <c r="E76" s="147"/>
      <c r="F76" s="147">
        <v>85795</v>
      </c>
      <c r="G76" s="147"/>
      <c r="H76" s="147"/>
      <c r="I76" s="147"/>
      <c r="J76" s="147"/>
      <c r="K76" s="147"/>
      <c r="L76" s="147"/>
      <c r="M76" s="147"/>
      <c r="N76" s="147"/>
      <c r="O76" s="147"/>
      <c r="P76" s="147"/>
      <c r="Q76" s="147"/>
      <c r="R76" s="516">
        <f>SUM(E76:Q76)</f>
        <v>85795</v>
      </c>
      <c r="S76" s="148"/>
      <c r="T76" s="148"/>
      <c r="U76" s="143"/>
    </row>
    <row r="77" spans="1:21" s="144" customFormat="1">
      <c r="A77" s="149" t="s">
        <v>607</v>
      </c>
      <c r="B77" s="146">
        <f>SUM(C77:D77)</f>
        <v>284621</v>
      </c>
      <c r="C77" s="146">
        <f>SUM(C72:C76)</f>
        <v>284621</v>
      </c>
      <c r="D77" s="146">
        <f>SUM(D72:D76)</f>
        <v>0</v>
      </c>
      <c r="E77" s="146">
        <f t="shared" ref="E77:Q77" si="18">SUM(E72:E76)</f>
        <v>22406</v>
      </c>
      <c r="F77" s="146">
        <f t="shared" si="18"/>
        <v>262215</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284621</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1515017</v>
      </c>
      <c r="C79" s="147">
        <v>1515017</v>
      </c>
      <c r="D79" s="147"/>
      <c r="E79" s="147">
        <v>1515017</v>
      </c>
      <c r="F79" s="147"/>
      <c r="G79" s="147"/>
      <c r="H79" s="147"/>
      <c r="I79" s="147"/>
      <c r="J79" s="147"/>
      <c r="K79" s="147"/>
      <c r="L79" s="147"/>
      <c r="M79" s="147"/>
      <c r="N79" s="147"/>
      <c r="O79" s="147"/>
      <c r="P79" s="147"/>
      <c r="Q79" s="147"/>
      <c r="R79" s="516">
        <f>SUM(E79:Q79)</f>
        <v>1515017</v>
      </c>
      <c r="S79" s="147">
        <v>1515017</v>
      </c>
      <c r="T79" s="147"/>
      <c r="U79" s="143"/>
    </row>
    <row r="80" spans="1:21" s="144" customFormat="1">
      <c r="A80" s="283" t="s">
        <v>58</v>
      </c>
      <c r="B80" s="146">
        <f>SUM(C80:D80)</f>
        <v>186326</v>
      </c>
      <c r="C80" s="147">
        <v>186326</v>
      </c>
      <c r="D80" s="147">
        <v>0</v>
      </c>
      <c r="E80" s="147">
        <v>174468</v>
      </c>
      <c r="F80" s="147">
        <v>11858</v>
      </c>
      <c r="G80" s="147"/>
      <c r="H80" s="147"/>
      <c r="I80" s="147"/>
      <c r="J80" s="147"/>
      <c r="K80" s="147"/>
      <c r="L80" s="147"/>
      <c r="M80" s="147"/>
      <c r="N80" s="147"/>
      <c r="O80" s="147"/>
      <c r="P80" s="147"/>
      <c r="Q80" s="147"/>
      <c r="R80" s="516">
        <f>SUM(E80:Q80)</f>
        <v>186326</v>
      </c>
      <c r="S80" s="147">
        <v>100000</v>
      </c>
      <c r="T80" s="147"/>
      <c r="U80" s="143"/>
    </row>
    <row r="81" spans="1:21" s="144" customFormat="1">
      <c r="A81" s="149" t="s">
        <v>1210</v>
      </c>
      <c r="B81" s="146">
        <f>SUM(C81:D81)</f>
        <v>1701343</v>
      </c>
      <c r="C81" s="509">
        <f>SUM(C79:C80)</f>
        <v>1701343</v>
      </c>
      <c r="D81" s="509">
        <f t="shared" ref="D81:T81" si="19">SUM(D79:D80)</f>
        <v>0</v>
      </c>
      <c r="E81" s="509">
        <f t="shared" si="19"/>
        <v>1689485</v>
      </c>
      <c r="F81" s="509">
        <f t="shared" si="19"/>
        <v>11858</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1701343</v>
      </c>
      <c r="S81" s="509">
        <f t="shared" si="19"/>
        <v>1615017</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0">SUM(C83+D83)</f>
        <v>33116</v>
      </c>
      <c r="C83" s="147">
        <v>33116</v>
      </c>
      <c r="D83" s="147"/>
      <c r="E83" s="147">
        <v>33116</v>
      </c>
      <c r="F83" s="147"/>
      <c r="G83" s="147"/>
      <c r="H83" s="147"/>
      <c r="I83" s="147"/>
      <c r="J83" s="147"/>
      <c r="K83" s="147"/>
      <c r="L83" s="147"/>
      <c r="M83" s="147"/>
      <c r="N83" s="147"/>
      <c r="O83" s="147"/>
      <c r="P83" s="147"/>
      <c r="Q83" s="147"/>
      <c r="R83" s="516">
        <f t="shared" ref="R83:R95" si="21">SUM(E83:Q83)</f>
        <v>33116</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148483</v>
      </c>
      <c r="C85" s="147">
        <v>148483</v>
      </c>
      <c r="D85" s="147"/>
      <c r="E85" s="147">
        <v>148483</v>
      </c>
      <c r="F85" s="147"/>
      <c r="G85" s="147"/>
      <c r="H85" s="147"/>
      <c r="I85" s="147"/>
      <c r="J85" s="147"/>
      <c r="K85" s="147"/>
      <c r="L85" s="147"/>
      <c r="M85" s="147"/>
      <c r="N85" s="147"/>
      <c r="O85" s="147"/>
      <c r="P85" s="147"/>
      <c r="Q85" s="147"/>
      <c r="R85" s="516">
        <f t="shared" si="21"/>
        <v>148483</v>
      </c>
      <c r="S85" s="147">
        <v>148483</v>
      </c>
      <c r="T85" s="147"/>
      <c r="U85" s="143"/>
    </row>
    <row r="86" spans="1:21" s="144" customFormat="1">
      <c r="A86" s="145" t="s">
        <v>770</v>
      </c>
      <c r="B86" s="146">
        <f t="shared" si="20"/>
        <v>200000</v>
      </c>
      <c r="C86" s="147">
        <v>200000</v>
      </c>
      <c r="D86" s="147"/>
      <c r="E86" s="147">
        <v>200000</v>
      </c>
      <c r="F86" s="147"/>
      <c r="G86" s="147"/>
      <c r="H86" s="147"/>
      <c r="I86" s="147"/>
      <c r="J86" s="147"/>
      <c r="K86" s="147"/>
      <c r="L86" s="147"/>
      <c r="M86" s="147"/>
      <c r="N86" s="147"/>
      <c r="O86" s="147"/>
      <c r="P86" s="147"/>
      <c r="Q86" s="147"/>
      <c r="R86" s="516">
        <f t="shared" si="21"/>
        <v>200000</v>
      </c>
      <c r="S86" s="147">
        <v>200000</v>
      </c>
      <c r="T86" s="147"/>
      <c r="U86" s="143"/>
    </row>
    <row r="87" spans="1:21" s="144" customFormat="1">
      <c r="A87" s="145" t="s">
        <v>771</v>
      </c>
      <c r="B87" s="146">
        <f t="shared" si="20"/>
        <v>501648</v>
      </c>
      <c r="C87" s="147">
        <v>491517</v>
      </c>
      <c r="D87" s="147">
        <v>10131</v>
      </c>
      <c r="E87" s="147">
        <v>491517</v>
      </c>
      <c r="F87" s="147"/>
      <c r="G87" s="147"/>
      <c r="H87" s="147"/>
      <c r="I87" s="147"/>
      <c r="J87" s="147"/>
      <c r="K87" s="147">
        <v>10131</v>
      </c>
      <c r="L87" s="147"/>
      <c r="M87" s="147"/>
      <c r="N87" s="147"/>
      <c r="O87" s="147"/>
      <c r="P87" s="147"/>
      <c r="Q87" s="147"/>
      <c r="R87" s="516">
        <f t="shared" si="21"/>
        <v>501648</v>
      </c>
      <c r="S87" s="147">
        <v>491517</v>
      </c>
      <c r="T87" s="147"/>
      <c r="U87" s="143"/>
    </row>
    <row r="88" spans="1:21" s="144" customFormat="1">
      <c r="A88" s="145" t="s">
        <v>772</v>
      </c>
      <c r="B88" s="146">
        <f t="shared" si="20"/>
        <v>5000</v>
      </c>
      <c r="C88" s="147">
        <v>5000</v>
      </c>
      <c r="D88" s="147"/>
      <c r="E88" s="147">
        <v>5000</v>
      </c>
      <c r="F88" s="147"/>
      <c r="G88" s="147"/>
      <c r="H88" s="147"/>
      <c r="I88" s="147"/>
      <c r="J88" s="147"/>
      <c r="K88" s="147"/>
      <c r="L88" s="147"/>
      <c r="M88" s="147"/>
      <c r="N88" s="147"/>
      <c r="O88" s="147"/>
      <c r="P88" s="147"/>
      <c r="Q88" s="147"/>
      <c r="R88" s="516">
        <f t="shared" si="21"/>
        <v>5000</v>
      </c>
      <c r="S88" s="148"/>
      <c r="T88" s="148"/>
      <c r="U88" s="143"/>
    </row>
    <row r="89" spans="1:21" s="144" customFormat="1">
      <c r="A89" s="145" t="s">
        <v>773</v>
      </c>
      <c r="B89" s="146">
        <f t="shared" si="20"/>
        <v>25000</v>
      </c>
      <c r="C89" s="147">
        <v>25000</v>
      </c>
      <c r="D89" s="147"/>
      <c r="E89" s="147">
        <v>25000</v>
      </c>
      <c r="F89" s="147"/>
      <c r="G89" s="147"/>
      <c r="H89" s="147"/>
      <c r="I89" s="147"/>
      <c r="J89" s="147"/>
      <c r="K89" s="147"/>
      <c r="L89" s="147"/>
      <c r="M89" s="147"/>
      <c r="N89" s="147"/>
      <c r="O89" s="147"/>
      <c r="P89" s="147"/>
      <c r="Q89" s="147"/>
      <c r="R89" s="516">
        <f t="shared" si="21"/>
        <v>25000</v>
      </c>
      <c r="S89" s="147">
        <v>25000</v>
      </c>
      <c r="T89" s="147"/>
      <c r="U89" s="143"/>
    </row>
    <row r="90" spans="1:21" s="144" customFormat="1">
      <c r="A90" s="145" t="s">
        <v>774</v>
      </c>
      <c r="B90" s="146">
        <f t="shared" si="20"/>
        <v>15000</v>
      </c>
      <c r="C90" s="147">
        <v>15000</v>
      </c>
      <c r="D90" s="147"/>
      <c r="E90" s="147">
        <v>15000</v>
      </c>
      <c r="F90" s="147"/>
      <c r="G90" s="147"/>
      <c r="H90" s="147"/>
      <c r="I90" s="147"/>
      <c r="J90" s="147"/>
      <c r="K90" s="147"/>
      <c r="L90" s="147"/>
      <c r="M90" s="147"/>
      <c r="N90" s="147"/>
      <c r="O90" s="147"/>
      <c r="P90" s="147"/>
      <c r="Q90" s="147"/>
      <c r="R90" s="516">
        <f t="shared" si="21"/>
        <v>15000</v>
      </c>
      <c r="S90" s="147">
        <v>15000</v>
      </c>
      <c r="T90" s="147"/>
      <c r="U90" s="143"/>
    </row>
    <row r="91" spans="1:21" s="144" customFormat="1">
      <c r="A91" s="145" t="s">
        <v>372</v>
      </c>
      <c r="B91" s="146">
        <f t="shared" si="20"/>
        <v>55000</v>
      </c>
      <c r="C91" s="147">
        <v>55000</v>
      </c>
      <c r="D91" s="147"/>
      <c r="E91" s="147">
        <v>55000</v>
      </c>
      <c r="F91" s="147"/>
      <c r="G91" s="147"/>
      <c r="H91" s="147"/>
      <c r="I91" s="147"/>
      <c r="J91" s="147"/>
      <c r="K91" s="147"/>
      <c r="L91" s="147"/>
      <c r="M91" s="147"/>
      <c r="N91" s="147"/>
      <c r="O91" s="147"/>
      <c r="P91" s="147"/>
      <c r="Q91" s="147"/>
      <c r="R91" s="516">
        <f t="shared" si="21"/>
        <v>55000</v>
      </c>
      <c r="S91" s="147">
        <v>15000</v>
      </c>
      <c r="T91" s="147"/>
      <c r="U91" s="143"/>
    </row>
    <row r="92" spans="1:21" s="144" customFormat="1">
      <c r="A92" s="283" t="s">
        <v>1212</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9" t="s">
        <v>2723</v>
      </c>
      <c r="B93" s="146">
        <f t="shared" si="20"/>
        <v>64709</v>
      </c>
      <c r="C93" s="147">
        <v>64709</v>
      </c>
      <c r="D93" s="147"/>
      <c r="E93" s="147">
        <v>64709</v>
      </c>
      <c r="F93" s="147"/>
      <c r="G93" s="147"/>
      <c r="H93" s="147"/>
      <c r="I93" s="147"/>
      <c r="J93" s="147"/>
      <c r="K93" s="147"/>
      <c r="L93" s="147"/>
      <c r="M93" s="147"/>
      <c r="N93" s="147"/>
      <c r="O93" s="147"/>
      <c r="P93" s="147"/>
      <c r="Q93" s="147"/>
      <c r="R93" s="516">
        <f t="shared" si="21"/>
        <v>64709</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1047956</v>
      </c>
      <c r="C96" s="146">
        <f t="shared" ref="C96:R96" si="22">SUM(C83:C95)</f>
        <v>1037825</v>
      </c>
      <c r="D96" s="146">
        <f t="shared" si="22"/>
        <v>10131</v>
      </c>
      <c r="E96" s="146">
        <f t="shared" si="22"/>
        <v>1037825</v>
      </c>
      <c r="F96" s="146">
        <f t="shared" si="22"/>
        <v>0</v>
      </c>
      <c r="G96" s="146">
        <f t="shared" si="22"/>
        <v>0</v>
      </c>
      <c r="H96" s="146">
        <f t="shared" si="22"/>
        <v>0</v>
      </c>
      <c r="I96" s="146">
        <f t="shared" si="22"/>
        <v>0</v>
      </c>
      <c r="J96" s="146">
        <f t="shared" si="22"/>
        <v>0</v>
      </c>
      <c r="K96" s="146">
        <f t="shared" si="22"/>
        <v>10131</v>
      </c>
      <c r="L96" s="146">
        <f t="shared" si="22"/>
        <v>0</v>
      </c>
      <c r="M96" s="146">
        <f t="shared" si="22"/>
        <v>0</v>
      </c>
      <c r="N96" s="146">
        <f t="shared" si="22"/>
        <v>0</v>
      </c>
      <c r="O96" s="146">
        <f t="shared" si="22"/>
        <v>0</v>
      </c>
      <c r="P96" s="146">
        <f t="shared" si="22"/>
        <v>0</v>
      </c>
      <c r="Q96" s="146">
        <f t="shared" si="22"/>
        <v>0</v>
      </c>
      <c r="R96" s="342">
        <f t="shared" si="22"/>
        <v>1047956</v>
      </c>
      <c r="S96" s="150">
        <f>SUM(S84:S87,S89:S95)</f>
        <v>895000</v>
      </c>
      <c r="T96" s="146">
        <f>SUM(T84:T87,T89:T95)</f>
        <v>0</v>
      </c>
      <c r="U96" s="143"/>
    </row>
    <row r="97" spans="1:21" s="144" customFormat="1">
      <c r="A97" s="149" t="s">
        <v>776</v>
      </c>
      <c r="B97" s="146">
        <f>SUM(C97:D97)</f>
        <v>21583266</v>
      </c>
      <c r="C97" s="146">
        <f t="shared" ref="C97:R97" si="23">SUM(C63+C70+C77+C81+C96)</f>
        <v>21419171</v>
      </c>
      <c r="D97" s="146">
        <f t="shared" si="23"/>
        <v>164095</v>
      </c>
      <c r="E97" s="146">
        <f t="shared" si="23"/>
        <v>9629712</v>
      </c>
      <c r="F97" s="146">
        <f t="shared" si="23"/>
        <v>1729312</v>
      </c>
      <c r="G97" s="146">
        <f t="shared" si="23"/>
        <v>9060147</v>
      </c>
      <c r="H97" s="146">
        <f t="shared" si="23"/>
        <v>0</v>
      </c>
      <c r="I97" s="146">
        <f t="shared" si="23"/>
        <v>0</v>
      </c>
      <c r="J97" s="146">
        <f t="shared" si="23"/>
        <v>1000000</v>
      </c>
      <c r="K97" s="146">
        <f t="shared" si="23"/>
        <v>164095</v>
      </c>
      <c r="L97" s="146">
        <f t="shared" si="23"/>
        <v>0</v>
      </c>
      <c r="M97" s="146">
        <f t="shared" si="23"/>
        <v>0</v>
      </c>
      <c r="N97" s="146">
        <f t="shared" si="23"/>
        <v>0</v>
      </c>
      <c r="O97" s="146">
        <f t="shared" si="23"/>
        <v>0</v>
      </c>
      <c r="P97" s="146">
        <f t="shared" si="23"/>
        <v>0</v>
      </c>
      <c r="Q97" s="146">
        <f t="shared" si="23"/>
        <v>0</v>
      </c>
      <c r="R97" s="146">
        <f t="shared" si="23"/>
        <v>21583266</v>
      </c>
      <c r="S97" s="146">
        <f>SUM(S63+S70+S81+S96)</f>
        <v>20097498</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3005012</v>
      </c>
      <c r="C99" s="979">
        <f>3005012</f>
        <v>3005012</v>
      </c>
      <c r="D99" s="979"/>
      <c r="E99" s="979">
        <v>187384</v>
      </c>
      <c r="F99" s="147">
        <v>1570205</v>
      </c>
      <c r="G99" s="147">
        <v>96311</v>
      </c>
      <c r="H99" s="147"/>
      <c r="I99" s="147">
        <v>1151112</v>
      </c>
      <c r="J99" s="147"/>
      <c r="K99" s="147"/>
      <c r="L99" s="147"/>
      <c r="M99" s="147"/>
      <c r="N99" s="147"/>
      <c r="O99" s="147"/>
      <c r="P99" s="147"/>
      <c r="Q99" s="147"/>
      <c r="R99" s="516">
        <f>SUM(E99:Q99)</f>
        <v>3005012</v>
      </c>
      <c r="S99" s="147">
        <v>3005012</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3005012</v>
      </c>
      <c r="C104" s="146">
        <f>SUM(C99:C103)</f>
        <v>3005012</v>
      </c>
      <c r="D104" s="146">
        <f t="shared" ref="D104:T104" si="24">SUM(D99:D103)</f>
        <v>0</v>
      </c>
      <c r="E104" s="146">
        <f t="shared" si="24"/>
        <v>187384</v>
      </c>
      <c r="F104" s="146">
        <f t="shared" si="24"/>
        <v>1570205</v>
      </c>
      <c r="G104" s="146">
        <f t="shared" si="24"/>
        <v>96311</v>
      </c>
      <c r="H104" s="146">
        <f t="shared" si="24"/>
        <v>0</v>
      </c>
      <c r="I104" s="146">
        <f t="shared" si="24"/>
        <v>1151112</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3005012</v>
      </c>
      <c r="S104" s="150">
        <f t="shared" si="24"/>
        <v>3005012</v>
      </c>
      <c r="T104" s="150">
        <f t="shared" si="24"/>
        <v>0</v>
      </c>
      <c r="U104" s="143"/>
    </row>
    <row r="105" spans="1:21" s="144" customFormat="1">
      <c r="A105" s="149" t="s">
        <v>781</v>
      </c>
      <c r="B105" s="150">
        <f>SUM(C105:D105)</f>
        <v>24588278</v>
      </c>
      <c r="C105" s="150">
        <f t="shared" ref="C105:R105" si="25">SUM(C97+C104)</f>
        <v>24424183</v>
      </c>
      <c r="D105" s="150">
        <f t="shared" si="25"/>
        <v>164095</v>
      </c>
      <c r="E105" s="150">
        <f t="shared" si="25"/>
        <v>9817096</v>
      </c>
      <c r="F105" s="150">
        <f t="shared" si="25"/>
        <v>3299517</v>
      </c>
      <c r="G105" s="150">
        <f t="shared" si="25"/>
        <v>9156458</v>
      </c>
      <c r="H105" s="150">
        <f t="shared" si="25"/>
        <v>0</v>
      </c>
      <c r="I105" s="150">
        <f t="shared" si="25"/>
        <v>1151112</v>
      </c>
      <c r="J105" s="150">
        <f t="shared" si="25"/>
        <v>1000000</v>
      </c>
      <c r="K105" s="150">
        <f t="shared" si="25"/>
        <v>164095</v>
      </c>
      <c r="L105" s="150">
        <f t="shared" si="25"/>
        <v>0</v>
      </c>
      <c r="M105" s="150">
        <f t="shared" si="25"/>
        <v>0</v>
      </c>
      <c r="N105" s="150">
        <f t="shared" si="25"/>
        <v>0</v>
      </c>
      <c r="O105" s="150">
        <f t="shared" si="25"/>
        <v>0</v>
      </c>
      <c r="P105" s="150">
        <f t="shared" si="25"/>
        <v>0</v>
      </c>
      <c r="Q105" s="150">
        <f t="shared" si="25"/>
        <v>0</v>
      </c>
      <c r="R105" s="342">
        <f t="shared" si="25"/>
        <v>24588278</v>
      </c>
      <c r="S105" s="150">
        <f>S97+S104</f>
        <v>23102510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23102510</v>
      </c>
      <c r="T107" s="150">
        <f>T105+T106</f>
        <v>0</v>
      </c>
    </row>
    <row r="108" spans="1:21" s="189" customFormat="1">
      <c r="A108" s="162" t="s">
        <v>880</v>
      </c>
      <c r="B108" s="157"/>
      <c r="C108" s="157"/>
      <c r="D108" s="157"/>
      <c r="E108" s="301">
        <f>Application!AO640</f>
        <v>9817096</v>
      </c>
      <c r="F108" s="301">
        <f>Application!AO627</f>
        <v>3299517</v>
      </c>
      <c r="G108" s="301">
        <f>Application!AO628</f>
        <v>9156458</v>
      </c>
      <c r="H108" s="301">
        <f>Application!AO629</f>
        <v>0</v>
      </c>
      <c r="I108" s="301">
        <f>Application!AO630</f>
        <v>1151112</v>
      </c>
      <c r="J108" s="301">
        <f>Application!AO631</f>
        <v>1000000</v>
      </c>
      <c r="K108" s="301">
        <f>Application!AO632</f>
        <v>164095</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3" t="s">
        <v>991</v>
      </c>
      <c r="E122" s="1863"/>
      <c r="F122" s="1863"/>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5" t="s">
        <v>1225</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993</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994</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0"/>
      <c r="E128" s="1860"/>
      <c r="F128" s="1860"/>
      <c r="G128" s="1860"/>
      <c r="H128" s="1860"/>
      <c r="I128" s="117"/>
      <c r="J128" s="1861"/>
      <c r="K128" s="1861"/>
      <c r="L128" s="117"/>
      <c r="M128" s="117"/>
      <c r="N128" s="117"/>
      <c r="O128" s="117"/>
      <c r="P128" s="117"/>
      <c r="Q128" s="117"/>
      <c r="R128" s="117"/>
      <c r="S128" s="117"/>
      <c r="T128" s="324"/>
      <c r="U128" s="326"/>
    </row>
    <row r="129" spans="1:21" ht="12.75">
      <c r="A129" s="117" t="s">
        <v>300</v>
      </c>
      <c r="B129" s="333"/>
      <c r="C129" s="117"/>
      <c r="D129" s="1862" t="s">
        <v>998</v>
      </c>
      <c r="E129" s="1862"/>
      <c r="F129" s="1862"/>
      <c r="G129" s="1862"/>
      <c r="H129" s="1862"/>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3"/>
      <c r="E131" s="1813"/>
      <c r="F131" s="1813"/>
      <c r="G131" s="1813"/>
      <c r="H131" s="1813"/>
      <c r="I131" s="117"/>
      <c r="J131" s="1813"/>
      <c r="K131" s="1813"/>
      <c r="L131" s="1813"/>
      <c r="M131" s="1813"/>
      <c r="N131" s="117"/>
      <c r="O131" s="117"/>
      <c r="P131" s="117"/>
      <c r="Q131" s="117"/>
      <c r="R131" s="117"/>
      <c r="S131" s="117"/>
      <c r="T131" s="324"/>
      <c r="U131" s="326"/>
    </row>
    <row r="132" spans="1:21" ht="12" customHeight="1">
      <c r="A132" s="336"/>
      <c r="B132" s="117"/>
      <c r="C132" s="117"/>
      <c r="D132" s="1866" t="s">
        <v>1001</v>
      </c>
      <c r="E132" s="1866"/>
      <c r="F132" s="1866"/>
      <c r="G132" s="1866"/>
      <c r="H132" s="1866"/>
      <c r="I132" s="117"/>
      <c r="J132" s="1866" t="s">
        <v>1002</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0"/>
      <c r="C138" s="1860"/>
      <c r="D138" s="328"/>
      <c r="E138" s="1861"/>
      <c r="F138" s="1861"/>
      <c r="G138" s="117"/>
      <c r="H138" s="117"/>
      <c r="I138" s="117"/>
      <c r="J138" s="117"/>
      <c r="K138" s="117"/>
      <c r="L138" s="117"/>
      <c r="M138" s="117"/>
      <c r="N138" s="117"/>
      <c r="O138" s="117"/>
      <c r="P138" s="117"/>
      <c r="Q138" s="117"/>
      <c r="R138" s="117"/>
      <c r="S138" s="117"/>
      <c r="T138" s="330"/>
      <c r="U138" s="331"/>
    </row>
    <row r="139" spans="1:21" ht="12.75">
      <c r="A139" s="1864" t="s">
        <v>1005</v>
      </c>
      <c r="B139" s="1864"/>
      <c r="C139" s="1864"/>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3" scale="81"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66" zoomScaleNormal="166" workbookViewId="0">
      <selection activeCell="J108" sqref="A1:J108"/>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0" t="s">
        <v>1228</v>
      </c>
      <c r="B1" s="1871"/>
      <c r="C1" s="1871"/>
      <c r="D1" s="1871"/>
      <c r="E1" s="1871"/>
      <c r="F1" s="1871"/>
      <c r="G1" s="1871"/>
      <c r="H1" s="1871"/>
      <c r="I1" s="1871"/>
      <c r="J1" s="1872"/>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77600</v>
      </c>
      <c r="C4" s="362"/>
      <c r="D4" s="362">
        <v>77600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77600</v>
      </c>
      <c r="C8" s="361">
        <f>SUM(C4:C7)</f>
        <v>0</v>
      </c>
      <c r="D8" s="361">
        <f>SUM(D4:D7)</f>
        <v>77600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77600</v>
      </c>
      <c r="C12" s="361">
        <f>SUM(C8+C11)</f>
        <v>0</v>
      </c>
      <c r="D12" s="361">
        <f>SUM(D8+D11)</f>
        <v>77600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436500</v>
      </c>
      <c r="C29" s="362"/>
      <c r="D29" s="362">
        <v>436500</v>
      </c>
      <c r="E29" s="361">
        <f>'Sources and Uses Budget'!S29</f>
        <v>436500</v>
      </c>
      <c r="F29" s="362"/>
      <c r="G29" s="362">
        <v>436500</v>
      </c>
      <c r="H29" s="361">
        <f>'Sources and Uses Budget'!T29</f>
        <v>0</v>
      </c>
      <c r="I29" s="362"/>
      <c r="J29" s="362"/>
      <c r="K29" s="359"/>
    </row>
    <row r="30" spans="1:11" s="360" customFormat="1">
      <c r="A30" s="145" t="s">
        <v>600</v>
      </c>
      <c r="B30" s="361">
        <f>'Sources and Uses Budget'!C30</f>
        <v>12621656</v>
      </c>
      <c r="C30" s="362"/>
      <c r="D30" s="362">
        <v>12621656</v>
      </c>
      <c r="E30" s="361">
        <f>'Sources and Uses Budget'!S30</f>
        <v>12621656</v>
      </c>
      <c r="F30" s="362"/>
      <c r="G30" s="362">
        <v>12621656</v>
      </c>
      <c r="H30" s="361">
        <f>'Sources and Uses Budget'!T30</f>
        <v>0</v>
      </c>
      <c r="I30" s="362"/>
      <c r="J30" s="362"/>
      <c r="K30" s="359"/>
    </row>
    <row r="31" spans="1:11" s="360" customFormat="1">
      <c r="A31" s="145" t="s">
        <v>601</v>
      </c>
      <c r="B31" s="361">
        <f>'Sources and Uses Budget'!C31</f>
        <v>734049</v>
      </c>
      <c r="C31" s="362"/>
      <c r="D31" s="362">
        <v>734049</v>
      </c>
      <c r="E31" s="361">
        <f>'Sources and Uses Budget'!S31</f>
        <v>734049</v>
      </c>
      <c r="F31" s="362"/>
      <c r="G31" s="362">
        <v>734049</v>
      </c>
      <c r="H31" s="361">
        <f>'Sources and Uses Budget'!T31</f>
        <v>0</v>
      </c>
      <c r="I31" s="362"/>
      <c r="J31" s="362"/>
      <c r="K31" s="359"/>
    </row>
    <row r="32" spans="1:11" s="360" customFormat="1">
      <c r="A32" s="145" t="s">
        <v>137</v>
      </c>
      <c r="B32" s="361">
        <f>'Sources and Uses Budget'!C32</f>
        <v>505271</v>
      </c>
      <c r="C32" s="362"/>
      <c r="D32" s="362">
        <v>505271</v>
      </c>
      <c r="E32" s="361">
        <f>'Sources and Uses Budget'!S32</f>
        <v>505271</v>
      </c>
      <c r="F32" s="362"/>
      <c r="G32" s="362">
        <v>505271</v>
      </c>
      <c r="H32" s="361">
        <f>'Sources and Uses Budget'!T32</f>
        <v>0</v>
      </c>
      <c r="I32" s="362"/>
      <c r="J32" s="362"/>
      <c r="K32" s="359"/>
    </row>
    <row r="33" spans="1:11" s="360" customFormat="1">
      <c r="A33" s="145" t="s">
        <v>138</v>
      </c>
      <c r="B33" s="361">
        <f>'Sources and Uses Budget'!C33</f>
        <v>600000</v>
      </c>
      <c r="C33" s="362"/>
      <c r="D33" s="362">
        <v>600000</v>
      </c>
      <c r="E33" s="361">
        <f>'Sources and Uses Budget'!S33</f>
        <v>600000</v>
      </c>
      <c r="F33" s="362"/>
      <c r="G33" s="362">
        <v>600000</v>
      </c>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14897476</v>
      </c>
      <c r="C38" s="361">
        <f>SUM(C29:C37)</f>
        <v>0</v>
      </c>
      <c r="D38" s="361">
        <f>SUM(D29:D37)</f>
        <v>14897476</v>
      </c>
      <c r="E38" s="361">
        <f>'Sources and Uses Budget'!S38</f>
        <v>14897476</v>
      </c>
      <c r="F38" s="367">
        <f>SUM(F29:F37)</f>
        <v>0</v>
      </c>
      <c r="G38" s="367">
        <f>SUM(G29:G37)</f>
        <v>14897476</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345000</v>
      </c>
      <c r="C40" s="362"/>
      <c r="D40" s="362">
        <v>345000</v>
      </c>
      <c r="E40" s="361">
        <f>'Sources and Uses Budget'!S40</f>
        <v>345000</v>
      </c>
      <c r="F40" s="362"/>
      <c r="G40" s="362">
        <v>345000</v>
      </c>
      <c r="H40" s="361">
        <f>'Sources and Uses Budget'!T40</f>
        <v>0</v>
      </c>
      <c r="I40" s="362"/>
      <c r="J40" s="362"/>
      <c r="K40" s="359"/>
    </row>
    <row r="41" spans="1:11" s="360" customFormat="1">
      <c r="A41" s="364" t="s">
        <v>146</v>
      </c>
      <c r="B41" s="361">
        <f>'Sources and Uses Budget'!C41</f>
        <v>25000</v>
      </c>
      <c r="C41" s="362"/>
      <c r="D41" s="362">
        <v>25000</v>
      </c>
      <c r="E41" s="361">
        <f>'Sources and Uses Budget'!S41</f>
        <v>25000</v>
      </c>
      <c r="F41" s="362"/>
      <c r="G41" s="362">
        <v>25000</v>
      </c>
      <c r="H41" s="361">
        <f>'Sources and Uses Budget'!T41</f>
        <v>0</v>
      </c>
      <c r="I41" s="362"/>
      <c r="J41" s="362"/>
      <c r="K41" s="359"/>
    </row>
    <row r="42" spans="1:11" s="360" customFormat="1">
      <c r="A42" s="365" t="s">
        <v>147</v>
      </c>
      <c r="B42" s="361">
        <f>'Sources and Uses Budget'!C42</f>
        <v>370000</v>
      </c>
      <c r="C42" s="361">
        <f>SUM(C39:C41)</f>
        <v>0</v>
      </c>
      <c r="D42" s="361">
        <f>SUM(D39:D41)</f>
        <v>370000</v>
      </c>
      <c r="E42" s="361">
        <f>'Sources and Uses Budget'!S42</f>
        <v>370000</v>
      </c>
      <c r="F42" s="367">
        <f>SUM(F40:F41)</f>
        <v>0</v>
      </c>
      <c r="G42" s="367">
        <f>SUM(G40:G41)</f>
        <v>370000</v>
      </c>
      <c r="H42" s="361">
        <f>'Sources and Uses Budget'!T42</f>
        <v>0</v>
      </c>
      <c r="I42" s="367">
        <f>SUM(I40:I41)</f>
        <v>0</v>
      </c>
      <c r="J42" s="367">
        <f>SUM(J40:J41)</f>
        <v>0</v>
      </c>
      <c r="K42" s="359"/>
    </row>
    <row r="43" spans="1:11" s="360" customFormat="1">
      <c r="A43" s="365" t="s">
        <v>148</v>
      </c>
      <c r="B43" s="361">
        <f>'Sources and Uses Budget'!C43</f>
        <v>255000</v>
      </c>
      <c r="C43" s="362"/>
      <c r="D43" s="362">
        <v>255000</v>
      </c>
      <c r="E43" s="361">
        <f>'Sources and Uses Budget'!S43</f>
        <v>255000</v>
      </c>
      <c r="F43" s="362"/>
      <c r="G43" s="362">
        <v>255000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1291851</v>
      </c>
      <c r="C45" s="362"/>
      <c r="D45" s="362">
        <v>1291851</v>
      </c>
      <c r="E45" s="361">
        <f>'Sources and Uses Budget'!S45</f>
        <v>800000</v>
      </c>
      <c r="F45" s="362"/>
      <c r="G45" s="362">
        <v>800000</v>
      </c>
      <c r="H45" s="361">
        <f>'Sources and Uses Budget'!T45</f>
        <v>0</v>
      </c>
      <c r="I45" s="362"/>
      <c r="J45" s="362"/>
      <c r="K45" s="359"/>
    </row>
    <row r="46" spans="1:11" s="360" customFormat="1">
      <c r="A46" s="364" t="s">
        <v>151</v>
      </c>
      <c r="B46" s="361">
        <f>'Sources and Uses Budget'!C46</f>
        <v>240455</v>
      </c>
      <c r="C46" s="362"/>
      <c r="D46" s="362">
        <v>240455</v>
      </c>
      <c r="E46" s="361">
        <f>'Sources and Uses Budget'!S46</f>
        <v>120000</v>
      </c>
      <c r="F46" s="362"/>
      <c r="G46" s="362">
        <v>120000</v>
      </c>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150002</v>
      </c>
      <c r="C48" s="362"/>
      <c r="D48" s="362">
        <v>150002</v>
      </c>
      <c r="E48" s="361">
        <f>'Sources and Uses Budget'!S48</f>
        <v>150002</v>
      </c>
      <c r="F48" s="362"/>
      <c r="G48" s="362">
        <v>150002</v>
      </c>
      <c r="H48" s="361">
        <f>'Sources and Uses Budget'!T48</f>
        <v>0</v>
      </c>
      <c r="I48" s="362"/>
      <c r="J48" s="362"/>
      <c r="K48" s="359"/>
    </row>
    <row r="49" spans="1:11" s="360" customFormat="1">
      <c r="A49" s="283" t="s">
        <v>57</v>
      </c>
      <c r="B49" s="361">
        <f>'Sources and Uses Budget'!C49</f>
        <v>110000</v>
      </c>
      <c r="C49" s="362"/>
      <c r="D49" s="362">
        <v>110000</v>
      </c>
      <c r="E49" s="361">
        <f>'Sources and Uses Budget'!S49</f>
        <v>55000</v>
      </c>
      <c r="F49" s="362"/>
      <c r="G49" s="362">
        <v>55000</v>
      </c>
      <c r="H49" s="361">
        <f>'Sources and Uses Budget'!T49</f>
        <v>0</v>
      </c>
      <c r="I49" s="362"/>
      <c r="J49" s="362"/>
      <c r="K49" s="359"/>
    </row>
    <row r="50" spans="1:11" s="360" customFormat="1">
      <c r="A50" s="364" t="s">
        <v>156</v>
      </c>
      <c r="B50" s="361">
        <f>'Sources and Uses Budget'!C50</f>
        <v>60000</v>
      </c>
      <c r="C50" s="362"/>
      <c r="D50" s="362">
        <v>60000</v>
      </c>
      <c r="E50" s="361">
        <f>'Sources and Uses Budget'!S50</f>
        <v>30000</v>
      </c>
      <c r="F50" s="362"/>
      <c r="G50" s="362">
        <v>30000</v>
      </c>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Builders Risk</v>
      </c>
      <c r="B53" s="361">
        <f>'Sources and Uses Budget'!C53</f>
        <v>285003</v>
      </c>
      <c r="C53" s="362"/>
      <c r="D53" s="362">
        <v>285003</v>
      </c>
      <c r="E53" s="361">
        <f>'Sources and Uses Budget'!S53</f>
        <v>285003</v>
      </c>
      <c r="F53" s="362"/>
      <c r="G53" s="362">
        <v>285003</v>
      </c>
      <c r="H53" s="361">
        <f>'Sources and Uses Budget'!T53</f>
        <v>0</v>
      </c>
      <c r="I53" s="362"/>
      <c r="J53" s="362"/>
      <c r="K53" s="359"/>
    </row>
    <row r="54" spans="1:11" s="369" customFormat="1">
      <c r="A54" s="365" t="s">
        <v>157</v>
      </c>
      <c r="B54" s="361">
        <f>'Sources and Uses Budget'!C54</f>
        <v>2137311</v>
      </c>
      <c r="C54" s="367">
        <f>SUM(C45:C53)</f>
        <v>0</v>
      </c>
      <c r="D54" s="367">
        <f>SUM(D45:D53)</f>
        <v>2137311</v>
      </c>
      <c r="E54" s="361">
        <f>'Sources and Uses Budget'!S54</f>
        <v>1440005</v>
      </c>
      <c r="F54" s="367">
        <f>SUM(F45:F53)</f>
        <v>0</v>
      </c>
      <c r="G54" s="367">
        <f>SUM(G45:G53)</f>
        <v>1440005</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32995</v>
      </c>
      <c r="C56" s="362"/>
      <c r="D56" s="362">
        <v>32995</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32995</v>
      </c>
      <c r="C62" s="361">
        <f>SUM(C56:C61)</f>
        <v>0</v>
      </c>
      <c r="D62" s="361">
        <f>SUM(D56:D61)</f>
        <v>32995</v>
      </c>
      <c r="E62" s="363"/>
      <c r="F62" s="363"/>
      <c r="G62" s="363"/>
      <c r="H62" s="363"/>
      <c r="I62" s="363"/>
      <c r="J62" s="363"/>
      <c r="K62" s="359"/>
    </row>
    <row r="63" spans="1:11" s="360" customFormat="1">
      <c r="A63" s="370" t="s">
        <v>302</v>
      </c>
      <c r="B63" s="361">
        <f>'Sources and Uses Budget'!C63</f>
        <v>17770382</v>
      </c>
      <c r="C63" s="361">
        <f>SUM(C8+C11+C13+C14+C15+C26+C27+C38+C42+C43+C54+C62)</f>
        <v>0</v>
      </c>
      <c r="D63" s="361">
        <f>SUM(D8+D11+D13+D14+D15+D26+D27+D38+D42+D43+D54+D62)</f>
        <v>17770382</v>
      </c>
      <c r="E63" s="361">
        <f>'Sources and Uses Budget'!S63</f>
        <v>16962481</v>
      </c>
      <c r="F63" s="361">
        <f>SUM(F10+F13+F14+F15+F26+F27+F38+F42+F43+F54)</f>
        <v>0</v>
      </c>
      <c r="G63" s="361">
        <f>SUM(G10+G13+G14+G15+G26+G27+G38+G42+G43+G54)</f>
        <v>16962481</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50000</v>
      </c>
      <c r="C65" s="362"/>
      <c r="D65" s="362">
        <v>50000</v>
      </c>
      <c r="E65" s="361">
        <f>'Sources and Uses Budget'!S65</f>
        <v>50000</v>
      </c>
      <c r="F65" s="362"/>
      <c r="G65" s="362">
        <v>50000</v>
      </c>
      <c r="H65" s="361">
        <f>'Sources and Uses Budget'!T65</f>
        <v>0</v>
      </c>
      <c r="I65" s="362"/>
      <c r="J65" s="362"/>
      <c r="K65" s="359"/>
    </row>
    <row r="66" spans="1:11" s="360" customFormat="1" ht="24">
      <c r="A66" s="283" t="s">
        <v>1642</v>
      </c>
      <c r="B66" s="361">
        <f>'Sources and Uses Budget'!C66</f>
        <v>250000</v>
      </c>
      <c r="C66" s="362"/>
      <c r="D66" s="362">
        <v>250000</v>
      </c>
      <c r="E66" s="361">
        <f>'Sources and Uses Budget'!S66</f>
        <v>250000</v>
      </c>
      <c r="F66" s="362"/>
      <c r="G66" s="362">
        <v>250000</v>
      </c>
      <c r="H66" s="361">
        <f>'Sources and Uses Budget'!T66</f>
        <v>0</v>
      </c>
      <c r="I66" s="362"/>
      <c r="J66" s="362"/>
      <c r="K66" s="359"/>
    </row>
    <row r="67" spans="1:11" s="360" customFormat="1" ht="24">
      <c r="A67" s="283" t="s">
        <v>1643</v>
      </c>
      <c r="B67" s="361">
        <f>'Sources and Uses Budget'!C67</f>
        <v>250000</v>
      </c>
      <c r="C67" s="362"/>
      <c r="D67" s="362">
        <v>250000</v>
      </c>
      <c r="E67" s="361">
        <f>'Sources and Uses Budget'!S67</f>
        <v>250000</v>
      </c>
      <c r="F67" s="362"/>
      <c r="G67" s="362">
        <v>250000</v>
      </c>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Borrower Counsel</v>
      </c>
      <c r="B69" s="361">
        <f>'Sources and Uses Budget'!C69</f>
        <v>75000</v>
      </c>
      <c r="C69" s="362"/>
      <c r="D69" s="362">
        <v>75000</v>
      </c>
      <c r="E69" s="361">
        <f>'Sources and Uses Budget'!S69</f>
        <v>75000</v>
      </c>
      <c r="F69" s="362"/>
      <c r="G69" s="362">
        <v>75000</v>
      </c>
      <c r="H69" s="361">
        <f>'Sources and Uses Budget'!T69</f>
        <v>0</v>
      </c>
      <c r="I69" s="362"/>
      <c r="J69" s="362"/>
      <c r="K69" s="359"/>
    </row>
    <row r="70" spans="1:11" s="360" customFormat="1">
      <c r="A70" s="365" t="s">
        <v>602</v>
      </c>
      <c r="B70" s="361">
        <f>'Sources and Uses Budget'!C70</f>
        <v>625000</v>
      </c>
      <c r="C70" s="361">
        <f>SUM(C64:C69)</f>
        <v>0</v>
      </c>
      <c r="D70" s="361">
        <f>SUM(D64:D69)</f>
        <v>625000</v>
      </c>
      <c r="E70" s="361">
        <f>'Sources and Uses Budget'!S70</f>
        <v>625000</v>
      </c>
      <c r="F70" s="367">
        <f>SUM(F65:F69)</f>
        <v>0</v>
      </c>
      <c r="G70" s="367">
        <f>SUM(G65:G69)</f>
        <v>625000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198826</v>
      </c>
      <c r="C75" s="362"/>
      <c r="D75" s="362">
        <v>198826</v>
      </c>
      <c r="E75" s="363"/>
      <c r="F75" s="363"/>
      <c r="G75" s="363"/>
      <c r="H75" s="363"/>
      <c r="I75" s="363"/>
      <c r="J75" s="363"/>
      <c r="K75" s="359"/>
    </row>
    <row r="76" spans="1:11" s="360" customFormat="1">
      <c r="A76" s="364" t="str">
        <f>'Sources and Uses Budget'!$A76</f>
        <v>Other: (Transition Reserve)</v>
      </c>
      <c r="B76" s="361">
        <f>'Sources and Uses Budget'!C76</f>
        <v>85795</v>
      </c>
      <c r="C76" s="362"/>
      <c r="D76" s="362">
        <v>85795</v>
      </c>
      <c r="E76" s="363"/>
      <c r="F76" s="363"/>
      <c r="G76" s="363"/>
      <c r="H76" s="363"/>
      <c r="I76" s="363"/>
      <c r="J76" s="363"/>
      <c r="K76" s="359"/>
    </row>
    <row r="77" spans="1:11" s="360" customFormat="1">
      <c r="A77" s="365" t="s">
        <v>607</v>
      </c>
      <c r="B77" s="361">
        <f>'Sources and Uses Budget'!C77</f>
        <v>284621</v>
      </c>
      <c r="C77" s="361">
        <f>SUM(C72:C76)</f>
        <v>0</v>
      </c>
      <c r="D77" s="361">
        <f>SUM(D72:D76)</f>
        <v>284621</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1515017</v>
      </c>
      <c r="C79" s="362"/>
      <c r="D79" s="362">
        <v>1515017</v>
      </c>
      <c r="E79" s="361">
        <f>'Sources and Uses Budget'!S79</f>
        <v>1515017</v>
      </c>
      <c r="F79" s="362"/>
      <c r="G79" s="362">
        <v>1515017</v>
      </c>
      <c r="H79" s="361">
        <f>'Sources and Uses Budget'!T79</f>
        <v>0</v>
      </c>
      <c r="I79" s="362"/>
      <c r="J79" s="362"/>
      <c r="K79" s="359"/>
    </row>
    <row r="80" spans="1:11" s="360" customFormat="1">
      <c r="A80" s="364" t="s">
        <v>58</v>
      </c>
      <c r="B80" s="361">
        <f>'Sources and Uses Budget'!C80</f>
        <v>186326</v>
      </c>
      <c r="C80" s="362"/>
      <c r="D80" s="362">
        <v>186326</v>
      </c>
      <c r="E80" s="361">
        <f>'Sources and Uses Budget'!S80</f>
        <v>100000</v>
      </c>
      <c r="F80" s="362"/>
      <c r="G80" s="362">
        <v>100000</v>
      </c>
      <c r="H80" s="361">
        <f>'Sources and Uses Budget'!T80</f>
        <v>0</v>
      </c>
      <c r="I80" s="362"/>
      <c r="J80" s="362"/>
      <c r="K80" s="359"/>
    </row>
    <row r="81" spans="1:11" s="360" customFormat="1">
      <c r="A81" s="365" t="s">
        <v>1210</v>
      </c>
      <c r="B81" s="361">
        <f>'Sources and Uses Budget'!C81</f>
        <v>1701343</v>
      </c>
      <c r="C81" s="361">
        <f>SUM(C79:C80)</f>
        <v>0</v>
      </c>
      <c r="D81" s="361">
        <f>SUM(D79:D80)</f>
        <v>1701343</v>
      </c>
      <c r="E81" s="361">
        <f>'Sources and Uses Budget'!S81</f>
        <v>1615017</v>
      </c>
      <c r="F81" s="361">
        <f>SUM(F79:F80)</f>
        <v>0</v>
      </c>
      <c r="G81" s="361">
        <f>SUM(G79:G80)</f>
        <v>1615017</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33116</v>
      </c>
      <c r="C83" s="362"/>
      <c r="D83" s="362">
        <v>33116</v>
      </c>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148483</v>
      </c>
      <c r="C85" s="362"/>
      <c r="D85" s="362">
        <v>148483</v>
      </c>
      <c r="E85" s="361">
        <f>'Sources and Uses Budget'!S85</f>
        <v>148483</v>
      </c>
      <c r="F85" s="362"/>
      <c r="G85" s="362">
        <v>148483</v>
      </c>
      <c r="H85" s="361">
        <f>'Sources and Uses Budget'!T85</f>
        <v>0</v>
      </c>
      <c r="I85" s="362"/>
      <c r="J85" s="362"/>
      <c r="K85" s="359"/>
    </row>
    <row r="86" spans="1:11" s="360" customFormat="1">
      <c r="A86" s="145" t="s">
        <v>770</v>
      </c>
      <c r="B86" s="361">
        <f>'Sources and Uses Budget'!C86</f>
        <v>200000</v>
      </c>
      <c r="C86" s="362"/>
      <c r="D86" s="362">
        <v>200000</v>
      </c>
      <c r="E86" s="361">
        <f>'Sources and Uses Budget'!S86</f>
        <v>200000</v>
      </c>
      <c r="F86" s="362"/>
      <c r="G86" s="362">
        <v>200000</v>
      </c>
      <c r="H86" s="361">
        <f>'Sources and Uses Budget'!T86</f>
        <v>0</v>
      </c>
      <c r="I86" s="362"/>
      <c r="J86" s="362"/>
      <c r="K86" s="359"/>
    </row>
    <row r="87" spans="1:11" s="360" customFormat="1">
      <c r="A87" s="145" t="s">
        <v>771</v>
      </c>
      <c r="B87" s="361">
        <f>'Sources and Uses Budget'!C87</f>
        <v>491517</v>
      </c>
      <c r="C87" s="362"/>
      <c r="D87" s="362">
        <v>491517</v>
      </c>
      <c r="E87" s="361">
        <f>'Sources and Uses Budget'!S87</f>
        <v>491517</v>
      </c>
      <c r="F87" s="362"/>
      <c r="G87" s="362">
        <v>491517</v>
      </c>
      <c r="H87" s="361">
        <f>'Sources and Uses Budget'!T87</f>
        <v>0</v>
      </c>
      <c r="I87" s="362"/>
      <c r="J87" s="362"/>
      <c r="K87" s="359"/>
    </row>
    <row r="88" spans="1:11" s="360" customFormat="1">
      <c r="A88" s="145" t="s">
        <v>772</v>
      </c>
      <c r="B88" s="361">
        <f>'Sources and Uses Budget'!C88</f>
        <v>5000</v>
      </c>
      <c r="C88" s="362"/>
      <c r="D88" s="362">
        <v>5000</v>
      </c>
      <c r="E88" s="363"/>
      <c r="F88" s="363"/>
      <c r="G88" s="363"/>
      <c r="H88" s="363"/>
      <c r="I88" s="363"/>
      <c r="J88" s="363"/>
      <c r="K88" s="359"/>
    </row>
    <row r="89" spans="1:11" s="360" customFormat="1">
      <c r="A89" s="145" t="s">
        <v>773</v>
      </c>
      <c r="B89" s="361">
        <f>'Sources and Uses Budget'!C89</f>
        <v>25000</v>
      </c>
      <c r="C89" s="362"/>
      <c r="D89" s="362">
        <v>25000</v>
      </c>
      <c r="E89" s="361">
        <f>'Sources and Uses Budget'!S89</f>
        <v>25000</v>
      </c>
      <c r="F89" s="362"/>
      <c r="G89" s="362">
        <v>25000</v>
      </c>
      <c r="H89" s="361">
        <f>'Sources and Uses Budget'!T89</f>
        <v>0</v>
      </c>
      <c r="I89" s="362"/>
      <c r="J89" s="362"/>
      <c r="K89" s="359"/>
    </row>
    <row r="90" spans="1:11" s="360" customFormat="1">
      <c r="A90" s="145" t="s">
        <v>774</v>
      </c>
      <c r="B90" s="361">
        <f>'Sources and Uses Budget'!C90</f>
        <v>15000</v>
      </c>
      <c r="C90" s="362"/>
      <c r="D90" s="362">
        <v>15000</v>
      </c>
      <c r="E90" s="361">
        <f>'Sources and Uses Budget'!S90</f>
        <v>15000</v>
      </c>
      <c r="F90" s="362"/>
      <c r="G90" s="362">
        <v>15000</v>
      </c>
      <c r="H90" s="361">
        <f>'Sources and Uses Budget'!T90</f>
        <v>0</v>
      </c>
      <c r="I90" s="362"/>
      <c r="J90" s="362"/>
      <c r="K90" s="359"/>
    </row>
    <row r="91" spans="1:11" s="360" customFormat="1">
      <c r="A91" s="155" t="s">
        <v>372</v>
      </c>
      <c r="B91" s="361">
        <f>'Sources and Uses Budget'!C91</f>
        <v>55000</v>
      </c>
      <c r="C91" s="362"/>
      <c r="D91" s="362">
        <v>55000</v>
      </c>
      <c r="E91" s="361">
        <f>'Sources and Uses Budget'!S91</f>
        <v>15000</v>
      </c>
      <c r="F91" s="362"/>
      <c r="G91" s="362">
        <v>15000</v>
      </c>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CDLAC fees</v>
      </c>
      <c r="B93" s="361">
        <f>'Sources and Uses Budget'!C93</f>
        <v>64709</v>
      </c>
      <c r="C93" s="362"/>
      <c r="D93" s="362">
        <v>64709</v>
      </c>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1037825</v>
      </c>
      <c r="C96" s="361">
        <f>SUM(C83:C95)</f>
        <v>0</v>
      </c>
      <c r="D96" s="361">
        <f>SUM(D83:D95)</f>
        <v>1037825</v>
      </c>
      <c r="E96" s="361">
        <f>'Sources and Uses Budget'!S96</f>
        <v>895000</v>
      </c>
      <c r="F96" s="367">
        <f>SUM(F84:F87,F89:F95)</f>
        <v>0</v>
      </c>
      <c r="G96" s="367">
        <f>SUM(G84:G87,G89:G95)</f>
        <v>895000</v>
      </c>
      <c r="H96" s="361">
        <f>'Sources and Uses Budget'!T96</f>
        <v>0</v>
      </c>
      <c r="I96" s="361">
        <f>SUM(I84:I87,I89:I95)</f>
        <v>0</v>
      </c>
      <c r="J96" s="361">
        <f>SUM(J84:J87,J89:J95)</f>
        <v>0</v>
      </c>
      <c r="K96" s="359"/>
    </row>
    <row r="97" spans="1:11" s="360" customFormat="1">
      <c r="A97" s="365" t="s">
        <v>1030</v>
      </c>
      <c r="B97" s="361">
        <f>'Sources and Uses Budget'!C97</f>
        <v>21419171</v>
      </c>
      <c r="C97" s="361">
        <f>SUM(C63+C70+C77+C81+C96)</f>
        <v>0</v>
      </c>
      <c r="D97" s="361">
        <f>SUM(D63+D70+D77+D81+D96)</f>
        <v>21419171</v>
      </c>
      <c r="E97" s="361">
        <f>'Sources and Uses Budget'!S97</f>
        <v>20097498</v>
      </c>
      <c r="F97" s="367">
        <f>SUM(+F63+F70+F81+F96)</f>
        <v>0</v>
      </c>
      <c r="G97" s="367">
        <f>SUM(+G63+G70+G81+G96)</f>
        <v>20097498</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3005012</v>
      </c>
      <c r="C99" s="362"/>
      <c r="D99" s="362">
        <v>3005012</v>
      </c>
      <c r="E99" s="361">
        <f>'Sources and Uses Budget'!S99</f>
        <v>3005012</v>
      </c>
      <c r="F99" s="362"/>
      <c r="G99" s="362">
        <v>3005012</v>
      </c>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3005012</v>
      </c>
      <c r="C104" s="361">
        <f>SUM(C99:C103)</f>
        <v>0</v>
      </c>
      <c r="D104" s="361">
        <f>SUM(D99:D103)</f>
        <v>3005012</v>
      </c>
      <c r="E104" s="361">
        <f>'Sources and Uses Budget'!S104</f>
        <v>3005012</v>
      </c>
      <c r="F104" s="367">
        <f>SUM(F99:F103)</f>
        <v>0</v>
      </c>
      <c r="G104" s="367">
        <f>SUM(G99:G103)</f>
        <v>3005012</v>
      </c>
      <c r="H104" s="361">
        <f>'Sources and Uses Budget'!T104</f>
        <v>0</v>
      </c>
      <c r="I104" s="367">
        <f>SUM(I99:I103)</f>
        <v>0</v>
      </c>
      <c r="J104" s="367">
        <f>SUM(J99:J103)</f>
        <v>0</v>
      </c>
      <c r="K104" s="359"/>
    </row>
    <row r="105" spans="1:11" s="360" customFormat="1">
      <c r="A105" s="365" t="s">
        <v>1031</v>
      </c>
      <c r="B105" s="361">
        <f>'Sources and Uses Budget'!C105</f>
        <v>24424183</v>
      </c>
      <c r="C105" s="367">
        <f>SUM(C97+C104)</f>
        <v>0</v>
      </c>
      <c r="D105" s="367">
        <f>SUM(D97+D104)</f>
        <v>24424183</v>
      </c>
      <c r="E105" s="361">
        <f>'Sources and Uses Budget'!S105</f>
        <v>23102510</v>
      </c>
      <c r="F105" s="367">
        <f>F97+F104</f>
        <v>0</v>
      </c>
      <c r="G105" s="367">
        <f>G97+G104</f>
        <v>23102510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23102510</v>
      </c>
      <c r="F107" s="367">
        <f>F105+F106</f>
        <v>0</v>
      </c>
      <c r="G107" s="367">
        <f>G105+G106</f>
        <v>23102510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8"/>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69"/>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8" t="s">
        <v>2457</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2456</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0" t="str">
        <f>IF(Application!H18="","",Application!H18)</f>
        <v>Perkins Place</v>
      </c>
      <c r="M4" s="2311"/>
      <c r="N4" s="2311"/>
      <c r="O4" s="2311"/>
      <c r="P4" s="2311"/>
      <c r="Q4" s="2311"/>
      <c r="R4" s="2311"/>
      <c r="S4" s="2311"/>
      <c r="T4" s="2311"/>
      <c r="U4" s="2311"/>
      <c r="V4" s="2311"/>
      <c r="W4" s="2311"/>
      <c r="X4" s="2311"/>
      <c r="Y4" s="2311"/>
      <c r="Z4" s="2311"/>
      <c r="AA4" s="2311"/>
      <c r="AB4" s="2311"/>
      <c r="AC4" s="2312"/>
      <c r="AD4" s="1190"/>
      <c r="AE4" s="1190"/>
      <c r="AF4" s="2306" t="s">
        <v>2455</v>
      </c>
      <c r="AG4" s="2306"/>
      <c r="AH4" s="2306"/>
      <c r="AI4" s="2306"/>
      <c r="AJ4" s="2306"/>
      <c r="AK4" s="2306"/>
      <c r="AL4" s="2306"/>
      <c r="AM4" s="2306"/>
      <c r="AN4" s="2306"/>
      <c r="AO4" s="2306"/>
      <c r="AP4" s="2307"/>
      <c r="AQ4" s="2308"/>
      <c r="AR4" s="2308"/>
      <c r="AS4" s="2308"/>
      <c r="AT4" s="2308"/>
      <c r="AU4" s="230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6" t="s">
        <v>2454</v>
      </c>
      <c r="AG5" s="2306"/>
      <c r="AH5" s="2306"/>
      <c r="AI5" s="2306"/>
      <c r="AJ5" s="2306"/>
      <c r="AK5" s="2306"/>
      <c r="AL5" s="2306"/>
      <c r="AM5" s="2306"/>
      <c r="AN5" s="2306"/>
      <c r="AO5" s="2306"/>
      <c r="AP5" s="2307"/>
      <c r="AQ5" s="2308"/>
      <c r="AR5" s="2308"/>
      <c r="AS5" s="2308"/>
      <c r="AT5" s="2308"/>
      <c r="AU5" s="2308"/>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0" t="str">
        <f>IF(Application!H16="","",Application!H16)</f>
        <v>Perkins Place, L.P.</v>
      </c>
      <c r="M6" s="2311"/>
      <c r="N6" s="2311"/>
      <c r="O6" s="2311"/>
      <c r="P6" s="2311"/>
      <c r="Q6" s="2311"/>
      <c r="R6" s="2311"/>
      <c r="S6" s="2311"/>
      <c r="T6" s="2311"/>
      <c r="U6" s="2311"/>
      <c r="V6" s="2311"/>
      <c r="W6" s="2311"/>
      <c r="X6" s="2311"/>
      <c r="Y6" s="2311"/>
      <c r="Z6" s="2311"/>
      <c r="AA6" s="2311"/>
      <c r="AB6" s="2311"/>
      <c r="AC6" s="2312"/>
      <c r="AD6" s="1190"/>
      <c r="AE6" s="1190"/>
      <c r="AF6" s="2313" t="s">
        <v>2452</v>
      </c>
      <c r="AG6" s="2313"/>
      <c r="AH6" s="2313"/>
      <c r="AI6" s="2313"/>
      <c r="AJ6" s="2313"/>
      <c r="AK6" s="2313"/>
      <c r="AL6" s="2313"/>
      <c r="AM6" s="2313"/>
      <c r="AN6" s="2313"/>
      <c r="AO6" s="2313"/>
      <c r="AP6" s="2314"/>
      <c r="AQ6" s="2314"/>
      <c r="AR6" s="2314"/>
      <c r="AS6" s="2314"/>
      <c r="AT6" s="2314"/>
      <c r="AU6" s="231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3" t="s">
        <v>2451</v>
      </c>
      <c r="AG7" s="2313"/>
      <c r="AH7" s="2313"/>
      <c r="AI7" s="2313"/>
      <c r="AJ7" s="2313"/>
      <c r="AK7" s="2313"/>
      <c r="AL7" s="2313"/>
      <c r="AM7" s="2313"/>
      <c r="AN7" s="2313"/>
      <c r="AO7" s="2313"/>
      <c r="AP7" s="2314"/>
      <c r="AQ7" s="2314"/>
      <c r="AR7" s="2314"/>
      <c r="AS7" s="2314"/>
      <c r="AT7" s="2314"/>
      <c r="AU7" s="2314"/>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5" t="str">
        <f>Application!T197</f>
        <v>No</v>
      </c>
      <c r="AC8" s="2316"/>
      <c r="AD8" s="2317"/>
      <c r="AE8" s="1190"/>
      <c r="AF8" s="2313" t="s">
        <v>2449</v>
      </c>
      <c r="AG8" s="2313"/>
      <c r="AH8" s="2313"/>
      <c r="AI8" s="2313"/>
      <c r="AJ8" s="2313"/>
      <c r="AK8" s="2313"/>
      <c r="AL8" s="2313"/>
      <c r="AM8" s="2313"/>
      <c r="AN8" s="2313"/>
      <c r="AO8" s="2313"/>
      <c r="AP8" s="2314" t="s">
        <v>2099</v>
      </c>
      <c r="AQ8" s="2314"/>
      <c r="AR8" s="2314"/>
      <c r="AS8" s="2314"/>
      <c r="AT8" s="2314"/>
      <c r="AU8" s="2314"/>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6" t="s">
        <v>2448</v>
      </c>
      <c r="AG9" s="2306"/>
      <c r="AH9" s="2306"/>
      <c r="AI9" s="2306"/>
      <c r="AJ9" s="2306"/>
      <c r="AK9" s="2306"/>
      <c r="AL9" s="2306"/>
      <c r="AM9" s="2306"/>
      <c r="AN9" s="2306"/>
      <c r="AO9" s="2306"/>
      <c r="AP9" s="2307"/>
      <c r="AQ9" s="2308"/>
      <c r="AR9" s="2308"/>
      <c r="AS9" s="2308"/>
      <c r="AT9" s="2308"/>
      <c r="AU9" s="2308"/>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09">
        <f>Application!AO627</f>
        <v>3299517</v>
      </c>
      <c r="O10" s="2309"/>
      <c r="P10" s="2309"/>
      <c r="Q10" s="2309"/>
      <c r="R10" s="2309"/>
      <c r="S10" s="2309"/>
      <c r="T10" s="2309"/>
      <c r="U10" s="1190"/>
      <c r="V10" s="1190"/>
      <c r="W10" s="1190"/>
      <c r="X10" s="1193"/>
      <c r="Y10" s="1193"/>
      <c r="Z10" s="1193"/>
      <c r="AA10" s="1193"/>
      <c r="AB10" s="1193"/>
      <c r="AC10" s="1193"/>
      <c r="AD10" s="1193"/>
      <c r="AE10" s="1193"/>
      <c r="AF10" s="2306" t="s">
        <v>2445</v>
      </c>
      <c r="AG10" s="2306"/>
      <c r="AH10" s="2306"/>
      <c r="AI10" s="2306"/>
      <c r="AJ10" s="2306"/>
      <c r="AK10" s="2306"/>
      <c r="AL10" s="2306"/>
      <c r="AM10" s="2306"/>
      <c r="AN10" s="2306"/>
      <c r="AO10" s="2306"/>
      <c r="AP10" s="2307"/>
      <c r="AQ10" s="2308"/>
      <c r="AR10" s="2308"/>
      <c r="AS10" s="2308"/>
      <c r="AT10" s="2308"/>
      <c r="AU10" s="2308"/>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09">
        <f>Application!AA934</f>
        <v>0</v>
      </c>
      <c r="O11" s="2309"/>
      <c r="P11" s="2309"/>
      <c r="Q11" s="2309"/>
      <c r="R11" s="2309"/>
      <c r="S11" s="2309"/>
      <c r="T11" s="2309"/>
      <c r="U11" s="1190"/>
      <c r="V11" s="1190"/>
      <c r="W11" s="1190"/>
      <c r="X11" s="1193"/>
      <c r="Y11" s="1193"/>
      <c r="Z11" s="1193"/>
      <c r="AA11" s="1193"/>
      <c r="AB11" s="1193"/>
      <c r="AC11" s="1193"/>
      <c r="AD11" s="1193"/>
      <c r="AE11" s="1193"/>
      <c r="AF11" s="2306" t="s">
        <v>2442</v>
      </c>
      <c r="AG11" s="2306"/>
      <c r="AH11" s="2306"/>
      <c r="AI11" s="2306"/>
      <c r="AJ11" s="2306"/>
      <c r="AK11" s="2306"/>
      <c r="AL11" s="2306"/>
      <c r="AM11" s="2306"/>
      <c r="AN11" s="2306"/>
      <c r="AO11" s="2306"/>
      <c r="AP11" s="2307"/>
      <c r="AQ11" s="2308"/>
      <c r="AR11" s="2308"/>
      <c r="AS11" s="2308"/>
      <c r="AT11" s="2308"/>
      <c r="AU11" s="2308"/>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297" t="s">
        <v>2440</v>
      </c>
      <c r="C13" s="2298"/>
      <c r="D13" s="2298"/>
      <c r="E13" s="2298"/>
      <c r="F13" s="2298"/>
      <c r="G13" s="2298"/>
      <c r="H13" s="2298"/>
      <c r="I13" s="2298"/>
      <c r="J13" s="2298"/>
      <c r="K13" s="2298"/>
      <c r="L13" s="2298"/>
      <c r="M13" s="2298"/>
      <c r="N13" s="2298"/>
      <c r="O13" s="2298"/>
      <c r="P13" s="2299"/>
      <c r="Q13" s="2300" t="s">
        <v>670</v>
      </c>
      <c r="R13" s="2301"/>
      <c r="S13" s="2301"/>
      <c r="T13" s="2302"/>
      <c r="U13" s="1193"/>
      <c r="V13" s="1190"/>
      <c r="W13" s="1190"/>
      <c r="X13" s="1190"/>
      <c r="Y13" s="1190"/>
      <c r="Z13" s="1190"/>
      <c r="AA13" s="2287" t="s">
        <v>2439</v>
      </c>
      <c r="AB13" s="2287"/>
      <c r="AC13" s="2287"/>
      <c r="AD13" s="2287"/>
      <c r="AE13" s="2287"/>
      <c r="AF13" s="2287"/>
      <c r="AG13" s="2287"/>
      <c r="AH13" s="2287"/>
      <c r="AI13" s="2287"/>
      <c r="AJ13" s="2287"/>
      <c r="AK13" s="2287"/>
      <c r="AL13" s="2287"/>
      <c r="AM13" s="2287"/>
      <c r="AN13" s="2287"/>
      <c r="AO13" s="2303">
        <f>Application!W473</f>
        <v>0</v>
      </c>
      <c r="AP13" s="2304"/>
      <c r="AQ13" s="2304"/>
      <c r="AR13" s="2304"/>
      <c r="AS13" s="2304"/>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5" t="s">
        <v>2437</v>
      </c>
      <c r="AB14" s="2305"/>
      <c r="AC14" s="2305"/>
      <c r="AD14" s="2305"/>
      <c r="AE14" s="2305"/>
      <c r="AF14" s="2305"/>
      <c r="AG14" s="2305"/>
      <c r="AH14" s="2305"/>
      <c r="AI14" s="2305"/>
      <c r="AJ14" s="2305"/>
      <c r="AK14" s="2305"/>
      <c r="AL14" s="2305"/>
      <c r="AM14" s="2305"/>
      <c r="AN14" s="2305"/>
      <c r="AO14" s="2288"/>
      <c r="AP14" s="2289"/>
      <c r="AQ14" s="2289"/>
      <c r="AR14" s="2289"/>
      <c r="AS14" s="2289"/>
      <c r="AT14" s="1193"/>
      <c r="AU14" s="1193"/>
      <c r="AV14" s="1193"/>
      <c r="AW14" s="1193"/>
      <c r="AX14" s="1193"/>
      <c r="AY14" s="1193"/>
      <c r="AZ14" s="1193"/>
      <c r="BA14" s="1193"/>
      <c r="BB14" s="1193"/>
      <c r="BC14" s="1193"/>
      <c r="BD14" s="1193"/>
      <c r="BE14" s="1194"/>
    </row>
    <row r="15" spans="1:65" thickBot="1">
      <c r="A15" s="1190"/>
      <c r="B15" s="2282" t="s">
        <v>2436</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3"/>
      <c r="Y15" s="1190"/>
      <c r="Z15" s="1190"/>
      <c r="AA15" s="2287" t="s">
        <v>2435</v>
      </c>
      <c r="AB15" s="2287"/>
      <c r="AC15" s="2287"/>
      <c r="AD15" s="2287"/>
      <c r="AE15" s="2287"/>
      <c r="AF15" s="2287"/>
      <c r="AG15" s="2287"/>
      <c r="AH15" s="2287"/>
      <c r="AI15" s="2287"/>
      <c r="AJ15" s="2287"/>
      <c r="AK15" s="2287"/>
      <c r="AL15" s="2287"/>
      <c r="AM15" s="2287"/>
      <c r="AN15" s="2287"/>
      <c r="AO15" s="2288"/>
      <c r="AP15" s="2289"/>
      <c r="AQ15" s="2289"/>
      <c r="AR15" s="2289"/>
      <c r="AS15" s="228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5" t="s">
        <v>2434</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0"/>
      <c r="BA17" s="1190"/>
      <c r="BB17" s="1190"/>
      <c r="BC17" s="1190"/>
      <c r="BD17" s="1190"/>
      <c r="BE17" s="1194"/>
      <c r="BF17" s="1188"/>
    </row>
    <row r="18" spans="1:58" ht="15.75" customHeight="1">
      <c r="A18" s="1190"/>
      <c r="B18" s="2290" t="s">
        <v>2433</v>
      </c>
      <c r="C18" s="2291"/>
      <c r="D18" s="2291"/>
      <c r="E18" s="2291"/>
      <c r="F18" s="2291"/>
      <c r="G18" s="2291"/>
      <c r="H18" s="2291"/>
      <c r="I18" s="2292"/>
      <c r="J18" s="2293" t="s">
        <v>1587</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2432</v>
      </c>
      <c r="AU18" s="2294"/>
      <c r="AV18" s="2294"/>
      <c r="AW18" s="2294"/>
      <c r="AX18" s="2294"/>
      <c r="AY18" s="2296"/>
      <c r="AZ18" s="1190"/>
      <c r="BA18" s="1190"/>
      <c r="BB18" s="1190"/>
      <c r="BC18" s="1190"/>
      <c r="BD18" s="1190"/>
      <c r="BE18" s="1194"/>
    </row>
    <row r="19" spans="1:58" ht="15">
      <c r="A19" s="1190"/>
      <c r="B19" s="2276">
        <v>0.3</v>
      </c>
      <c r="C19" s="2277"/>
      <c r="D19" s="2277"/>
      <c r="E19" s="2277"/>
      <c r="F19" s="2277"/>
      <c r="G19" s="2277"/>
      <c r="H19" s="2277"/>
      <c r="I19" s="2278"/>
      <c r="J19" s="2279">
        <f t="shared" ref="J19:J24" si="0">SUM(P19:AS19)</f>
        <v>18</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8</v>
      </c>
      <c r="W19" s="2280"/>
      <c r="X19" s="2280"/>
      <c r="Y19" s="2280"/>
      <c r="Z19" s="2280"/>
      <c r="AA19" s="2281"/>
      <c r="AB19" s="2279" cm="1">
        <f t="array" ref="AB19">SUMPRODUCT((Application!$B$714:$B$738 = 'CalHFA Addendum'!AB$18)*(Application!$AC$714:$AC$738 = 'CalHFA Addendum'!$B19),Application!$G$714:$G$738)</f>
        <v>6</v>
      </c>
      <c r="AC19" s="2280"/>
      <c r="AD19" s="2280"/>
      <c r="AE19" s="2280"/>
      <c r="AF19" s="2280"/>
      <c r="AG19" s="2281"/>
      <c r="AH19" s="2279" cm="1">
        <f t="array" ref="AH19">SUMPRODUCT((Application!$B$714:$B$738 = 'CalHFA Addendum'!AH$18)*(Application!$AC$714:$AC$738 = 'CalHFA Addendum'!$B19),Application!$G$714:$G$738)</f>
        <v>4</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64">
        <f t="shared" ref="AT19:AT29" si="1">J19/$J$29</f>
        <v>0.54545454545454541</v>
      </c>
      <c r="AU19" s="2265"/>
      <c r="AV19" s="2265"/>
      <c r="AW19" s="2265"/>
      <c r="AX19" s="2265"/>
      <c r="AY19" s="2266"/>
      <c r="AZ19" s="1195"/>
      <c r="BA19" s="1190"/>
      <c r="BB19" s="1190"/>
      <c r="BC19" s="1190"/>
      <c r="BD19" s="1190"/>
      <c r="BE19" s="1194"/>
    </row>
    <row r="20" spans="1:58" ht="15" customHeight="1">
      <c r="A20" s="1190"/>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64">
        <f t="shared" si="1"/>
        <v>0</v>
      </c>
      <c r="AU20" s="2265"/>
      <c r="AV20" s="2265"/>
      <c r="AW20" s="2265"/>
      <c r="AX20" s="2265"/>
      <c r="AY20" s="2266"/>
      <c r="AZ20" s="1190"/>
      <c r="BA20" s="1190"/>
      <c r="BB20" s="1190"/>
      <c r="BC20" s="1190"/>
      <c r="BD20" s="1190"/>
      <c r="BE20" s="1194"/>
    </row>
    <row r="21" spans="1:58" ht="15">
      <c r="A21" s="1190"/>
      <c r="B21" s="2276">
        <v>0.5</v>
      </c>
      <c r="C21" s="2277"/>
      <c r="D21" s="2277"/>
      <c r="E21" s="2277"/>
      <c r="F21" s="2277"/>
      <c r="G21" s="2277"/>
      <c r="H21" s="2277"/>
      <c r="I21" s="2278"/>
      <c r="J21" s="2279">
        <f t="shared" si="0"/>
        <v>14</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7</v>
      </c>
      <c r="W21" s="2280"/>
      <c r="X21" s="2280"/>
      <c r="Y21" s="2280"/>
      <c r="Z21" s="2280"/>
      <c r="AA21" s="2281"/>
      <c r="AB21" s="2279" cm="1">
        <f t="array" ref="AB21">SUMPRODUCT((Application!$B$714:$B$738 = 'CalHFA Addendum'!AB$18)*(Application!$AC$714:$AC$738 = 'CalHFA Addendum'!$B21),Application!$G$714:$G$738)</f>
        <v>2</v>
      </c>
      <c r="AC21" s="2280"/>
      <c r="AD21" s="2280"/>
      <c r="AE21" s="2280"/>
      <c r="AF21" s="2280"/>
      <c r="AG21" s="2281"/>
      <c r="AH21" s="2279" cm="1">
        <f t="array" ref="AH21">SUMPRODUCT((Application!$B$714:$B$738 = 'CalHFA Addendum'!AH$18)*(Application!$AC$714:$AC$738 = 'CalHFA Addendum'!$B21),Application!$G$714:$G$738)</f>
        <v>5</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64">
        <f t="shared" si="1"/>
        <v>0.42424242424242425</v>
      </c>
      <c r="AU21" s="2265"/>
      <c r="AV21" s="2265"/>
      <c r="AW21" s="2265"/>
      <c r="AX21" s="2265"/>
      <c r="AY21" s="2266"/>
      <c r="AZ21" s="1190"/>
      <c r="BA21" s="1190"/>
      <c r="BB21" s="1190"/>
      <c r="BC21" s="1190"/>
      <c r="BD21" s="1190"/>
      <c r="BE21" s="1194"/>
    </row>
    <row r="22" spans="1:58" ht="15">
      <c r="A22" s="1190"/>
      <c r="B22" s="2276">
        <v>0.6</v>
      </c>
      <c r="C22" s="2277"/>
      <c r="D22" s="2277"/>
      <c r="E22" s="2277"/>
      <c r="F22" s="2277"/>
      <c r="G22" s="2277"/>
      <c r="H22" s="2277"/>
      <c r="I22" s="2278"/>
      <c r="J22" s="2279">
        <f t="shared" si="0"/>
        <v>0</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0</v>
      </c>
      <c r="W22" s="2280"/>
      <c r="X22" s="2280"/>
      <c r="Y22" s="2280"/>
      <c r="Z22" s="2280"/>
      <c r="AA22" s="2281"/>
      <c r="AB22" s="2279" cm="1">
        <f t="array" ref="AB22">SUMPRODUCT((Application!$B$714:$B$738 = 'CalHFA Addendum'!AB$18)*(Application!$AC$714:$AC$738 = 'CalHFA Addendum'!$B22),Application!$G$714:$G$738)</f>
        <v>0</v>
      </c>
      <c r="AC22" s="2280"/>
      <c r="AD22" s="2280"/>
      <c r="AE22" s="2280"/>
      <c r="AF22" s="2280"/>
      <c r="AG22" s="2281"/>
      <c r="AH22" s="2279" cm="1">
        <f t="array" ref="AH22">SUMPRODUCT((Application!$B$714:$B$738 = 'CalHFA Addendum'!AH$18)*(Application!$AC$714:$AC$738 = 'CalHFA Addendum'!$B22),Application!$G$714:$G$738)</f>
        <v>0</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64">
        <f t="shared" si="1"/>
        <v>0</v>
      </c>
      <c r="AU22" s="2265"/>
      <c r="AV22" s="2265"/>
      <c r="AW22" s="2265"/>
      <c r="AX22" s="2265"/>
      <c r="AY22" s="2266"/>
      <c r="AZ22" s="1190"/>
      <c r="BA22" s="1190"/>
      <c r="BB22" s="1190"/>
      <c r="BC22" s="1190"/>
      <c r="BD22" s="1190"/>
      <c r="BE22" s="1194"/>
    </row>
    <row r="23" spans="1:58" ht="15">
      <c r="A23" s="1190"/>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64">
        <f t="shared" si="1"/>
        <v>0</v>
      </c>
      <c r="AU23" s="2265"/>
      <c r="AV23" s="2265"/>
      <c r="AW23" s="2265"/>
      <c r="AX23" s="2265"/>
      <c r="AY23" s="2266"/>
      <c r="AZ23" s="1190"/>
      <c r="BA23" s="1190"/>
      <c r="BB23" s="1190"/>
      <c r="BC23" s="1190"/>
      <c r="BD23" s="1190"/>
      <c r="BE23" s="1194"/>
    </row>
    <row r="24" spans="1:58" ht="15">
      <c r="A24" s="1190"/>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f t="shared" si="1"/>
        <v>0</v>
      </c>
      <c r="AU24" s="2265"/>
      <c r="AV24" s="2265"/>
      <c r="AW24" s="2265"/>
      <c r="AX24" s="2265"/>
      <c r="AY24" s="2266"/>
      <c r="AZ24" s="1190"/>
      <c r="BA24" s="1190"/>
      <c r="BB24" s="1190"/>
      <c r="BC24" s="1190"/>
      <c r="BD24" s="1190"/>
      <c r="BE24" s="1194"/>
    </row>
    <row r="25" spans="1:58" ht="15">
      <c r="A25" s="1190"/>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190"/>
      <c r="BA25" s="1190"/>
      <c r="BB25" s="1190"/>
      <c r="BC25" s="1190"/>
      <c r="BD25" s="1190"/>
      <c r="BE25" s="1194"/>
    </row>
    <row r="26" spans="1:58" ht="15">
      <c r="A26" s="1190"/>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190"/>
      <c r="BA26" s="1190"/>
      <c r="BB26" s="1190"/>
      <c r="BC26" s="1190"/>
      <c r="BD26" s="1190"/>
      <c r="BE26" s="1194"/>
    </row>
    <row r="27" spans="1:58" ht="15">
      <c r="A27" s="1190"/>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190"/>
      <c r="BA27" s="1190"/>
      <c r="BB27" s="1190"/>
      <c r="BC27" s="1190"/>
      <c r="BD27" s="1190"/>
      <c r="BE27" s="1194"/>
    </row>
    <row r="28" spans="1:58" thickBot="1">
      <c r="A28" s="1190"/>
      <c r="B28" s="2267" t="s">
        <v>2431</v>
      </c>
      <c r="C28" s="2268"/>
      <c r="D28" s="2268"/>
      <c r="E28" s="2268"/>
      <c r="F28" s="2268"/>
      <c r="G28" s="2268"/>
      <c r="H28" s="2268"/>
      <c r="I28" s="2269"/>
      <c r="J28" s="2270">
        <f>SUM(P28:AS28)</f>
        <v>1</v>
      </c>
      <c r="K28" s="2271"/>
      <c r="L28" s="2271"/>
      <c r="M28" s="2271"/>
      <c r="N28" s="2271"/>
      <c r="O28" s="2272"/>
      <c r="P28" s="2270">
        <f>_xlfn.IFNA(VLOOKUP(P$18,Application!$J$773:$S$776,6,FALSE), 0)</f>
        <v>0</v>
      </c>
      <c r="Q28" s="2271"/>
      <c r="R28" s="2271"/>
      <c r="S28" s="2271"/>
      <c r="T28" s="2271"/>
      <c r="U28" s="2272"/>
      <c r="V28" s="2270">
        <f>_xlfn.IFNA(VLOOKUP(V$18,Application!$J$773:$S$776,6,FALSE), 0)</f>
        <v>1</v>
      </c>
      <c r="W28" s="2271"/>
      <c r="X28" s="2271"/>
      <c r="Y28" s="2271"/>
      <c r="Z28" s="2271"/>
      <c r="AA28" s="2272"/>
      <c r="AB28" s="2270">
        <f>_xlfn.IFNA(VLOOKUP(AB$18,Application!$J$773:$S$776,6,FALSE), 0)</f>
        <v>0</v>
      </c>
      <c r="AC28" s="2271"/>
      <c r="AD28" s="2271"/>
      <c r="AE28" s="2271"/>
      <c r="AF28" s="2271"/>
      <c r="AG28" s="2272"/>
      <c r="AH28" s="2270">
        <f>_xlfn.IFNA(VLOOKUP(AH$18,Application!$J$773:$S$776,6,FALSE), 0)</f>
        <v>0</v>
      </c>
      <c r="AI28" s="2271"/>
      <c r="AJ28" s="2271"/>
      <c r="AK28" s="2271"/>
      <c r="AL28" s="2271"/>
      <c r="AM28" s="2272"/>
      <c r="AN28" s="2270">
        <f>_xlfn.IFNA(VLOOKUP(AN$18,Application!$J$773:$S$776,6,FALSE), 0)</f>
        <v>0</v>
      </c>
      <c r="AO28" s="2271"/>
      <c r="AP28" s="2271"/>
      <c r="AQ28" s="2271"/>
      <c r="AR28" s="2271"/>
      <c r="AS28" s="2272"/>
      <c r="AT28" s="2273">
        <f t="shared" si="1"/>
        <v>3.0303030303030304E-2</v>
      </c>
      <c r="AU28" s="2274"/>
      <c r="AV28" s="2274"/>
      <c r="AW28" s="2274"/>
      <c r="AX28" s="2274"/>
      <c r="AY28" s="2275"/>
      <c r="AZ28" s="1190"/>
      <c r="BA28" s="1190"/>
      <c r="BB28" s="1190"/>
      <c r="BC28" s="1190"/>
      <c r="BD28" s="1190"/>
      <c r="BE28" s="1194"/>
    </row>
    <row r="29" spans="1:58" thickBot="1">
      <c r="A29" s="1190"/>
      <c r="B29" s="2250" t="s">
        <v>1587</v>
      </c>
      <c r="C29" s="2223"/>
      <c r="D29" s="2223"/>
      <c r="E29" s="2223"/>
      <c r="F29" s="2223"/>
      <c r="G29" s="2223"/>
      <c r="H29" s="2223"/>
      <c r="I29" s="2224"/>
      <c r="J29" s="2222">
        <f>SUM(J19:O28)</f>
        <v>33</v>
      </c>
      <c r="K29" s="2223"/>
      <c r="L29" s="2223"/>
      <c r="M29" s="2223"/>
      <c r="N29" s="2223"/>
      <c r="O29" s="2224"/>
      <c r="P29" s="2222">
        <f>SUM(P19:U28)</f>
        <v>0</v>
      </c>
      <c r="Q29" s="2223"/>
      <c r="R29" s="2223"/>
      <c r="S29" s="2223"/>
      <c r="T29" s="2223"/>
      <c r="U29" s="2224"/>
      <c r="V29" s="2222">
        <f>SUM(V19:AA28)</f>
        <v>16</v>
      </c>
      <c r="W29" s="2223"/>
      <c r="X29" s="2223"/>
      <c r="Y29" s="2223"/>
      <c r="Z29" s="2223"/>
      <c r="AA29" s="2224"/>
      <c r="AB29" s="2222">
        <f>SUM(AB19:AG28)</f>
        <v>8</v>
      </c>
      <c r="AC29" s="2223"/>
      <c r="AD29" s="2223"/>
      <c r="AE29" s="2223"/>
      <c r="AF29" s="2223"/>
      <c r="AG29" s="2224"/>
      <c r="AH29" s="2222">
        <f>SUM(AH19:AM28)</f>
        <v>9</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8" t="s">
        <v>2430</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4"/>
    </row>
    <row r="32" spans="1:58" thickBot="1">
      <c r="A32" s="1190"/>
      <c r="B32" s="2231" t="s">
        <v>2429</v>
      </c>
      <c r="C32" s="2232"/>
      <c r="D32" s="2232"/>
      <c r="E32" s="2232"/>
      <c r="F32" s="2232"/>
      <c r="G32" s="2232"/>
      <c r="H32" s="2232"/>
      <c r="I32" s="2232"/>
      <c r="J32" s="2235" t="s">
        <v>2428</v>
      </c>
      <c r="K32" s="2236"/>
      <c r="L32" s="2236"/>
      <c r="M32" s="2236"/>
      <c r="N32" s="2235" t="s">
        <v>2427</v>
      </c>
      <c r="O32" s="2236"/>
      <c r="P32" s="2236"/>
      <c r="Q32" s="2238"/>
      <c r="R32" s="2240" t="s">
        <v>2426</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4"/>
    </row>
    <row r="33" spans="1:58" ht="15" customHeight="1">
      <c r="A33" s="1190"/>
      <c r="B33" s="2233"/>
      <c r="C33" s="2234"/>
      <c r="D33" s="2234"/>
      <c r="E33" s="2234"/>
      <c r="F33" s="2234"/>
      <c r="G33" s="2234"/>
      <c r="H33" s="2234"/>
      <c r="I33" s="2234"/>
      <c r="J33" s="2237"/>
      <c r="K33" s="2237"/>
      <c r="L33" s="2237"/>
      <c r="M33" s="2237"/>
      <c r="N33" s="2237"/>
      <c r="O33" s="2237"/>
      <c r="P33" s="2237"/>
      <c r="Q33" s="2239"/>
      <c r="R33" s="2243" t="s">
        <v>2425</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4"/>
    </row>
    <row r="34" spans="1:58" ht="15.75" customHeight="1" thickBot="1">
      <c r="A34" s="1190"/>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4"/>
    </row>
    <row r="35" spans="1:58" ht="15.75" customHeight="1">
      <c r="A35" s="1190"/>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2424</v>
      </c>
      <c r="AT35" s="2252"/>
      <c r="AU35" s="2252"/>
      <c r="AV35" s="2252"/>
      <c r="AW35" s="2252"/>
      <c r="AX35" s="2260"/>
      <c r="AY35" s="2251" t="s">
        <v>2423</v>
      </c>
      <c r="AZ35" s="2252"/>
      <c r="BA35" s="2252"/>
      <c r="BB35" s="2252"/>
      <c r="BC35" s="2252"/>
      <c r="BD35" s="2253"/>
      <c r="BE35" s="1194"/>
    </row>
    <row r="36" spans="1:58" ht="15.75" customHeight="1">
      <c r="A36" s="1190"/>
      <c r="B36" s="2155" t="s">
        <v>2422</v>
      </c>
      <c r="C36" s="2156"/>
      <c r="D36" s="2156"/>
      <c r="E36" s="2156"/>
      <c r="F36" s="2156"/>
      <c r="G36" s="2156"/>
      <c r="H36" s="2156"/>
      <c r="I36" s="2156"/>
      <c r="J36" s="2220" t="s">
        <v>2421</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194"/>
    </row>
    <row r="37" spans="1:58" ht="15.75" customHeight="1">
      <c r="A37" s="1190"/>
      <c r="B37" s="2155" t="s">
        <v>2420</v>
      </c>
      <c r="C37" s="2156"/>
      <c r="D37" s="2156"/>
      <c r="E37" s="2156"/>
      <c r="F37" s="2156"/>
      <c r="G37" s="2156"/>
      <c r="H37" s="2156"/>
      <c r="I37" s="2156"/>
      <c r="J37" s="2220" t="s">
        <v>2419</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194"/>
    </row>
    <row r="38" spans="1:58" ht="15.75" customHeight="1">
      <c r="A38" s="1190"/>
      <c r="B38" s="2155" t="s">
        <v>2418</v>
      </c>
      <c r="C38" s="2156"/>
      <c r="D38" s="2156"/>
      <c r="E38" s="2156"/>
      <c r="F38" s="2156"/>
      <c r="G38" s="2156"/>
      <c r="H38" s="2156"/>
      <c r="I38" s="2156"/>
      <c r="J38" s="2220" t="s">
        <v>2417</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194"/>
    </row>
    <row r="39" spans="1:58" ht="15.75" customHeight="1">
      <c r="A39" s="1190"/>
      <c r="B39" s="2155" t="s">
        <v>2416</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194"/>
    </row>
    <row r="40" spans="1:58" ht="15.75" customHeight="1">
      <c r="A40" s="1190"/>
      <c r="B40" s="2155" t="s">
        <v>2416</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194"/>
    </row>
    <row r="41" spans="1:58" ht="15.75" customHeight="1">
      <c r="A41" s="1190"/>
      <c r="B41" s="2155" t="s">
        <v>2415</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194"/>
    </row>
    <row r="42" spans="1:58" ht="15.75" customHeight="1">
      <c r="A42" s="1190"/>
      <c r="B42" s="2155" t="s">
        <v>2415</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194"/>
    </row>
    <row r="43" spans="1:58" ht="15.75" customHeight="1">
      <c r="A43" s="1190"/>
      <c r="B43" s="2160" t="s">
        <v>2414</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194"/>
    </row>
    <row r="44" spans="1:58" ht="15.75" customHeight="1">
      <c r="A44" s="1190"/>
      <c r="B44" s="2160" t="s">
        <v>2413</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194"/>
    </row>
    <row r="45" spans="1:58" ht="15.75" customHeight="1">
      <c r="A45" s="1190"/>
      <c r="B45" s="2160" t="s">
        <v>2412</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194"/>
    </row>
    <row r="46" spans="1:58" ht="15.75" customHeight="1">
      <c r="A46" s="1190"/>
      <c r="B46" s="2160" t="s">
        <v>2336</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194"/>
    </row>
    <row r="47" spans="1:58" ht="15.75" customHeight="1" thickBot="1">
      <c r="A47" s="1190"/>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7" t="s">
        <v>2409</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0" t="s">
        <v>2402</v>
      </c>
      <c r="C51" s="2098"/>
      <c r="D51" s="2098"/>
      <c r="E51" s="2098"/>
      <c r="F51" s="2098"/>
      <c r="G51" s="2098"/>
      <c r="H51" s="2098"/>
      <c r="I51" s="2098"/>
      <c r="J51" s="2098" t="s">
        <v>2408</v>
      </c>
      <c r="K51" s="2098"/>
      <c r="L51" s="2098"/>
      <c r="M51" s="2098"/>
      <c r="N51" s="2098"/>
      <c r="O51" s="2098"/>
      <c r="P51" s="2098"/>
      <c r="Q51" s="2098"/>
      <c r="R51" s="2199" t="s">
        <v>2407</v>
      </c>
      <c r="S51" s="2199"/>
      <c r="T51" s="2199"/>
      <c r="U51" s="2199"/>
      <c r="V51" s="2199"/>
      <c r="W51" s="2199"/>
      <c r="X51" s="2199"/>
      <c r="Y51" s="2199"/>
      <c r="Z51" s="2199" t="s">
        <v>2406</v>
      </c>
      <c r="AA51" s="2199"/>
      <c r="AB51" s="2199"/>
      <c r="AC51" s="2199"/>
      <c r="AD51" s="2199"/>
      <c r="AE51" s="2199"/>
      <c r="AF51" s="2199"/>
      <c r="AG51" s="2199"/>
      <c r="AH51" s="2199" t="s">
        <v>2405</v>
      </c>
      <c r="AI51" s="2199"/>
      <c r="AJ51" s="2199"/>
      <c r="AK51" s="2199"/>
      <c r="AL51" s="2199"/>
      <c r="AM51" s="2199"/>
      <c r="AN51" s="2199"/>
      <c r="AO51" s="220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0" t="s">
        <v>2404</v>
      </c>
      <c r="C52" s="2161"/>
      <c r="D52" s="2161"/>
      <c r="E52" s="2161"/>
      <c r="F52" s="2161"/>
      <c r="G52" s="2161"/>
      <c r="H52" s="2161"/>
      <c r="I52" s="2161"/>
      <c r="J52" s="1984">
        <v>0</v>
      </c>
      <c r="K52" s="1984"/>
      <c r="L52" s="1984"/>
      <c r="M52" s="1984"/>
      <c r="N52" s="1984"/>
      <c r="O52" s="1984"/>
      <c r="P52" s="1984"/>
      <c r="Q52" s="1984"/>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0" t="s">
        <v>2403</v>
      </c>
      <c r="C53" s="2161"/>
      <c r="D53" s="2161"/>
      <c r="E53" s="2161"/>
      <c r="F53" s="2161"/>
      <c r="G53" s="2161"/>
      <c r="H53" s="2161"/>
      <c r="I53" s="2161"/>
      <c r="J53" s="1984">
        <v>0</v>
      </c>
      <c r="K53" s="1984"/>
      <c r="L53" s="1984"/>
      <c r="M53" s="1984"/>
      <c r="N53" s="1984"/>
      <c r="O53" s="1984"/>
      <c r="P53" s="1984"/>
      <c r="Q53" s="1984"/>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0"/>
      <c r="C54" s="2161"/>
      <c r="D54" s="2161"/>
      <c r="E54" s="2161"/>
      <c r="F54" s="2161"/>
      <c r="G54" s="2161"/>
      <c r="H54" s="2161"/>
      <c r="I54" s="2161"/>
      <c r="J54" s="1984"/>
      <c r="K54" s="1984"/>
      <c r="L54" s="1984"/>
      <c r="M54" s="1984"/>
      <c r="N54" s="1984"/>
      <c r="O54" s="1984"/>
      <c r="P54" s="1984"/>
      <c r="Q54" s="1984"/>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0"/>
      <c r="C55" s="2161"/>
      <c r="D55" s="2161"/>
      <c r="E55" s="2161"/>
      <c r="F55" s="2161"/>
      <c r="G55" s="2161"/>
      <c r="H55" s="2161"/>
      <c r="I55" s="2161"/>
      <c r="J55" s="1984"/>
      <c r="K55" s="1984"/>
      <c r="L55" s="1984"/>
      <c r="M55" s="1984"/>
      <c r="N55" s="1984"/>
      <c r="O55" s="1984"/>
      <c r="P55" s="1984"/>
      <c r="Q55" s="1984"/>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0"/>
      <c r="C56" s="2161"/>
      <c r="D56" s="2161"/>
      <c r="E56" s="2161"/>
      <c r="F56" s="2161"/>
      <c r="G56" s="2161"/>
      <c r="H56" s="2161"/>
      <c r="I56" s="2161"/>
      <c r="J56" s="1984"/>
      <c r="K56" s="1984"/>
      <c r="L56" s="1984"/>
      <c r="M56" s="1984"/>
      <c r="N56" s="1984"/>
      <c r="O56" s="1984"/>
      <c r="P56" s="1984"/>
      <c r="Q56" s="1984"/>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8" t="s">
        <v>1587</v>
      </c>
      <c r="C57" s="2129"/>
      <c r="D57" s="2129"/>
      <c r="E57" s="2129"/>
      <c r="F57" s="2129"/>
      <c r="G57" s="2129"/>
      <c r="H57" s="2129"/>
      <c r="I57" s="2129"/>
      <c r="J57" s="2129"/>
      <c r="K57" s="2129"/>
      <c r="L57" s="2129"/>
      <c r="M57" s="2129"/>
      <c r="N57" s="2129"/>
      <c r="O57" s="2129"/>
      <c r="P57" s="2129"/>
      <c r="Q57" s="2129"/>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8" t="s">
        <v>2402</v>
      </c>
      <c r="C59" s="2189"/>
      <c r="D59" s="2189"/>
      <c r="E59" s="2189"/>
      <c r="F59" s="2189"/>
      <c r="G59" s="2189"/>
      <c r="H59" s="2189"/>
      <c r="I59" s="2190"/>
      <c r="J59" s="2096" t="s">
        <v>2401</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0"/>
      <c r="AY59" s="1190"/>
      <c r="AZ59" s="1190"/>
      <c r="BA59" s="1190"/>
      <c r="BB59" s="1190"/>
      <c r="BC59" s="1190"/>
      <c r="BD59" s="1190"/>
      <c r="BE59" s="1194"/>
    </row>
    <row r="60" spans="1:77" ht="15.75" customHeight="1">
      <c r="A60" s="1190"/>
      <c r="B60" s="2180" t="str">
        <f>IF(B52="", "", B52)</f>
        <v>Services Company 1</v>
      </c>
      <c r="C60" s="2181"/>
      <c r="D60" s="2181"/>
      <c r="E60" s="2181"/>
      <c r="F60" s="2181"/>
      <c r="G60" s="2181"/>
      <c r="H60" s="2181"/>
      <c r="I60" s="2182"/>
      <c r="J60" s="2183"/>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0"/>
      <c r="AY60" s="1190"/>
      <c r="AZ60" s="1190"/>
      <c r="BA60" s="1190"/>
      <c r="BB60" s="1190"/>
      <c r="BC60" s="1190"/>
      <c r="BD60" s="1190"/>
      <c r="BE60" s="1194"/>
    </row>
    <row r="61" spans="1:77" ht="15.75" customHeight="1">
      <c r="A61" s="1190"/>
      <c r="B61" s="2180" t="str">
        <f>IF(B53="", "", B53)</f>
        <v>Services Company 2</v>
      </c>
      <c r="C61" s="2181"/>
      <c r="D61" s="2181"/>
      <c r="E61" s="2181"/>
      <c r="F61" s="2181"/>
      <c r="G61" s="2181"/>
      <c r="H61" s="2181"/>
      <c r="I61" s="2182"/>
      <c r="J61" s="2183"/>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0"/>
      <c r="AY61" s="1190"/>
      <c r="AZ61" s="1190"/>
      <c r="BA61" s="1190"/>
      <c r="BB61" s="1190"/>
      <c r="BC61" s="1190"/>
      <c r="BD61" s="1190"/>
      <c r="BE61" s="1194"/>
    </row>
    <row r="62" spans="1:77" ht="15.75" customHeight="1">
      <c r="A62" s="1190"/>
      <c r="B62" s="2180" t="str">
        <f>IF(B54="", "", B54)</f>
        <v/>
      </c>
      <c r="C62" s="2181"/>
      <c r="D62" s="2181"/>
      <c r="E62" s="2181"/>
      <c r="F62" s="2181"/>
      <c r="G62" s="2181"/>
      <c r="H62" s="2181"/>
      <c r="I62" s="2182"/>
      <c r="J62" s="2183"/>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0"/>
      <c r="AY62" s="1190"/>
      <c r="AZ62" s="1190"/>
      <c r="BA62" s="1190"/>
      <c r="BB62" s="1190"/>
      <c r="BC62" s="1190"/>
      <c r="BD62" s="1190"/>
      <c r="BE62" s="1194"/>
    </row>
    <row r="63" spans="1:77" ht="15.75" customHeight="1">
      <c r="A63" s="1190"/>
      <c r="B63" s="2180" t="str">
        <f>IF(B55="", "", B55)</f>
        <v/>
      </c>
      <c r="C63" s="2181"/>
      <c r="D63" s="2181"/>
      <c r="E63" s="2181"/>
      <c r="F63" s="2181"/>
      <c r="G63" s="2181"/>
      <c r="H63" s="2181"/>
      <c r="I63" s="2182"/>
      <c r="J63" s="2183"/>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0"/>
      <c r="AY63" s="1190"/>
      <c r="AZ63" s="1190"/>
      <c r="BA63" s="1190"/>
      <c r="BB63" s="1190"/>
      <c r="BC63" s="1190"/>
      <c r="BD63" s="1190"/>
      <c r="BE63" s="1194"/>
    </row>
    <row r="64" spans="1:77" ht="15.75" customHeight="1" thickBot="1">
      <c r="A64" s="1190"/>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5" t="s">
        <v>2399</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0"/>
      <c r="AC68" s="2021" t="s">
        <v>2398</v>
      </c>
      <c r="AD68" s="2022"/>
      <c r="AE68" s="2022"/>
      <c r="AF68" s="2022"/>
      <c r="AG68" s="2022"/>
      <c r="AH68" s="2022"/>
      <c r="AI68" s="2022"/>
      <c r="AJ68" s="2022"/>
      <c r="AK68" s="2022"/>
      <c r="AL68" s="2022"/>
      <c r="AM68" s="2022"/>
      <c r="AN68" s="2022"/>
      <c r="AO68" s="2022"/>
      <c r="AP68" s="2022"/>
      <c r="AQ68" s="2022"/>
      <c r="AR68" s="2022"/>
      <c r="AS68" s="2022"/>
      <c r="AT68" s="2022"/>
      <c r="AU68" s="2022"/>
      <c r="AV68" s="2172" t="s">
        <v>670</v>
      </c>
      <c r="AW68" s="2078"/>
      <c r="AX68" s="2078"/>
      <c r="AY68" s="2078"/>
      <c r="AZ68" s="2078"/>
      <c r="BA68" s="2078"/>
      <c r="BB68" s="2078"/>
      <c r="BC68" s="2079"/>
      <c r="BD68" s="1190"/>
      <c r="BE68" s="1194"/>
      <c r="BM68" s="1199" t="s">
        <v>2397</v>
      </c>
    </row>
    <row r="69" spans="1:94" ht="15.75" customHeight="1" thickTop="1" thickBot="1">
      <c r="A69" s="1190"/>
      <c r="B69" s="2173" t="s">
        <v>2396</v>
      </c>
      <c r="C69" s="2174"/>
      <c r="D69" s="2174"/>
      <c r="E69" s="2174"/>
      <c r="F69" s="2174"/>
      <c r="G69" s="2174"/>
      <c r="H69" s="2174"/>
      <c r="I69" s="2174"/>
      <c r="J69" s="2174"/>
      <c r="K69" s="2174"/>
      <c r="L69" s="2174"/>
      <c r="M69" s="2174"/>
      <c r="N69" s="2174"/>
      <c r="O69" s="2175" t="s">
        <v>2395</v>
      </c>
      <c r="P69" s="2176"/>
      <c r="Q69" s="2176"/>
      <c r="R69" s="2176"/>
      <c r="S69" s="2176"/>
      <c r="T69" s="2176"/>
      <c r="U69" s="2176"/>
      <c r="V69" s="2176"/>
      <c r="W69" s="2176"/>
      <c r="X69" s="2176"/>
      <c r="Y69" s="2176"/>
      <c r="Z69" s="2176"/>
      <c r="AA69" s="2177"/>
      <c r="AB69" s="1190"/>
      <c r="AC69" s="2178" t="s">
        <v>2394</v>
      </c>
      <c r="AD69" s="2179"/>
      <c r="AE69" s="2179"/>
      <c r="AF69" s="2179"/>
      <c r="AG69" s="2179"/>
      <c r="AH69" s="2179"/>
      <c r="AI69" s="2179"/>
      <c r="AJ69" s="2179"/>
      <c r="AK69" s="2179"/>
      <c r="AL69" s="2179"/>
      <c r="AM69" s="2179"/>
      <c r="AN69" s="2179"/>
      <c r="AO69" s="2179"/>
      <c r="AP69" s="2179"/>
      <c r="AQ69" s="2179"/>
      <c r="AR69" s="2179"/>
      <c r="AS69" s="2179"/>
      <c r="AT69" s="2179"/>
      <c r="AU69" s="2179"/>
      <c r="AV69" s="2172" t="s">
        <v>670</v>
      </c>
      <c r="AW69" s="2078"/>
      <c r="AX69" s="2078"/>
      <c r="AY69" s="2078"/>
      <c r="AZ69" s="2078"/>
      <c r="BA69" s="2078"/>
      <c r="BB69" s="2078"/>
      <c r="BC69" s="2079"/>
      <c r="BD69" s="1190"/>
      <c r="BE69" s="1194"/>
      <c r="BM69" s="1200" t="s">
        <v>546</v>
      </c>
    </row>
    <row r="70" spans="1:94" ht="15.75" customHeight="1">
      <c r="A70" s="1190"/>
      <c r="B70" s="2155" t="s">
        <v>2393</v>
      </c>
      <c r="C70" s="2156"/>
      <c r="D70" s="2156"/>
      <c r="E70" s="2156"/>
      <c r="F70" s="2156"/>
      <c r="G70" s="2156"/>
      <c r="H70" s="2156"/>
      <c r="I70" s="2156"/>
      <c r="J70" s="2156"/>
      <c r="K70" s="2156"/>
      <c r="L70" s="2156"/>
      <c r="M70" s="2156"/>
      <c r="N70" s="2156"/>
      <c r="O70" s="2029">
        <v>0</v>
      </c>
      <c r="P70" s="2029"/>
      <c r="Q70" s="2029"/>
      <c r="R70" s="2029"/>
      <c r="S70" s="2029"/>
      <c r="T70" s="2029"/>
      <c r="U70" s="2029"/>
      <c r="V70" s="2029"/>
      <c r="W70" s="2029"/>
      <c r="X70" s="2029"/>
      <c r="Y70" s="2029"/>
      <c r="Z70" s="2029"/>
      <c r="AA70" s="2157"/>
      <c r="AB70" s="1190"/>
      <c r="AC70" s="2067" t="s">
        <v>2392</v>
      </c>
      <c r="AD70" s="2023"/>
      <c r="AE70" s="2023"/>
      <c r="AF70" s="2166"/>
      <c r="AG70" s="2166"/>
      <c r="AH70" s="2166"/>
      <c r="AI70" s="2166"/>
      <c r="AJ70" s="2166"/>
      <c r="AK70" s="2166"/>
      <c r="AL70" s="2166"/>
      <c r="AM70" s="2166"/>
      <c r="AN70" s="2166"/>
      <c r="AO70" s="2166"/>
      <c r="AP70" s="2166"/>
      <c r="AQ70" s="2166"/>
      <c r="AR70" s="2166"/>
      <c r="AS70" s="2166"/>
      <c r="AT70" s="2166"/>
      <c r="AU70" s="2167"/>
      <c r="AV70" s="1190"/>
      <c r="AW70" s="1190"/>
      <c r="AX70" s="1190"/>
      <c r="AY70" s="1190"/>
      <c r="AZ70" s="1190"/>
      <c r="BA70" s="1190"/>
      <c r="BB70" s="1190"/>
      <c r="BC70" s="1190"/>
      <c r="BD70" s="1190"/>
      <c r="BE70" s="1194"/>
      <c r="BM70" s="1201" t="s">
        <v>670</v>
      </c>
    </row>
    <row r="71" spans="1:94" ht="15.75" customHeight="1" thickBot="1">
      <c r="A71" s="1190"/>
      <c r="B71" s="2155" t="s">
        <v>2391</v>
      </c>
      <c r="C71" s="2156"/>
      <c r="D71" s="2156"/>
      <c r="E71" s="2156"/>
      <c r="F71" s="2156"/>
      <c r="G71" s="2156"/>
      <c r="H71" s="2156"/>
      <c r="I71" s="2156"/>
      <c r="J71" s="2156"/>
      <c r="K71" s="2156"/>
      <c r="L71" s="2156"/>
      <c r="M71" s="2156"/>
      <c r="N71" s="2156"/>
      <c r="O71" s="2029">
        <v>0</v>
      </c>
      <c r="P71" s="2029"/>
      <c r="Q71" s="2029"/>
      <c r="R71" s="2029"/>
      <c r="S71" s="2029"/>
      <c r="T71" s="2029"/>
      <c r="U71" s="2029"/>
      <c r="V71" s="2029"/>
      <c r="W71" s="2029"/>
      <c r="X71" s="2029"/>
      <c r="Y71" s="2029"/>
      <c r="Z71" s="2029"/>
      <c r="AA71" s="2157"/>
      <c r="AB71" s="1190"/>
      <c r="AC71" s="2168" t="s">
        <v>2390</v>
      </c>
      <c r="AD71" s="2169"/>
      <c r="AE71" s="2169"/>
      <c r="AF71" s="2170"/>
      <c r="AG71" s="2170"/>
      <c r="AH71" s="2170"/>
      <c r="AI71" s="2170"/>
      <c r="AJ71" s="2170"/>
      <c r="AK71" s="2170"/>
      <c r="AL71" s="2170"/>
      <c r="AM71" s="2170"/>
      <c r="AN71" s="2170"/>
      <c r="AO71" s="2170"/>
      <c r="AP71" s="2170"/>
      <c r="AQ71" s="2170"/>
      <c r="AR71" s="2170"/>
      <c r="AS71" s="2170"/>
      <c r="AT71" s="2170"/>
      <c r="AU71" s="2171"/>
      <c r="AV71" s="1190"/>
      <c r="AW71" s="1190"/>
      <c r="AX71" s="1190"/>
      <c r="AY71" s="1190"/>
      <c r="AZ71" s="1190"/>
      <c r="BA71" s="1190"/>
      <c r="BB71" s="1190"/>
      <c r="BC71" s="1190"/>
      <c r="BD71" s="1190"/>
      <c r="BE71" s="1194"/>
      <c r="BM71" s="1187" t="s">
        <v>2389</v>
      </c>
    </row>
    <row r="72" spans="1:94" ht="15.75" customHeight="1">
      <c r="A72" s="1190"/>
      <c r="B72" s="2155" t="s">
        <v>2388</v>
      </c>
      <c r="C72" s="2156"/>
      <c r="D72" s="2156"/>
      <c r="E72" s="2156"/>
      <c r="F72" s="2156"/>
      <c r="G72" s="2156"/>
      <c r="H72" s="2156"/>
      <c r="I72" s="2156"/>
      <c r="J72" s="2156"/>
      <c r="K72" s="2156"/>
      <c r="L72" s="2156"/>
      <c r="M72" s="2156"/>
      <c r="N72" s="2156"/>
      <c r="O72" s="2029">
        <v>0</v>
      </c>
      <c r="P72" s="2029"/>
      <c r="Q72" s="2029"/>
      <c r="R72" s="2029"/>
      <c r="S72" s="2029"/>
      <c r="T72" s="2029"/>
      <c r="U72" s="2029"/>
      <c r="V72" s="2029"/>
      <c r="W72" s="2029"/>
      <c r="X72" s="2029"/>
      <c r="Y72" s="2029"/>
      <c r="Z72" s="2029"/>
      <c r="AA72" s="2157"/>
      <c r="AB72" s="1190"/>
      <c r="AC72" s="2158" t="s">
        <v>2387</v>
      </c>
      <c r="AD72" s="2159"/>
      <c r="AE72" s="2159"/>
      <c r="AF72" s="2159"/>
      <c r="AG72" s="2159"/>
      <c r="AH72" s="2159"/>
      <c r="AI72" s="2159"/>
      <c r="AJ72" s="2159"/>
      <c r="AK72" s="2159"/>
      <c r="AL72" s="2159"/>
      <c r="AM72" s="2159"/>
      <c r="AN72" s="2159"/>
      <c r="AO72" s="2159"/>
      <c r="AP72" s="2159"/>
      <c r="AQ72" s="2159"/>
      <c r="AR72" s="2159"/>
      <c r="AS72" s="2159"/>
      <c r="AT72" s="2159"/>
      <c r="AU72" s="2159"/>
      <c r="AV72" s="2023"/>
      <c r="AW72" s="2023"/>
      <c r="AX72" s="2023"/>
      <c r="AY72" s="2023"/>
      <c r="AZ72" s="2023"/>
      <c r="BA72" s="2023"/>
      <c r="BB72" s="2023"/>
      <c r="BC72" s="2024"/>
      <c r="BD72" s="1190"/>
      <c r="BE72" s="1194"/>
    </row>
    <row r="73" spans="1:94" ht="15.75" customHeight="1">
      <c r="A73" s="1190"/>
      <c r="B73" s="2160" t="s">
        <v>2386</v>
      </c>
      <c r="C73" s="2161"/>
      <c r="D73" s="2161"/>
      <c r="E73" s="2161"/>
      <c r="F73" s="2161"/>
      <c r="G73" s="2161"/>
      <c r="H73" s="2161"/>
      <c r="I73" s="2161"/>
      <c r="J73" s="2161"/>
      <c r="K73" s="2161"/>
      <c r="L73" s="2161"/>
      <c r="M73" s="2161"/>
      <c r="N73" s="2161"/>
      <c r="O73" s="2029">
        <v>0</v>
      </c>
      <c r="P73" s="2029"/>
      <c r="Q73" s="2029"/>
      <c r="R73" s="2029"/>
      <c r="S73" s="2029"/>
      <c r="T73" s="2029"/>
      <c r="U73" s="2029"/>
      <c r="V73" s="2029"/>
      <c r="W73" s="2029"/>
      <c r="X73" s="2029"/>
      <c r="Y73" s="2029"/>
      <c r="Z73" s="2029"/>
      <c r="AA73" s="2157"/>
      <c r="AB73" s="1190"/>
      <c r="AC73" s="2038" t="s">
        <v>2331</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0"/>
      <c r="BE73" s="1194"/>
      <c r="CK73" s="1188"/>
      <c r="CL73" s="1188"/>
      <c r="CM73" s="1188"/>
      <c r="CN73" s="1188"/>
      <c r="CO73" s="1188"/>
      <c r="CP73" s="1188"/>
    </row>
    <row r="74" spans="1:94" ht="15.75" customHeight="1">
      <c r="A74" s="1190"/>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57"/>
      <c r="AB74" s="1190"/>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0"/>
      <c r="BE74" s="1194"/>
      <c r="CK74" s="1188"/>
      <c r="CL74" s="1188"/>
      <c r="CM74" s="1188"/>
      <c r="CN74" s="1188"/>
      <c r="CO74" s="1188"/>
      <c r="CP74" s="1188"/>
    </row>
    <row r="75" spans="1:94" ht="15.75" customHeight="1" thickBot="1">
      <c r="A75" s="1190"/>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0"/>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0"/>
      <c r="G79" s="2141"/>
      <c r="H79" s="2141"/>
      <c r="I79" s="2141"/>
      <c r="J79" s="2141"/>
      <c r="K79" s="2141"/>
      <c r="L79" s="2141"/>
      <c r="M79" s="2141"/>
      <c r="N79" s="2141"/>
      <c r="O79" s="2141"/>
      <c r="P79" s="2141"/>
      <c r="Q79" s="2141"/>
      <c r="R79" s="2141"/>
      <c r="S79" s="2141"/>
      <c r="T79" s="214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3" t="s">
        <v>2384</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9" t="s">
        <v>2383</v>
      </c>
      <c r="C81" s="2150"/>
      <c r="D81" s="2150"/>
      <c r="E81" s="2150"/>
      <c r="F81" s="2150"/>
      <c r="G81" s="2150"/>
      <c r="H81" s="2150"/>
      <c r="I81" s="2150"/>
      <c r="J81" s="2150"/>
      <c r="K81" s="2150"/>
      <c r="L81" s="2150"/>
      <c r="M81" s="2150"/>
      <c r="N81" s="2150"/>
      <c r="O81" s="2150"/>
      <c r="P81" s="2150"/>
      <c r="Q81" s="2150"/>
      <c r="R81" s="2131" t="s">
        <v>2189</v>
      </c>
      <c r="S81" s="2132"/>
      <c r="T81" s="213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2" t="s">
        <v>2382</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0"/>
      <c r="AJ83" s="2119" t="s">
        <v>2381</v>
      </c>
      <c r="AK83" s="2120"/>
      <c r="AL83" s="2120"/>
      <c r="AM83" s="2120"/>
      <c r="AN83" s="2120"/>
      <c r="AO83" s="2120"/>
      <c r="AP83" s="2120"/>
      <c r="AQ83" s="2120"/>
      <c r="AR83" s="2120"/>
      <c r="AS83" s="2120"/>
      <c r="AT83" s="2120"/>
      <c r="AU83" s="2120"/>
      <c r="AV83" s="2120"/>
      <c r="AW83" s="2120"/>
      <c r="AX83" s="2120"/>
      <c r="AY83" s="2136" t="s">
        <v>546</v>
      </c>
      <c r="AZ83" s="2136"/>
      <c r="BA83" s="2136"/>
      <c r="BB83" s="2137"/>
      <c r="BC83" s="1190"/>
      <c r="BD83" s="1190"/>
      <c r="BE83" s="1194"/>
      <c r="CK83" s="1188"/>
      <c r="CL83" s="1188"/>
      <c r="CM83" s="1188"/>
      <c r="CN83" s="1188"/>
      <c r="CO83" s="1188"/>
      <c r="CP83" s="1188"/>
    </row>
    <row r="84" spans="1:94" ht="15.75" customHeight="1">
      <c r="A84" s="1190"/>
      <c r="B84" s="2130"/>
      <c r="C84" s="2098"/>
      <c r="D84" s="2098"/>
      <c r="E84" s="2098"/>
      <c r="F84" s="2098"/>
      <c r="G84" s="2098"/>
      <c r="H84" s="2098"/>
      <c r="I84" s="2098" t="s">
        <v>2371</v>
      </c>
      <c r="J84" s="2098"/>
      <c r="K84" s="2098"/>
      <c r="L84" s="2098"/>
      <c r="M84" s="2098"/>
      <c r="N84" s="2098"/>
      <c r="O84" s="2098" t="s">
        <v>2347</v>
      </c>
      <c r="P84" s="2098"/>
      <c r="Q84" s="2098"/>
      <c r="R84" s="2098"/>
      <c r="S84" s="2098"/>
      <c r="T84" s="2098"/>
      <c r="U84" s="2098"/>
      <c r="V84" s="2134" t="s">
        <v>2346</v>
      </c>
      <c r="W84" s="2134"/>
      <c r="X84" s="2134"/>
      <c r="Y84" s="2134"/>
      <c r="Z84" s="2134"/>
      <c r="AA84" s="2134"/>
      <c r="AB84" s="2068" t="s">
        <v>2370</v>
      </c>
      <c r="AC84" s="2068"/>
      <c r="AD84" s="2068"/>
      <c r="AE84" s="2068"/>
      <c r="AF84" s="2068"/>
      <c r="AG84" s="2068"/>
      <c r="AH84" s="2135"/>
      <c r="AI84" s="1190"/>
      <c r="AJ84" s="2122"/>
      <c r="AK84" s="2123"/>
      <c r="AL84" s="2123"/>
      <c r="AM84" s="2123"/>
      <c r="AN84" s="2123"/>
      <c r="AO84" s="2123"/>
      <c r="AP84" s="2123"/>
      <c r="AQ84" s="2123"/>
      <c r="AR84" s="2123"/>
      <c r="AS84" s="2123"/>
      <c r="AT84" s="2123"/>
      <c r="AU84" s="2123"/>
      <c r="AV84" s="2123"/>
      <c r="AW84" s="2123"/>
      <c r="AX84" s="2123"/>
      <c r="AY84" s="2138"/>
      <c r="AZ84" s="2138"/>
      <c r="BA84" s="2138"/>
      <c r="BB84" s="2139"/>
      <c r="BC84" s="1190"/>
      <c r="BD84" s="1190"/>
      <c r="BE84" s="1194"/>
      <c r="CK84" s="1188"/>
      <c r="CL84" s="1188"/>
      <c r="CM84" s="1188"/>
      <c r="CN84" s="1188"/>
      <c r="CO84" s="1188"/>
      <c r="CP84" s="1188"/>
    </row>
    <row r="85" spans="1:94" ht="15.75" customHeight="1">
      <c r="A85" s="1190"/>
      <c r="B85" s="2130"/>
      <c r="C85" s="2098"/>
      <c r="D85" s="2098"/>
      <c r="E85" s="2098"/>
      <c r="F85" s="2098"/>
      <c r="G85" s="2098"/>
      <c r="H85" s="2098"/>
      <c r="I85" s="2098"/>
      <c r="J85" s="2098"/>
      <c r="K85" s="2098"/>
      <c r="L85" s="2098"/>
      <c r="M85" s="2098"/>
      <c r="N85" s="2098"/>
      <c r="O85" s="2098"/>
      <c r="P85" s="2098"/>
      <c r="Q85" s="2098"/>
      <c r="R85" s="2098"/>
      <c r="S85" s="2098"/>
      <c r="T85" s="2098"/>
      <c r="U85" s="2098"/>
      <c r="V85" s="2134"/>
      <c r="W85" s="2134"/>
      <c r="X85" s="2134"/>
      <c r="Y85" s="2134"/>
      <c r="Z85" s="2134"/>
      <c r="AA85" s="2134"/>
      <c r="AB85" s="2068"/>
      <c r="AC85" s="2068"/>
      <c r="AD85" s="2068"/>
      <c r="AE85" s="2068"/>
      <c r="AF85" s="2068"/>
      <c r="AG85" s="2068"/>
      <c r="AH85" s="2135"/>
      <c r="AI85" s="1190"/>
      <c r="AJ85" s="2122"/>
      <c r="AK85" s="2123"/>
      <c r="AL85" s="2123"/>
      <c r="AM85" s="2123"/>
      <c r="AN85" s="2123"/>
      <c r="AO85" s="2123"/>
      <c r="AP85" s="2123"/>
      <c r="AQ85" s="2123"/>
      <c r="AR85" s="2123"/>
      <c r="AS85" s="2123"/>
      <c r="AT85" s="2123"/>
      <c r="AU85" s="2123"/>
      <c r="AV85" s="2123"/>
      <c r="AW85" s="2123"/>
      <c r="AX85" s="2123"/>
      <c r="AY85" s="2138"/>
      <c r="AZ85" s="2138"/>
      <c r="BA85" s="2138"/>
      <c r="BB85" s="2139"/>
      <c r="BC85" s="1190"/>
      <c r="BD85" s="1190"/>
      <c r="BE85" s="1194"/>
      <c r="CK85" s="1188"/>
      <c r="CL85" s="1188"/>
      <c r="CM85" s="1188"/>
      <c r="CN85" s="1188"/>
      <c r="CO85" s="1188"/>
      <c r="CP85" s="1188"/>
    </row>
    <row r="86" spans="1:94" ht="15.75" customHeight="1">
      <c r="A86" s="1190"/>
      <c r="B86" s="2130" t="s">
        <v>2369</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0"/>
      <c r="AJ86" s="2122"/>
      <c r="AK86" s="2123"/>
      <c r="AL86" s="2123"/>
      <c r="AM86" s="2123"/>
      <c r="AN86" s="2123"/>
      <c r="AO86" s="2123"/>
      <c r="AP86" s="2123"/>
      <c r="AQ86" s="2123"/>
      <c r="AR86" s="2123"/>
      <c r="AS86" s="2123"/>
      <c r="AT86" s="2123"/>
      <c r="AU86" s="2123"/>
      <c r="AV86" s="2123"/>
      <c r="AW86" s="2123"/>
      <c r="AX86" s="2123"/>
      <c r="AY86" s="2138"/>
      <c r="AZ86" s="2138"/>
      <c r="BA86" s="2138"/>
      <c r="BB86" s="2139"/>
      <c r="BC86" s="1190"/>
      <c r="BD86" s="1190"/>
      <c r="BE86" s="1194"/>
      <c r="CK86" s="1188"/>
      <c r="CL86" s="1188"/>
      <c r="CM86" s="1188"/>
      <c r="CN86" s="1188"/>
      <c r="CO86" s="1188"/>
      <c r="CP86" s="1188"/>
    </row>
    <row r="87" spans="1:94" ht="15.75" customHeight="1">
      <c r="A87" s="1190"/>
      <c r="B87" s="2130" t="s">
        <v>2368</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0"/>
      <c r="AJ87" s="2038" t="s">
        <v>2375</v>
      </c>
      <c r="AK87" s="2039"/>
      <c r="AL87" s="2039"/>
      <c r="AM87" s="2039"/>
      <c r="AN87" s="2039"/>
      <c r="AO87" s="2039"/>
      <c r="AP87" s="2039"/>
      <c r="AQ87" s="2039"/>
      <c r="AR87" s="2039"/>
      <c r="AS87" s="2039"/>
      <c r="AT87" s="2039"/>
      <c r="AU87" s="2039"/>
      <c r="AV87" s="2039"/>
      <c r="AW87" s="2039"/>
      <c r="AX87" s="2039"/>
      <c r="AY87" s="2039"/>
      <c r="AZ87" s="2039"/>
      <c r="BA87" s="2039"/>
      <c r="BB87" s="2040"/>
      <c r="BC87" s="1190"/>
      <c r="BD87" s="1190"/>
      <c r="BE87" s="1194"/>
      <c r="CK87" s="1188"/>
      <c r="CL87" s="1188"/>
      <c r="CM87" s="1188"/>
      <c r="CN87" s="1188"/>
      <c r="CO87" s="1188"/>
      <c r="CP87" s="1188"/>
    </row>
    <row r="88" spans="1:94" ht="15.75" customHeight="1" thickBot="1">
      <c r="A88" s="1190"/>
      <c r="B88" s="2128" t="s">
        <v>2367</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0"/>
      <c r="AJ88" s="2041"/>
      <c r="AK88" s="2042"/>
      <c r="AL88" s="2042"/>
      <c r="AM88" s="2042"/>
      <c r="AN88" s="2042"/>
      <c r="AO88" s="2042"/>
      <c r="AP88" s="2042"/>
      <c r="AQ88" s="2042"/>
      <c r="AR88" s="2042"/>
      <c r="AS88" s="2042"/>
      <c r="AT88" s="2042"/>
      <c r="AU88" s="2042"/>
      <c r="AV88" s="2042"/>
      <c r="AW88" s="2042"/>
      <c r="AX88" s="2042"/>
      <c r="AY88" s="2042"/>
      <c r="AZ88" s="2042"/>
      <c r="BA88" s="2042"/>
      <c r="BB88" s="204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0"/>
      <c r="G92" s="2141"/>
      <c r="H92" s="2141"/>
      <c r="I92" s="2141"/>
      <c r="J92" s="2141"/>
      <c r="K92" s="2141"/>
      <c r="L92" s="2141"/>
      <c r="M92" s="2141"/>
      <c r="N92" s="2141"/>
      <c r="O92" s="2141"/>
      <c r="P92" s="2141"/>
      <c r="Q92" s="2141"/>
      <c r="R92" s="2141"/>
      <c r="S92" s="2141"/>
      <c r="T92" s="214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3" t="s">
        <v>2379</v>
      </c>
      <c r="C93" s="2144"/>
      <c r="D93" s="2144"/>
      <c r="E93" s="2144"/>
      <c r="F93" s="2144"/>
      <c r="G93" s="2144"/>
      <c r="H93" s="2144"/>
      <c r="I93" s="2144"/>
      <c r="J93" s="2144"/>
      <c r="K93" s="2144"/>
      <c r="L93" s="2144"/>
      <c r="M93" s="2144"/>
      <c r="N93" s="2144"/>
      <c r="O93" s="2144"/>
      <c r="P93" s="2144"/>
      <c r="Q93" s="2145"/>
      <c r="R93" s="2146" t="str">
        <f>IFERROR(INDEX(BR96:BR98,MATCH(F92,$BQ$96:$BQ$98,0))/SUM($BR$96:$BR$98),"")</f>
        <v/>
      </c>
      <c r="S93" s="2147"/>
      <c r="T93" s="214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9" t="s">
        <v>2378</v>
      </c>
      <c r="C94" s="2150"/>
      <c r="D94" s="2150"/>
      <c r="E94" s="2150"/>
      <c r="F94" s="2150"/>
      <c r="G94" s="2150"/>
      <c r="H94" s="2150"/>
      <c r="I94" s="2150"/>
      <c r="J94" s="2150"/>
      <c r="K94" s="2150"/>
      <c r="L94" s="2150"/>
      <c r="M94" s="2150"/>
      <c r="N94" s="2150"/>
      <c r="O94" s="2150"/>
      <c r="P94" s="2150"/>
      <c r="Q94" s="2151"/>
      <c r="R94" s="2131" t="s">
        <v>2189</v>
      </c>
      <c r="S94" s="2132"/>
      <c r="T94" s="213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2" t="s">
        <v>2377</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0"/>
      <c r="AJ96" s="2119" t="s">
        <v>2376</v>
      </c>
      <c r="AK96" s="2120"/>
      <c r="AL96" s="2120"/>
      <c r="AM96" s="2120"/>
      <c r="AN96" s="2120"/>
      <c r="AO96" s="2120"/>
      <c r="AP96" s="2120"/>
      <c r="AQ96" s="2120"/>
      <c r="AR96" s="2120"/>
      <c r="AS96" s="2120"/>
      <c r="AT96" s="2120"/>
      <c r="AU96" s="2120"/>
      <c r="AV96" s="2120"/>
      <c r="AW96" s="2120"/>
      <c r="AX96" s="2120"/>
      <c r="AY96" s="2136" t="s">
        <v>546</v>
      </c>
      <c r="AZ96" s="2136"/>
      <c r="BA96" s="2136"/>
      <c r="BB96" s="2137"/>
      <c r="BC96" s="1190"/>
      <c r="BD96" s="1190"/>
      <c r="BE96" s="1194"/>
      <c r="BQ96" s="1256" t="str">
        <f>Application!M243&amp;IF(TRIM(Application!AA249)&lt;&gt;""," ("&amp;Application!AA249&amp;")","")</f>
        <v>SURF Development Company</v>
      </c>
      <c r="BR96" s="1259">
        <f>Application!AH246</f>
        <v>2.5000000000000001E-3</v>
      </c>
      <c r="CM96" s="1188"/>
      <c r="CN96" s="1188"/>
      <c r="CO96" s="1188"/>
      <c r="CP96" s="1188"/>
    </row>
    <row r="97" spans="1:94" ht="15.75" customHeight="1">
      <c r="A97" s="1190"/>
      <c r="B97" s="2130"/>
      <c r="C97" s="2098"/>
      <c r="D97" s="2098"/>
      <c r="E97" s="2098"/>
      <c r="F97" s="2098"/>
      <c r="G97" s="2098"/>
      <c r="H97" s="2098"/>
      <c r="I97" s="2098" t="s">
        <v>2371</v>
      </c>
      <c r="J97" s="2098"/>
      <c r="K97" s="2098"/>
      <c r="L97" s="2098"/>
      <c r="M97" s="2098"/>
      <c r="N97" s="2098"/>
      <c r="O97" s="2098" t="s">
        <v>2347</v>
      </c>
      <c r="P97" s="2098"/>
      <c r="Q97" s="2098"/>
      <c r="R97" s="2098"/>
      <c r="S97" s="2098"/>
      <c r="T97" s="2098"/>
      <c r="U97" s="2098"/>
      <c r="V97" s="2134" t="s">
        <v>2346</v>
      </c>
      <c r="W97" s="2134"/>
      <c r="X97" s="2134"/>
      <c r="Y97" s="2134"/>
      <c r="Z97" s="2134"/>
      <c r="AA97" s="2134"/>
      <c r="AB97" s="2068" t="s">
        <v>2370</v>
      </c>
      <c r="AC97" s="2068"/>
      <c r="AD97" s="2068"/>
      <c r="AE97" s="2068"/>
      <c r="AF97" s="2068"/>
      <c r="AG97" s="2068"/>
      <c r="AH97" s="2135"/>
      <c r="AI97" s="1190"/>
      <c r="AJ97" s="2122"/>
      <c r="AK97" s="2123"/>
      <c r="AL97" s="2123"/>
      <c r="AM97" s="2123"/>
      <c r="AN97" s="2123"/>
      <c r="AO97" s="2123"/>
      <c r="AP97" s="2123"/>
      <c r="AQ97" s="2123"/>
      <c r="AR97" s="2123"/>
      <c r="AS97" s="2123"/>
      <c r="AT97" s="2123"/>
      <c r="AU97" s="2123"/>
      <c r="AV97" s="2123"/>
      <c r="AW97" s="2123"/>
      <c r="AX97" s="2123"/>
      <c r="AY97" s="2138"/>
      <c r="AZ97" s="2138"/>
      <c r="BA97" s="2138"/>
      <c r="BB97" s="2139"/>
      <c r="BC97" s="1190"/>
      <c r="BD97" s="1190"/>
      <c r="BE97" s="1194"/>
      <c r="BQ97" s="1256" t="str">
        <f>Application!M251&amp;IF(TRIM(Application!AA257)&lt;&gt;""," ("&amp;Application!AA257&amp;")","")</f>
        <v>Housing Authority of the County of Santa Barbara</v>
      </c>
      <c r="BR97" s="1259">
        <f>Application!AH254</f>
        <v>5.0000000000000001E-3</v>
      </c>
      <c r="CM97" s="1188"/>
      <c r="CN97" s="1188"/>
      <c r="CO97" s="1188"/>
      <c r="CP97" s="1188"/>
    </row>
    <row r="98" spans="1:94" ht="15.75" customHeight="1">
      <c r="A98" s="1190"/>
      <c r="B98" s="2130"/>
      <c r="C98" s="2098"/>
      <c r="D98" s="2098"/>
      <c r="E98" s="2098"/>
      <c r="F98" s="2098"/>
      <c r="G98" s="2098"/>
      <c r="H98" s="2098"/>
      <c r="I98" s="2098"/>
      <c r="J98" s="2098"/>
      <c r="K98" s="2098"/>
      <c r="L98" s="2098"/>
      <c r="M98" s="2098"/>
      <c r="N98" s="2098"/>
      <c r="O98" s="2098"/>
      <c r="P98" s="2098"/>
      <c r="Q98" s="2098"/>
      <c r="R98" s="2098"/>
      <c r="S98" s="2098"/>
      <c r="T98" s="2098"/>
      <c r="U98" s="2098"/>
      <c r="V98" s="2134"/>
      <c r="W98" s="2134"/>
      <c r="X98" s="2134"/>
      <c r="Y98" s="2134"/>
      <c r="Z98" s="2134"/>
      <c r="AA98" s="2134"/>
      <c r="AB98" s="2068"/>
      <c r="AC98" s="2068"/>
      <c r="AD98" s="2068"/>
      <c r="AE98" s="2068"/>
      <c r="AF98" s="2068"/>
      <c r="AG98" s="2068"/>
      <c r="AH98" s="2135"/>
      <c r="AI98" s="1190"/>
      <c r="AJ98" s="2122"/>
      <c r="AK98" s="2123"/>
      <c r="AL98" s="2123"/>
      <c r="AM98" s="2123"/>
      <c r="AN98" s="2123"/>
      <c r="AO98" s="2123"/>
      <c r="AP98" s="2123"/>
      <c r="AQ98" s="2123"/>
      <c r="AR98" s="2123"/>
      <c r="AS98" s="2123"/>
      <c r="AT98" s="2123"/>
      <c r="AU98" s="2123"/>
      <c r="AV98" s="2123"/>
      <c r="AW98" s="2123"/>
      <c r="AX98" s="2123"/>
      <c r="AY98" s="2138"/>
      <c r="AZ98" s="2138"/>
      <c r="BA98" s="2138"/>
      <c r="BB98" s="2139"/>
      <c r="BC98" s="1190"/>
      <c r="BD98" s="1190"/>
      <c r="BE98" s="1194"/>
      <c r="BQ98" s="1256" t="str">
        <f>Application!M259&amp;IF(TRIM(Application!AA265)&lt;&gt;""," ("&amp;Application!AA265&amp;")","")</f>
        <v>Sanrta Barbara Housing Assistance Corporation</v>
      </c>
      <c r="BR98" s="1259">
        <f>Application!AH262</f>
        <v>2.5000000000000001E-3</v>
      </c>
      <c r="CM98" s="1188"/>
      <c r="CN98" s="1188"/>
      <c r="CO98" s="1188"/>
      <c r="CP98" s="1188"/>
    </row>
    <row r="99" spans="1:94" ht="15.75" customHeight="1">
      <c r="A99" s="1190"/>
      <c r="B99" s="2130" t="s">
        <v>2369</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0"/>
      <c r="AJ99" s="2122"/>
      <c r="AK99" s="2123"/>
      <c r="AL99" s="2123"/>
      <c r="AM99" s="2123"/>
      <c r="AN99" s="2123"/>
      <c r="AO99" s="2123"/>
      <c r="AP99" s="2123"/>
      <c r="AQ99" s="2123"/>
      <c r="AR99" s="2123"/>
      <c r="AS99" s="2123"/>
      <c r="AT99" s="2123"/>
      <c r="AU99" s="2123"/>
      <c r="AV99" s="2123"/>
      <c r="AW99" s="2123"/>
      <c r="AX99" s="2123"/>
      <c r="AY99" s="2138"/>
      <c r="AZ99" s="2138"/>
      <c r="BA99" s="2138"/>
      <c r="BB99" s="2139"/>
      <c r="BC99" s="1190"/>
      <c r="BD99" s="1190"/>
      <c r="BE99" s="1194"/>
      <c r="CM99" s="1188"/>
      <c r="CN99" s="1188"/>
      <c r="CO99" s="1188"/>
      <c r="CP99" s="1188"/>
    </row>
    <row r="100" spans="1:94" ht="15.75" customHeight="1">
      <c r="A100" s="1190"/>
      <c r="B100" s="2130" t="s">
        <v>2368</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0"/>
      <c r="AJ100" s="2038" t="s">
        <v>2375</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0"/>
      <c r="BD100" s="1190"/>
      <c r="BE100" s="1194"/>
      <c r="CM100" s="1188"/>
      <c r="CN100" s="1188"/>
      <c r="CO100" s="1188"/>
      <c r="CP100" s="1188"/>
    </row>
    <row r="101" spans="1:94" ht="15.75" customHeight="1" thickBot="1">
      <c r="A101" s="1190"/>
      <c r="B101" s="2128" t="s">
        <v>2367</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0"/>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0"/>
      <c r="BD101" s="1190"/>
      <c r="BE101" s="1194"/>
      <c r="BQ101" s="1256" t="str">
        <f>Application!AA335</f>
        <v>Housing Authority of the County of Santa Barbara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2"/>
      <c r="G104" s="2093"/>
      <c r="H104" s="2093"/>
      <c r="I104" s="2093"/>
      <c r="J104" s="2093"/>
      <c r="K104" s="2093"/>
      <c r="L104" s="2093"/>
      <c r="M104" s="2093"/>
      <c r="N104" s="2093"/>
      <c r="O104" s="2093"/>
      <c r="P104" s="2093"/>
      <c r="Q104" s="2093"/>
      <c r="R104" s="209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1" t="str">
        <f>IFERROR(INDEX(BR96:BR98,MATCH(F104,$BQ$96:$BQ$98,0))/SUM($BR$96:$BR$98),"")</f>
        <v/>
      </c>
      <c r="P105" s="2132"/>
      <c r="Q105" s="2132"/>
      <c r="R105" s="213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1" t="s">
        <v>2372</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0"/>
      <c r="C108" s="2098"/>
      <c r="D108" s="2098"/>
      <c r="E108" s="2098"/>
      <c r="F108" s="2098"/>
      <c r="G108" s="2098"/>
      <c r="H108" s="2098"/>
      <c r="I108" s="2098" t="s">
        <v>2371</v>
      </c>
      <c r="J108" s="2098"/>
      <c r="K108" s="2098"/>
      <c r="L108" s="2098"/>
      <c r="M108" s="2098"/>
      <c r="N108" s="2098"/>
      <c r="O108" s="2098" t="s">
        <v>2347</v>
      </c>
      <c r="P108" s="2098"/>
      <c r="Q108" s="2098"/>
      <c r="R108" s="2098"/>
      <c r="S108" s="2098"/>
      <c r="T108" s="2098"/>
      <c r="U108" s="2098"/>
      <c r="V108" s="2134" t="s">
        <v>2346</v>
      </c>
      <c r="W108" s="2134"/>
      <c r="X108" s="2134"/>
      <c r="Y108" s="2134"/>
      <c r="Z108" s="2134"/>
      <c r="AA108" s="2134"/>
      <c r="AB108" s="2068" t="s">
        <v>2370</v>
      </c>
      <c r="AC108" s="2068"/>
      <c r="AD108" s="2068"/>
      <c r="AE108" s="2068"/>
      <c r="AF108" s="2068"/>
      <c r="AG108" s="2068"/>
      <c r="AH108" s="213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0"/>
      <c r="C109" s="2098"/>
      <c r="D109" s="2098"/>
      <c r="E109" s="2098"/>
      <c r="F109" s="2098"/>
      <c r="G109" s="2098"/>
      <c r="H109" s="2098"/>
      <c r="I109" s="2098"/>
      <c r="J109" s="2098"/>
      <c r="K109" s="2098"/>
      <c r="L109" s="2098"/>
      <c r="M109" s="2098"/>
      <c r="N109" s="2098"/>
      <c r="O109" s="2098"/>
      <c r="P109" s="2098"/>
      <c r="Q109" s="2098"/>
      <c r="R109" s="2098"/>
      <c r="S109" s="2098"/>
      <c r="T109" s="2098"/>
      <c r="U109" s="2098"/>
      <c r="V109" s="2134"/>
      <c r="W109" s="2134"/>
      <c r="X109" s="2134"/>
      <c r="Y109" s="2134"/>
      <c r="Z109" s="2134"/>
      <c r="AA109" s="2134"/>
      <c r="AB109" s="2068"/>
      <c r="AC109" s="2068"/>
      <c r="AD109" s="2068"/>
      <c r="AE109" s="2068"/>
      <c r="AF109" s="2068"/>
      <c r="AG109" s="2068"/>
      <c r="AH109" s="213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0" t="s">
        <v>2369</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0" t="s">
        <v>2368</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8" t="s">
        <v>2367</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2"/>
      <c r="G115" s="2093"/>
      <c r="H115" s="2093"/>
      <c r="I115" s="2093"/>
      <c r="J115" s="2093"/>
      <c r="K115" s="2093"/>
      <c r="L115" s="2093"/>
      <c r="M115" s="2093"/>
      <c r="N115" s="2093"/>
      <c r="O115" s="2093"/>
      <c r="P115" s="2093"/>
      <c r="Q115" s="2093"/>
      <c r="R115" s="209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3" t="s">
        <v>2365</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1" t="s">
        <v>2365</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9" t="s">
        <v>2363</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4"/>
    </row>
    <row r="126" spans="1:57" ht="15.75" customHeight="1">
      <c r="A126" s="1190"/>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0"/>
      <c r="W126" s="1190"/>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4"/>
    </row>
    <row r="127" spans="1:57" ht="15.75" customHeight="1">
      <c r="A127" s="1190"/>
      <c r="B127" s="2035"/>
      <c r="C127" s="2036"/>
      <c r="D127" s="2036"/>
      <c r="E127" s="2036"/>
      <c r="F127" s="2036"/>
      <c r="G127" s="2036"/>
      <c r="H127" s="2036"/>
      <c r="I127" s="2098" t="s">
        <v>2362</v>
      </c>
      <c r="J127" s="2098"/>
      <c r="K127" s="2098"/>
      <c r="L127" s="2098"/>
      <c r="M127" s="2098"/>
      <c r="N127" s="2098"/>
      <c r="O127" s="2099" t="s">
        <v>2361</v>
      </c>
      <c r="P127" s="2099"/>
      <c r="Q127" s="2099"/>
      <c r="R127" s="2099"/>
      <c r="S127" s="2099"/>
      <c r="T127" s="2099"/>
      <c r="U127" s="2100"/>
      <c r="V127" s="1190"/>
      <c r="W127" s="1190"/>
      <c r="X127" s="2038" t="s">
        <v>2331</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4"/>
    </row>
    <row r="128" spans="1:57" ht="15.75" customHeight="1">
      <c r="A128" s="1190"/>
      <c r="B128" s="2069" t="s">
        <v>2345</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0"/>
      <c r="W128" s="1190"/>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4"/>
    </row>
    <row r="129" spans="1:57" ht="15.75" customHeight="1" thickBot="1">
      <c r="A129" s="1190"/>
      <c r="B129" s="2063" t="s">
        <v>2344</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0"/>
      <c r="W129" s="1190"/>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4"/>
    </row>
    <row r="133" spans="1:57" ht="15.75" customHeight="1">
      <c r="A133" s="1190"/>
      <c r="B133" s="2095" t="s">
        <v>2359</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0"/>
      <c r="W133" s="1190"/>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4"/>
    </row>
    <row r="134" spans="1:57" ht="15.75" customHeight="1">
      <c r="A134" s="1190"/>
      <c r="B134" s="2035"/>
      <c r="C134" s="2036"/>
      <c r="D134" s="2036"/>
      <c r="E134" s="2036"/>
      <c r="F134" s="2036"/>
      <c r="G134" s="2036"/>
      <c r="H134" s="2036"/>
      <c r="I134" s="2073" t="s">
        <v>2347</v>
      </c>
      <c r="J134" s="2073"/>
      <c r="K134" s="2073"/>
      <c r="L134" s="2073"/>
      <c r="M134" s="2073"/>
      <c r="N134" s="2073"/>
      <c r="O134" s="2073"/>
      <c r="P134" s="2073" t="s">
        <v>2346</v>
      </c>
      <c r="Q134" s="2073"/>
      <c r="R134" s="2073"/>
      <c r="S134" s="2073"/>
      <c r="T134" s="2073"/>
      <c r="U134" s="2074"/>
      <c r="V134" s="1190"/>
      <c r="W134" s="1190"/>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4"/>
    </row>
    <row r="135" spans="1:57" ht="15.75" customHeight="1">
      <c r="A135" s="1190"/>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0"/>
      <c r="W135" s="1190"/>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4"/>
    </row>
    <row r="136" spans="1:57" ht="15.75" customHeight="1">
      <c r="A136" s="1190"/>
      <c r="B136" s="2069" t="s">
        <v>2345</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0"/>
      <c r="W136" s="1190"/>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4"/>
    </row>
    <row r="137" spans="1:57" ht="15.75" customHeight="1" thickBot="1">
      <c r="A137" s="1190"/>
      <c r="B137" s="2063" t="s">
        <v>2344</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0"/>
      <c r="W137" s="1190"/>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0" t="s">
        <v>2358</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546</v>
      </c>
      <c r="AI139" s="2078"/>
      <c r="AJ139" s="2078"/>
      <c r="AK139" s="2078"/>
      <c r="AL139" s="2078"/>
      <c r="AM139" s="2078"/>
      <c r="AN139" s="2078"/>
      <c r="AO139" s="2078"/>
      <c r="AP139" s="2078"/>
      <c r="AQ139" s="2078"/>
      <c r="AR139" s="2078"/>
      <c r="AS139" s="2078"/>
      <c r="AT139" s="2078"/>
      <c r="AU139" s="2078"/>
      <c r="AV139" s="2078"/>
      <c r="AW139" s="2078"/>
      <c r="AX139" s="2079"/>
      <c r="AY139" s="1190"/>
      <c r="AZ139" s="1190"/>
      <c r="BA139" s="1190"/>
      <c r="BB139" s="1190"/>
      <c r="BC139" s="1190"/>
      <c r="BD139" s="1190"/>
      <c r="BE139" s="1194"/>
    </row>
    <row r="140" spans="1:57" ht="15.75" customHeight="1" thickBot="1">
      <c r="A140" s="1190"/>
      <c r="B140" s="2075" t="s">
        <v>2357</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0"/>
      <c r="AZ140" s="1190"/>
      <c r="BA140" s="1190"/>
      <c r="BB140" s="1190"/>
      <c r="BC140" s="1190"/>
      <c r="BD140" s="1190"/>
      <c r="BE140" s="1194"/>
    </row>
    <row r="141" spans="1:57" ht="15.75" customHeight="1">
      <c r="A141" s="1190"/>
      <c r="B141" s="2075" t="s">
        <v>2356</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546</v>
      </c>
      <c r="AI141" s="2078"/>
      <c r="AJ141" s="2078"/>
      <c r="AK141" s="2078"/>
      <c r="AL141" s="2078"/>
      <c r="AM141" s="2078"/>
      <c r="AN141" s="2078"/>
      <c r="AO141" s="2078"/>
      <c r="AP141" s="2078"/>
      <c r="AQ141" s="2078"/>
      <c r="AR141" s="2078"/>
      <c r="AS141" s="2078"/>
      <c r="AT141" s="2078"/>
      <c r="AU141" s="2078"/>
      <c r="AV141" s="2078"/>
      <c r="AW141" s="2078"/>
      <c r="AX141" s="2079"/>
      <c r="AY141" s="1190"/>
      <c r="AZ141" s="1190"/>
      <c r="BA141" s="1190"/>
      <c r="BB141" s="1190"/>
      <c r="BC141" s="1190"/>
      <c r="BD141" s="1190"/>
      <c r="BE141" s="1194"/>
    </row>
    <row r="142" spans="1:57" ht="15.75" customHeight="1">
      <c r="A142" s="1190"/>
      <c r="B142" s="2080" t="s">
        <v>2355</v>
      </c>
      <c r="C142" s="2081"/>
      <c r="D142" s="2081"/>
      <c r="E142" s="2081"/>
      <c r="F142" s="2081"/>
      <c r="G142" s="2081"/>
      <c r="H142" s="2081"/>
      <c r="I142" s="2081"/>
      <c r="J142" s="2081"/>
      <c r="K142" s="2081"/>
      <c r="L142" s="2081"/>
      <c r="M142" s="2081"/>
      <c r="N142" s="2081"/>
      <c r="O142" s="2081"/>
      <c r="P142" s="2081"/>
      <c r="Q142" s="2081"/>
      <c r="R142" s="2082" t="s">
        <v>2354</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0"/>
      <c r="AZ142" s="1190"/>
      <c r="BA142" s="1190"/>
      <c r="BB142" s="1190"/>
      <c r="BC142" s="1190" t="s">
        <v>250</v>
      </c>
      <c r="BD142" s="1190"/>
      <c r="BE142" s="1194"/>
    </row>
    <row r="143" spans="1:57" ht="15.75" customHeight="1">
      <c r="A143" s="1190"/>
      <c r="B143" s="2084" t="s">
        <v>2353</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0"/>
      <c r="AZ143" s="1190"/>
      <c r="BA143" s="1190"/>
      <c r="BB143" s="1190"/>
      <c r="BC143" s="1190"/>
      <c r="BD143" s="1190"/>
      <c r="BE143" s="1194"/>
    </row>
    <row r="144" spans="1:57" ht="15.75" customHeight="1">
      <c r="A144" s="1190"/>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0"/>
      <c r="AZ144" s="1190"/>
      <c r="BA144" s="1190"/>
      <c r="BB144" s="1190"/>
      <c r="BC144" s="1190"/>
      <c r="BD144" s="1190"/>
      <c r="BE144" s="1194"/>
    </row>
    <row r="145" spans="1:57" ht="15.75" customHeight="1">
      <c r="A145" s="1190"/>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0"/>
      <c r="AZ145" s="1190"/>
      <c r="BA145" s="1190"/>
      <c r="BB145" s="1190"/>
      <c r="BC145" s="1190"/>
      <c r="BD145" s="1190"/>
      <c r="BE145" s="1194"/>
    </row>
    <row r="146" spans="1:57" ht="15.75" customHeight="1">
      <c r="A146" s="1190"/>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0"/>
      <c r="AZ146" s="1190"/>
      <c r="BA146" s="1190"/>
      <c r="BB146" s="1190"/>
      <c r="BC146" s="1190"/>
      <c r="BD146" s="1190"/>
      <c r="BE146" s="1194"/>
    </row>
    <row r="147" spans="1:57" ht="15.75" customHeight="1">
      <c r="A147" s="1190"/>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0"/>
      <c r="AZ147" s="1190"/>
      <c r="BA147" s="1190"/>
      <c r="BB147" s="1190"/>
      <c r="BC147" s="1190"/>
      <c r="BD147" s="1190"/>
      <c r="BE147" s="1194"/>
    </row>
    <row r="148" spans="1:57" ht="15.75" customHeight="1">
      <c r="A148" s="1190"/>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0"/>
      <c r="AZ148" s="1190"/>
      <c r="BA148" s="1190"/>
      <c r="BB148" s="1190"/>
      <c r="BC148" s="1190"/>
      <c r="BD148" s="1190"/>
      <c r="BE148" s="1194"/>
    </row>
    <row r="149" spans="1:57" ht="15.75" customHeight="1">
      <c r="A149" s="1190"/>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0"/>
      <c r="AZ149" s="1190"/>
      <c r="BA149" s="1190"/>
      <c r="BB149" s="1190"/>
      <c r="BC149" s="1190"/>
      <c r="BD149" s="1190"/>
      <c r="BE149" s="1194"/>
    </row>
    <row r="150" spans="1:57" ht="15.75" customHeight="1">
      <c r="A150" s="1190"/>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0"/>
      <c r="AZ150" s="1190"/>
      <c r="BA150" s="1190"/>
      <c r="BB150" s="1190"/>
      <c r="BC150" s="1190"/>
      <c r="BD150" s="1190"/>
      <c r="BE150" s="1194"/>
    </row>
    <row r="151" spans="1:57" ht="15.75" customHeight="1">
      <c r="A151" s="1190"/>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0"/>
      <c r="AZ151" s="1190"/>
      <c r="BA151" s="1190"/>
      <c r="BB151" s="1190"/>
      <c r="BC151" s="1190"/>
      <c r="BD151" s="1190"/>
      <c r="BE151" s="1194"/>
    </row>
    <row r="152" spans="1:57" ht="15.75" customHeight="1" thickBot="1">
      <c r="A152" s="1190"/>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7" t="s">
        <v>2350</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0"/>
      <c r="W156" s="1192"/>
      <c r="X156" s="2067" t="s">
        <v>2349</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5"/>
      <c r="C157" s="2036"/>
      <c r="D157" s="2036"/>
      <c r="E157" s="2036"/>
      <c r="F157" s="2036"/>
      <c r="G157" s="2036"/>
      <c r="H157" s="2036"/>
      <c r="I157" s="2073" t="s">
        <v>2347</v>
      </c>
      <c r="J157" s="2073"/>
      <c r="K157" s="2073"/>
      <c r="L157" s="2073"/>
      <c r="M157" s="2073"/>
      <c r="N157" s="2073"/>
      <c r="O157" s="2073"/>
      <c r="P157" s="2073" t="s">
        <v>2348</v>
      </c>
      <c r="Q157" s="2073"/>
      <c r="R157" s="2073"/>
      <c r="S157" s="2073"/>
      <c r="T157" s="2073"/>
      <c r="U157" s="2074"/>
      <c r="V157" s="1190"/>
      <c r="W157" s="1190"/>
      <c r="X157" s="2035"/>
      <c r="Y157" s="2036"/>
      <c r="Z157" s="2036"/>
      <c r="AA157" s="2036"/>
      <c r="AB157" s="2036"/>
      <c r="AC157" s="2036"/>
      <c r="AD157" s="2036"/>
      <c r="AE157" s="2073" t="s">
        <v>2347</v>
      </c>
      <c r="AF157" s="2073"/>
      <c r="AG157" s="2073"/>
      <c r="AH157" s="2073"/>
      <c r="AI157" s="2073"/>
      <c r="AJ157" s="2073"/>
      <c r="AK157" s="2073"/>
      <c r="AL157" s="2073" t="s">
        <v>2346</v>
      </c>
      <c r="AM157" s="2073"/>
      <c r="AN157" s="2073"/>
      <c r="AO157" s="2073"/>
      <c r="AP157" s="2073"/>
      <c r="AQ157" s="2074"/>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0"/>
      <c r="W158" s="1190"/>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9" t="s">
        <v>2345</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0"/>
      <c r="W159" s="1190"/>
      <c r="X159" s="2063" t="s">
        <v>2345</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3" t="s">
        <v>2344</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7" t="s">
        <v>2343</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5" t="s">
        <v>2328</v>
      </c>
      <c r="D163" s="2036"/>
      <c r="E163" s="2036"/>
      <c r="F163" s="2036"/>
      <c r="G163" s="2036"/>
      <c r="H163" s="2036"/>
      <c r="I163" s="2036"/>
      <c r="J163" s="2036"/>
      <c r="K163" s="2036"/>
      <c r="L163" s="2036"/>
      <c r="M163" s="2036"/>
      <c r="N163" s="2036"/>
      <c r="O163" s="2036"/>
      <c r="P163" s="2036"/>
      <c r="Q163" s="2036" t="s">
        <v>2342</v>
      </c>
      <c r="R163" s="2036"/>
      <c r="S163" s="2036"/>
      <c r="T163" s="2068" t="s">
        <v>2341</v>
      </c>
      <c r="U163" s="2068"/>
      <c r="V163" s="2068"/>
      <c r="W163" s="2068"/>
      <c r="X163" s="2068"/>
      <c r="Y163" s="2068"/>
      <c r="Z163" s="2068"/>
      <c r="AA163" s="2068"/>
      <c r="AB163" s="2036" t="s">
        <v>2340</v>
      </c>
      <c r="AC163" s="2036"/>
      <c r="AD163" s="2036"/>
      <c r="AE163" s="2036"/>
      <c r="AF163" s="2036"/>
      <c r="AG163" s="203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0" t="s">
        <v>2339</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0" t="s">
        <v>2338</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0" t="s">
        <v>2337</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0" t="s">
        <v>2336</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0" t="s">
        <v>170</v>
      </c>
      <c r="D168" s="2051"/>
      <c r="E168" s="2051"/>
      <c r="F168" s="2052" t="s">
        <v>2317</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0" t="s">
        <v>170</v>
      </c>
      <c r="D169" s="2051"/>
      <c r="E169" s="2051"/>
      <c r="F169" s="2052" t="s">
        <v>2317</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6" t="s">
        <v>170</v>
      </c>
      <c r="D170" s="2057"/>
      <c r="E170" s="2057"/>
      <c r="F170" s="2058" t="s">
        <v>2317</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1" t="s">
        <v>2335</v>
      </c>
      <c r="D172" s="2022"/>
      <c r="E172" s="2022"/>
      <c r="F172" s="2022"/>
      <c r="G172" s="2022"/>
      <c r="H172" s="2022"/>
      <c r="I172" s="2022"/>
      <c r="J172" s="2022"/>
      <c r="K172" s="2022"/>
      <c r="L172" s="2022"/>
      <c r="M172" s="2022"/>
      <c r="N172" s="2031"/>
      <c r="O172" s="1190"/>
      <c r="P172" s="2032" t="s">
        <v>2334</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5" t="s">
        <v>2333</v>
      </c>
      <c r="D173" s="2036"/>
      <c r="E173" s="2036"/>
      <c r="F173" s="2036"/>
      <c r="G173" s="2036"/>
      <c r="H173" s="2036"/>
      <c r="I173" s="2036" t="s">
        <v>2332</v>
      </c>
      <c r="J173" s="2036"/>
      <c r="K173" s="2036"/>
      <c r="L173" s="2036"/>
      <c r="M173" s="2036"/>
      <c r="N173" s="2037"/>
      <c r="O173" s="1190"/>
      <c r="P173" s="2038" t="s">
        <v>2331</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3"/>
      <c r="D174" s="1984"/>
      <c r="E174" s="1984"/>
      <c r="F174" s="1984"/>
      <c r="G174" s="1984"/>
      <c r="H174" s="1984"/>
      <c r="I174" s="2044"/>
      <c r="J174" s="2044"/>
      <c r="K174" s="2044"/>
      <c r="L174" s="2044"/>
      <c r="M174" s="2044"/>
      <c r="N174" s="2045"/>
      <c r="O174" s="1190"/>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3"/>
      <c r="D175" s="1984"/>
      <c r="E175" s="1984"/>
      <c r="F175" s="1984"/>
      <c r="G175" s="1984"/>
      <c r="H175" s="1984"/>
      <c r="I175" s="2044"/>
      <c r="J175" s="2044"/>
      <c r="K175" s="2044"/>
      <c r="L175" s="2044"/>
      <c r="M175" s="2044"/>
      <c r="N175" s="2045"/>
      <c r="O175" s="1190"/>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3"/>
      <c r="D176" s="1984"/>
      <c r="E176" s="1984"/>
      <c r="F176" s="1984"/>
      <c r="G176" s="1984"/>
      <c r="H176" s="1984"/>
      <c r="I176" s="2044"/>
      <c r="J176" s="2044"/>
      <c r="K176" s="2044"/>
      <c r="L176" s="2044"/>
      <c r="M176" s="2044"/>
      <c r="N176" s="2045"/>
      <c r="O176" s="1190"/>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3"/>
      <c r="D177" s="1984"/>
      <c r="E177" s="1984"/>
      <c r="F177" s="1984"/>
      <c r="G177" s="1984"/>
      <c r="H177" s="1984"/>
      <c r="I177" s="2044"/>
      <c r="J177" s="2044"/>
      <c r="K177" s="2044"/>
      <c r="L177" s="2044"/>
      <c r="M177" s="2044"/>
      <c r="N177" s="2045"/>
      <c r="O177" s="1190"/>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3"/>
      <c r="D178" s="1984"/>
      <c r="E178" s="1984"/>
      <c r="F178" s="1984"/>
      <c r="G178" s="1984"/>
      <c r="H178" s="1984"/>
      <c r="I178" s="2044"/>
      <c r="J178" s="2044"/>
      <c r="K178" s="2044"/>
      <c r="L178" s="2044"/>
      <c r="M178" s="2044"/>
      <c r="N178" s="2045"/>
      <c r="O178" s="1190"/>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3"/>
      <c r="D179" s="1984"/>
      <c r="E179" s="1984"/>
      <c r="F179" s="1984"/>
      <c r="G179" s="1984"/>
      <c r="H179" s="1984"/>
      <c r="I179" s="2044"/>
      <c r="J179" s="2044"/>
      <c r="K179" s="2044"/>
      <c r="L179" s="2044"/>
      <c r="M179" s="2044"/>
      <c r="N179" s="2045"/>
      <c r="O179" s="1190"/>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6"/>
      <c r="D180" s="2047"/>
      <c r="E180" s="2047"/>
      <c r="F180" s="2047"/>
      <c r="G180" s="2047"/>
      <c r="H180" s="2047"/>
      <c r="I180" s="2048"/>
      <c r="J180" s="2048"/>
      <c r="K180" s="2048"/>
      <c r="L180" s="2048"/>
      <c r="M180" s="2048"/>
      <c r="N180" s="2049"/>
      <c r="O180" s="1190"/>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2" t="s">
        <v>2330</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0"/>
      <c r="AG182" s="1190"/>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0"/>
      <c r="B183" s="1190"/>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0"/>
      <c r="AG183" s="1190"/>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0"/>
      <c r="B184" s="1190"/>
      <c r="C184" s="2021" t="s">
        <v>2328</v>
      </c>
      <c r="D184" s="2022"/>
      <c r="E184" s="2022"/>
      <c r="F184" s="2022"/>
      <c r="G184" s="2022"/>
      <c r="H184" s="2022"/>
      <c r="I184" s="2022"/>
      <c r="J184" s="2022"/>
      <c r="K184" s="2022"/>
      <c r="L184" s="2022"/>
      <c r="M184" s="2022"/>
      <c r="N184" s="2022" t="s">
        <v>2329</v>
      </c>
      <c r="O184" s="2022"/>
      <c r="P184" s="2022"/>
      <c r="Q184" s="2022"/>
      <c r="R184" s="2022"/>
      <c r="S184" s="2022"/>
      <c r="T184" s="2022"/>
      <c r="U184" s="2023" t="s">
        <v>2328</v>
      </c>
      <c r="V184" s="2023"/>
      <c r="W184" s="2023"/>
      <c r="X184" s="2023"/>
      <c r="Y184" s="2023"/>
      <c r="Z184" s="2023"/>
      <c r="AA184" s="2023"/>
      <c r="AB184" s="2023"/>
      <c r="AC184" s="2023"/>
      <c r="AD184" s="2023"/>
      <c r="AE184" s="2024"/>
      <c r="AF184" s="1190"/>
      <c r="AG184" s="1190"/>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0"/>
      <c r="B185" s="1190"/>
      <c r="C185" s="2000" t="s">
        <v>2327</v>
      </c>
      <c r="D185" s="2001"/>
      <c r="E185" s="2001"/>
      <c r="F185" s="2001"/>
      <c r="G185" s="2001"/>
      <c r="H185" s="2001"/>
      <c r="I185" s="2001"/>
      <c r="J185" s="2001"/>
      <c r="K185" s="2001"/>
      <c r="L185" s="2001"/>
      <c r="M185" s="2001"/>
      <c r="N185" s="2011">
        <f>'Sources and Uses Budget'!B105</f>
        <v>24588278</v>
      </c>
      <c r="O185" s="2011"/>
      <c r="P185" s="2011"/>
      <c r="Q185" s="2011"/>
      <c r="R185" s="2011"/>
      <c r="S185" s="2011"/>
      <c r="T185" s="2011"/>
      <c r="U185" s="2025"/>
      <c r="V185" s="2025"/>
      <c r="W185" s="2025"/>
      <c r="X185" s="2025"/>
      <c r="Y185" s="2025"/>
      <c r="Z185" s="2025"/>
      <c r="AA185" s="2025"/>
      <c r="AB185" s="2025"/>
      <c r="AC185" s="2025"/>
      <c r="AD185" s="2025"/>
      <c r="AE185" s="2026"/>
      <c r="AF185" s="1190"/>
      <c r="AG185" s="1190"/>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0"/>
      <c r="B186" s="1190"/>
      <c r="C186" s="2000" t="s">
        <v>2326</v>
      </c>
      <c r="D186" s="2001"/>
      <c r="E186" s="2001"/>
      <c r="F186" s="2001"/>
      <c r="G186" s="2001"/>
      <c r="H186" s="2001"/>
      <c r="I186" s="2001"/>
      <c r="J186" s="2001"/>
      <c r="K186" s="2001"/>
      <c r="L186" s="2001"/>
      <c r="M186" s="2001"/>
      <c r="N186" s="2011">
        <f>N185/J29</f>
        <v>745099.33333333337</v>
      </c>
      <c r="O186" s="2011"/>
      <c r="P186" s="2011"/>
      <c r="Q186" s="2011"/>
      <c r="R186" s="2011"/>
      <c r="S186" s="2011"/>
      <c r="T186" s="2011"/>
      <c r="U186" s="1228"/>
      <c r="V186" s="1228"/>
      <c r="W186" s="1228"/>
      <c r="X186" s="1228"/>
      <c r="Y186" s="1228"/>
      <c r="Z186" s="1228"/>
      <c r="AA186" s="1228"/>
      <c r="AB186" s="1228"/>
      <c r="AC186" s="1228"/>
      <c r="AD186" s="1228"/>
      <c r="AE186" s="1229"/>
      <c r="AF186" s="1190"/>
      <c r="AG186" s="1190"/>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0"/>
      <c r="B187" s="1190"/>
      <c r="C187" s="2027" t="s">
        <v>2325</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0"/>
      <c r="AG187" s="1190"/>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0"/>
      <c r="B188" s="1190"/>
      <c r="C188" s="2000" t="s">
        <v>2324</v>
      </c>
      <c r="D188" s="2001"/>
      <c r="E188" s="2001"/>
      <c r="F188" s="2001"/>
      <c r="G188" s="2001"/>
      <c r="H188" s="2001"/>
      <c r="I188" s="2001"/>
      <c r="J188" s="2001"/>
      <c r="K188" s="2001"/>
      <c r="L188" s="2001"/>
      <c r="M188" s="2001"/>
      <c r="N188" s="2030">
        <f>SUM('Sources and Uses Budget'!B85:B86)</f>
        <v>348483</v>
      </c>
      <c r="O188" s="2030"/>
      <c r="P188" s="2030"/>
      <c r="Q188" s="2030"/>
      <c r="R188" s="2030"/>
      <c r="S188" s="2030"/>
      <c r="T188" s="2030"/>
      <c r="U188" s="1987"/>
      <c r="V188" s="1987"/>
      <c r="W188" s="1987"/>
      <c r="X188" s="1987"/>
      <c r="Y188" s="1987"/>
      <c r="Z188" s="1987"/>
      <c r="AA188" s="1987"/>
      <c r="AB188" s="1987"/>
      <c r="AC188" s="1987"/>
      <c r="AD188" s="1987"/>
      <c r="AE188" s="1988"/>
      <c r="AF188" s="1190"/>
      <c r="AG188" s="1190"/>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0"/>
      <c r="B189" s="1190"/>
      <c r="C189" s="2000" t="s">
        <v>2323</v>
      </c>
      <c r="D189" s="2001"/>
      <c r="E189" s="2001"/>
      <c r="F189" s="2001"/>
      <c r="G189" s="2001"/>
      <c r="H189" s="2001"/>
      <c r="I189" s="2001"/>
      <c r="J189" s="2001"/>
      <c r="K189" s="2001"/>
      <c r="L189" s="2001"/>
      <c r="M189" s="2001"/>
      <c r="N189" s="2030">
        <f>'Sources and Uses Budget'!B8</f>
        <v>80000</v>
      </c>
      <c r="O189" s="2030"/>
      <c r="P189" s="2030"/>
      <c r="Q189" s="2030"/>
      <c r="R189" s="2030"/>
      <c r="S189" s="2030"/>
      <c r="T189" s="2030"/>
      <c r="U189" s="1987"/>
      <c r="V189" s="1987"/>
      <c r="W189" s="1987"/>
      <c r="X189" s="1987"/>
      <c r="Y189" s="1987"/>
      <c r="Z189" s="1987"/>
      <c r="AA189" s="1987"/>
      <c r="AB189" s="1987"/>
      <c r="AC189" s="1987"/>
      <c r="AD189" s="1987"/>
      <c r="AE189" s="1988"/>
      <c r="AF189" s="1190"/>
      <c r="AG189" s="1190"/>
      <c r="AH189" s="1997" t="s">
        <v>2321</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0"/>
      <c r="B190" s="1190"/>
      <c r="C190" s="2000" t="s">
        <v>2322</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0"/>
      <c r="AG190" s="1190"/>
      <c r="AH190" s="2002" t="s">
        <v>2321</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0"/>
      <c r="B191" s="1190"/>
      <c r="C191" s="2000" t="s">
        <v>2320</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0"/>
      <c r="AG191" s="1190"/>
      <c r="AH191" s="2018" t="s">
        <v>2319</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0"/>
      <c r="B192" s="1190"/>
      <c r="C192" s="1992" t="s">
        <v>300</v>
      </c>
      <c r="D192" s="1993"/>
      <c r="E192" s="1985" t="s">
        <v>2317</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0"/>
      <c r="AG192" s="1190"/>
      <c r="AH192" s="1994" t="s">
        <v>2318</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0"/>
      <c r="B193" s="1190"/>
      <c r="C193" s="1983" t="s">
        <v>300</v>
      </c>
      <c r="D193" s="1984"/>
      <c r="E193" s="1985" t="s">
        <v>2317</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9"/>
      <c r="BD193" s="1990"/>
      <c r="BE193" s="1991"/>
    </row>
    <row r="194" spans="1:57" ht="15.75" customHeight="1" thickBot="1">
      <c r="A194" s="1190"/>
      <c r="B194" s="1190"/>
      <c r="C194" s="1971" t="s">
        <v>300</v>
      </c>
      <c r="D194" s="1972"/>
      <c r="E194" s="1973" t="s">
        <v>2317</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0"/>
      <c r="AG194" s="1190"/>
      <c r="AH194" s="1980" t="s">
        <v>2316</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1"/>
      <c r="BD194" s="1171"/>
      <c r="BE194" s="1232"/>
    </row>
    <row r="195" spans="1:57" ht="15.75" customHeight="1">
      <c r="A195" s="1190"/>
      <c r="B195" s="1190"/>
      <c r="C195" s="1954" t="s">
        <v>2315</v>
      </c>
      <c r="D195" s="1955"/>
      <c r="E195" s="1955"/>
      <c r="F195" s="1955"/>
      <c r="G195" s="1955"/>
      <c r="H195" s="1955"/>
      <c r="I195" s="1955"/>
      <c r="J195" s="1955"/>
      <c r="K195" s="1955"/>
      <c r="L195" s="1955"/>
      <c r="M195" s="1955"/>
      <c r="N195" s="1956">
        <f>SUM(N187:T194)</f>
        <v>428483</v>
      </c>
      <c r="O195" s="1956"/>
      <c r="P195" s="1956"/>
      <c r="Q195" s="1956"/>
      <c r="R195" s="1956"/>
      <c r="S195" s="1956"/>
      <c r="T195" s="1957"/>
      <c r="U195" s="1190"/>
      <c r="V195" s="1190"/>
      <c r="W195" s="1190"/>
      <c r="X195" s="1190"/>
      <c r="Y195" s="1190"/>
      <c r="Z195" s="1190"/>
      <c r="AA195" s="1190"/>
      <c r="AB195" s="1190"/>
      <c r="AC195" s="1190"/>
      <c r="AD195" s="1190"/>
      <c r="AE195" s="1190"/>
      <c r="AF195" s="1190"/>
      <c r="AG195" s="1190"/>
      <c r="AH195" s="1958" t="s">
        <v>2314</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0"/>
      <c r="B196" s="1190"/>
      <c r="C196" s="1964" t="s">
        <v>2313</v>
      </c>
      <c r="D196" s="1965"/>
      <c r="E196" s="1965"/>
      <c r="F196" s="1965"/>
      <c r="G196" s="1965"/>
      <c r="H196" s="1965"/>
      <c r="I196" s="1965"/>
      <c r="J196" s="1965"/>
      <c r="K196" s="1965"/>
      <c r="L196" s="1965"/>
      <c r="M196" s="1965"/>
      <c r="N196" s="1966">
        <f>(N185-N195)/J29</f>
        <v>732115</v>
      </c>
      <c r="O196" s="1967"/>
      <c r="P196" s="1967"/>
      <c r="Q196" s="1967"/>
      <c r="R196" s="1967"/>
      <c r="S196" s="1967"/>
      <c r="T196" s="1968"/>
      <c r="U196" s="1195"/>
      <c r="V196" s="1190"/>
      <c r="W196" s="1190"/>
      <c r="X196" s="1190"/>
      <c r="Y196" s="1190"/>
      <c r="Z196" s="1190"/>
      <c r="AA196" s="1190"/>
      <c r="AB196" s="1190"/>
      <c r="AC196" s="1190"/>
      <c r="AD196" s="1190"/>
      <c r="AE196" s="1190"/>
      <c r="AF196" s="1190"/>
      <c r="AG196" s="1190"/>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9" t="s">
        <v>2312</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2" t="s">
        <v>2311</v>
      </c>
      <c r="D200" s="1952"/>
      <c r="E200" s="1952"/>
      <c r="F200" s="1952"/>
      <c r="G200" s="1952"/>
      <c r="H200" s="1952"/>
      <c r="I200" s="1952"/>
      <c r="J200" s="1952"/>
      <c r="K200" s="1952"/>
      <c r="L200" s="1952"/>
      <c r="M200" s="1952"/>
      <c r="N200" s="1952"/>
      <c r="O200" s="1953" t="s">
        <v>2310</v>
      </c>
      <c r="P200" s="1953"/>
      <c r="Q200" s="1953"/>
      <c r="R200" s="1953"/>
      <c r="S200" s="1953"/>
      <c r="T200" s="1953"/>
      <c r="U200" s="1953"/>
      <c r="V200" s="1953"/>
      <c r="W200" s="1953"/>
      <c r="X200" s="1953" t="s">
        <v>2309</v>
      </c>
      <c r="Y200" s="1953"/>
      <c r="Z200" s="1953"/>
      <c r="AA200" s="1953"/>
      <c r="AB200" s="1953"/>
      <c r="AC200" s="1953"/>
      <c r="AD200" s="1953"/>
      <c r="AE200" s="195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4" t="s">
        <v>2308</v>
      </c>
      <c r="D201" s="1944"/>
      <c r="E201" s="1944"/>
      <c r="F201" s="1944"/>
      <c r="G201" s="1944"/>
      <c r="H201" s="1944"/>
      <c r="I201" s="1944"/>
      <c r="J201" s="1944"/>
      <c r="K201" s="1944"/>
      <c r="L201" s="1944"/>
      <c r="M201" s="1944"/>
      <c r="N201" s="1944"/>
      <c r="O201" s="1945" t="s">
        <v>2307</v>
      </c>
      <c r="P201" s="1945"/>
      <c r="Q201" s="1945"/>
      <c r="R201" s="1945"/>
      <c r="S201" s="1945"/>
      <c r="T201" s="1945"/>
      <c r="U201" s="1945"/>
      <c r="V201" s="1945"/>
      <c r="W201" s="1945"/>
      <c r="X201" s="1946">
        <v>0.03</v>
      </c>
      <c r="Y201" s="1946"/>
      <c r="Z201" s="1946"/>
      <c r="AA201" s="1946"/>
      <c r="AB201" s="1946"/>
      <c r="AC201" s="1946"/>
      <c r="AD201" s="1946"/>
      <c r="AE201" s="194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4" t="s">
        <v>855</v>
      </c>
      <c r="D202" s="1944"/>
      <c r="E202" s="1944"/>
      <c r="F202" s="1944"/>
      <c r="G202" s="1944"/>
      <c r="H202" s="1944"/>
      <c r="I202" s="1944"/>
      <c r="J202" s="1944"/>
      <c r="K202" s="1944"/>
      <c r="L202" s="1944"/>
      <c r="M202" s="1944"/>
      <c r="N202" s="1944"/>
      <c r="O202" s="1945" t="s">
        <v>2307</v>
      </c>
      <c r="P202" s="1945"/>
      <c r="Q202" s="1945"/>
      <c r="R202" s="1945"/>
      <c r="S202" s="1945"/>
      <c r="T202" s="1945"/>
      <c r="U202" s="1945"/>
      <c r="V202" s="1945"/>
      <c r="W202" s="1945"/>
      <c r="X202" s="1946">
        <v>0.03</v>
      </c>
      <c r="Y202" s="1946"/>
      <c r="Z202" s="1946"/>
      <c r="AA202" s="1946"/>
      <c r="AB202" s="1946"/>
      <c r="AC202" s="1946"/>
      <c r="AD202" s="1946"/>
      <c r="AE202" s="194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4" t="s">
        <v>2306</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2305</v>
      </c>
      <c r="Y203" s="1948"/>
      <c r="Z203" s="1948"/>
      <c r="AA203" s="1948"/>
      <c r="AB203" s="1948"/>
      <c r="AC203" s="1948"/>
      <c r="AD203" s="1948"/>
      <c r="AE203" s="194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8" t="s">
        <v>2304</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9" t="s">
        <v>2303</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2" t="s">
        <v>2302</v>
      </c>
      <c r="D207" s="1923"/>
      <c r="E207" s="1923"/>
      <c r="F207" s="1924"/>
      <c r="G207" s="1928" t="s">
        <v>2301</v>
      </c>
      <c r="H207" s="1923"/>
      <c r="I207" s="1923"/>
      <c r="J207" s="1923"/>
      <c r="K207" s="1923"/>
      <c r="L207" s="1923"/>
      <c r="M207" s="1923"/>
      <c r="N207" s="1923"/>
      <c r="O207" s="1924"/>
      <c r="P207" s="1930" t="s">
        <v>2300</v>
      </c>
      <c r="Q207" s="1931"/>
      <c r="R207" s="1931"/>
      <c r="S207" s="1931"/>
      <c r="T207" s="1932"/>
      <c r="U207" s="1936" t="s">
        <v>2299</v>
      </c>
      <c r="V207" s="1937"/>
      <c r="W207" s="1937"/>
      <c r="X207" s="1938"/>
      <c r="Y207" s="1936" t="s">
        <v>2298</v>
      </c>
      <c r="Z207" s="1937"/>
      <c r="AA207" s="1937"/>
      <c r="AB207" s="1938"/>
      <c r="AC207" s="1936" t="s">
        <v>2297</v>
      </c>
      <c r="AD207" s="1937"/>
      <c r="AE207" s="1937"/>
      <c r="AF207" s="1938"/>
      <c r="AG207" s="1928" t="s">
        <v>2296</v>
      </c>
      <c r="AH207" s="1923"/>
      <c r="AI207" s="1923"/>
      <c r="AJ207" s="1923"/>
      <c r="AK207" s="194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1">
        <v>1</v>
      </c>
      <c r="D209" s="1912"/>
      <c r="E209" s="1912"/>
      <c r="F209" s="1912"/>
      <c r="G209" s="1913" t="s">
        <v>1885</v>
      </c>
      <c r="H209" s="1913"/>
      <c r="I209" s="1913"/>
      <c r="J209" s="1913"/>
      <c r="K209" s="1913"/>
      <c r="L209" s="1913"/>
      <c r="M209" s="1913"/>
      <c r="N209" s="1913"/>
      <c r="O209" s="1913"/>
      <c r="P209" s="1914"/>
      <c r="Q209" s="1917"/>
      <c r="R209" s="1917"/>
      <c r="S209" s="1917"/>
      <c r="T209" s="1917"/>
      <c r="U209" s="1915" t="s">
        <v>1885</v>
      </c>
      <c r="V209" s="1915"/>
      <c r="W209" s="1915"/>
      <c r="X209" s="1915"/>
      <c r="Y209" s="1915" t="s">
        <v>1885</v>
      </c>
      <c r="Z209" s="1915"/>
      <c r="AA209" s="1915"/>
      <c r="AB209" s="1915"/>
      <c r="AC209" s="1916" t="s">
        <v>1885</v>
      </c>
      <c r="AD209" s="1916"/>
      <c r="AE209" s="1916"/>
      <c r="AF209" s="1916"/>
      <c r="AG209" s="1900"/>
      <c r="AH209" s="1901"/>
      <c r="AI209" s="1901"/>
      <c r="AJ209" s="1901"/>
      <c r="AK209" s="190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1">
        <v>2</v>
      </c>
      <c r="D210" s="1912"/>
      <c r="E210" s="1912"/>
      <c r="F210" s="1912"/>
      <c r="G210" s="1913" t="s">
        <v>1885</v>
      </c>
      <c r="H210" s="1913"/>
      <c r="I210" s="1913"/>
      <c r="J210" s="1913"/>
      <c r="K210" s="1913"/>
      <c r="L210" s="1913"/>
      <c r="M210" s="1913"/>
      <c r="N210" s="1913"/>
      <c r="O210" s="1913"/>
      <c r="P210" s="1914"/>
      <c r="Q210" s="1914"/>
      <c r="R210" s="1914"/>
      <c r="S210" s="1914"/>
      <c r="T210" s="1914"/>
      <c r="U210" s="1915" t="s">
        <v>1885</v>
      </c>
      <c r="V210" s="1915"/>
      <c r="W210" s="1915"/>
      <c r="X210" s="1915"/>
      <c r="Y210" s="1915" t="s">
        <v>1885</v>
      </c>
      <c r="Z210" s="1915"/>
      <c r="AA210" s="1915"/>
      <c r="AB210" s="1915"/>
      <c r="AC210" s="1916" t="s">
        <v>1885</v>
      </c>
      <c r="AD210" s="1916"/>
      <c r="AE210" s="1916"/>
      <c r="AF210" s="1916"/>
      <c r="AG210" s="1900"/>
      <c r="AH210" s="1901"/>
      <c r="AI210" s="1901"/>
      <c r="AJ210" s="1901"/>
      <c r="AK210" s="190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1">
        <v>3</v>
      </c>
      <c r="D211" s="1912"/>
      <c r="E211" s="1912"/>
      <c r="F211" s="1912"/>
      <c r="G211" s="1913" t="s">
        <v>1885</v>
      </c>
      <c r="H211" s="1913"/>
      <c r="I211" s="1913"/>
      <c r="J211" s="1913"/>
      <c r="K211" s="1913"/>
      <c r="L211" s="1913"/>
      <c r="M211" s="1913"/>
      <c r="N211" s="1913"/>
      <c r="O211" s="1913"/>
      <c r="P211" s="1914"/>
      <c r="Q211" s="1914"/>
      <c r="R211" s="1914"/>
      <c r="S211" s="1914"/>
      <c r="T211" s="1914"/>
      <c r="U211" s="1915" t="s">
        <v>1885</v>
      </c>
      <c r="V211" s="1915"/>
      <c r="W211" s="1915"/>
      <c r="X211" s="1915"/>
      <c r="Y211" s="1915" t="s">
        <v>1885</v>
      </c>
      <c r="Z211" s="1915"/>
      <c r="AA211" s="1915"/>
      <c r="AB211" s="1915"/>
      <c r="AC211" s="1916" t="s">
        <v>1885</v>
      </c>
      <c r="AD211" s="1916"/>
      <c r="AE211" s="1916"/>
      <c r="AF211" s="1916"/>
      <c r="AG211" s="1900"/>
      <c r="AH211" s="1901"/>
      <c r="AI211" s="1901"/>
      <c r="AJ211" s="1901"/>
      <c r="AK211" s="190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1">
        <v>4</v>
      </c>
      <c r="D212" s="1912"/>
      <c r="E212" s="1912"/>
      <c r="F212" s="1912"/>
      <c r="G212" s="1913" t="s">
        <v>1885</v>
      </c>
      <c r="H212" s="1913"/>
      <c r="I212" s="1913"/>
      <c r="J212" s="1913"/>
      <c r="K212" s="1913"/>
      <c r="L212" s="1913"/>
      <c r="M212" s="1913"/>
      <c r="N212" s="1913"/>
      <c r="O212" s="1913"/>
      <c r="P212" s="1914"/>
      <c r="Q212" s="1914"/>
      <c r="R212" s="1914"/>
      <c r="S212" s="1914"/>
      <c r="T212" s="1914"/>
      <c r="U212" s="1915" t="s">
        <v>1885</v>
      </c>
      <c r="V212" s="1915"/>
      <c r="W212" s="1915"/>
      <c r="X212" s="1915"/>
      <c r="Y212" s="1915" t="s">
        <v>1885</v>
      </c>
      <c r="Z212" s="1915"/>
      <c r="AA212" s="1915"/>
      <c r="AB212" s="1915"/>
      <c r="AC212" s="1916" t="s">
        <v>1885</v>
      </c>
      <c r="AD212" s="1916"/>
      <c r="AE212" s="1916"/>
      <c r="AF212" s="1916"/>
      <c r="AG212" s="1900"/>
      <c r="AH212" s="1901"/>
      <c r="AI212" s="1901"/>
      <c r="AJ212" s="1901"/>
      <c r="AK212" s="190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1">
        <v>5</v>
      </c>
      <c r="D213" s="1912"/>
      <c r="E213" s="1912"/>
      <c r="F213" s="1912"/>
      <c r="G213" s="1913" t="s">
        <v>1885</v>
      </c>
      <c r="H213" s="1913"/>
      <c r="I213" s="1913"/>
      <c r="J213" s="1913"/>
      <c r="K213" s="1913"/>
      <c r="L213" s="1913"/>
      <c r="M213" s="1913"/>
      <c r="N213" s="1913"/>
      <c r="O213" s="1913"/>
      <c r="P213" s="1914"/>
      <c r="Q213" s="1914"/>
      <c r="R213" s="1914"/>
      <c r="S213" s="1914"/>
      <c r="T213" s="1914"/>
      <c r="U213" s="1915" t="s">
        <v>1885</v>
      </c>
      <c r="V213" s="1915"/>
      <c r="W213" s="1915"/>
      <c r="X213" s="1915"/>
      <c r="Y213" s="1915" t="s">
        <v>1885</v>
      </c>
      <c r="Z213" s="1915"/>
      <c r="AA213" s="1915"/>
      <c r="AB213" s="1915"/>
      <c r="AC213" s="1916" t="s">
        <v>1885</v>
      </c>
      <c r="AD213" s="1916"/>
      <c r="AE213" s="1916"/>
      <c r="AF213" s="1916"/>
      <c r="AG213" s="1900"/>
      <c r="AH213" s="1901"/>
      <c r="AI213" s="1901"/>
      <c r="AJ213" s="1901"/>
      <c r="AK213" s="190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1">
        <v>6</v>
      </c>
      <c r="D214" s="1912"/>
      <c r="E214" s="1912"/>
      <c r="F214" s="1912"/>
      <c r="G214" s="1913" t="s">
        <v>1885</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1885</v>
      </c>
      <c r="AD214" s="1916"/>
      <c r="AE214" s="1916"/>
      <c r="AF214" s="1916"/>
      <c r="AG214" s="1900"/>
      <c r="AH214" s="1901"/>
      <c r="AI214" s="1901"/>
      <c r="AJ214" s="1901"/>
      <c r="AK214" s="190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1885</v>
      </c>
      <c r="AD215" s="1916"/>
      <c r="AE215" s="1916"/>
      <c r="AF215" s="1916"/>
      <c r="AG215" s="1900"/>
      <c r="AH215" s="1901"/>
      <c r="AI215" s="1901"/>
      <c r="AJ215" s="1901"/>
      <c r="AK215" s="190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3" t="s">
        <v>2295</v>
      </c>
      <c r="D216" s="1904"/>
      <c r="E216" s="1904"/>
      <c r="F216" s="1904"/>
      <c r="G216" s="1904"/>
      <c r="H216" s="1904"/>
      <c r="I216" s="1904"/>
      <c r="J216" s="1904"/>
      <c r="K216" s="1904"/>
      <c r="L216" s="1904"/>
      <c r="M216" s="1904"/>
      <c r="N216" s="1904"/>
      <c r="O216" s="1904"/>
      <c r="P216" s="1905"/>
      <c r="Q216" s="1905"/>
      <c r="R216" s="1905"/>
      <c r="S216" s="1905"/>
      <c r="T216" s="1905"/>
      <c r="U216" s="1906">
        <f>-SUM(U209:U215)</f>
        <v>0</v>
      </c>
      <c r="V216" s="1906"/>
      <c r="W216" s="1906"/>
      <c r="X216" s="1906"/>
      <c r="Y216" s="1906">
        <f>-SUM(Y209:Y215)</f>
        <v>0</v>
      </c>
      <c r="Z216" s="1906"/>
      <c r="AA216" s="1906"/>
      <c r="AB216" s="1906"/>
      <c r="AC216" s="1907">
        <f>-SUM(AC209:AC215)</f>
        <v>0</v>
      </c>
      <c r="AD216" s="1907"/>
      <c r="AE216" s="1907"/>
      <c r="AF216" s="1907"/>
      <c r="AG216" s="1908"/>
      <c r="AH216" s="1909"/>
      <c r="AI216" s="1909"/>
      <c r="AJ216" s="1909"/>
      <c r="AK216" s="19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7" t="s">
        <v>2293</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4"/>
    </row>
    <row r="222" spans="1:57" ht="15.75" customHeight="1">
      <c r="A222" s="1190"/>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4"/>
    </row>
    <row r="223" spans="1:57" ht="15.75" customHeight="1">
      <c r="A223" s="1190"/>
      <c r="B223" s="1893" t="s">
        <v>2292</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4"/>
    </row>
    <row r="224" spans="1:57" ht="15.75" customHeight="1">
      <c r="A224" s="1190"/>
      <c r="B224" s="1893" t="s">
        <v>2291</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6" t="s">
        <v>2290</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9" t="s">
        <v>2288</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2" t="s">
        <v>2287</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0"/>
      <c r="BB232" s="1190"/>
      <c r="BC232" s="1190"/>
      <c r="BD232" s="1194"/>
      <c r="BE232" s="1194"/>
    </row>
    <row r="233" spans="1:57" ht="15.75" customHeight="1">
      <c r="A233" s="1190"/>
      <c r="B233" s="1189"/>
      <c r="C233" s="1190"/>
      <c r="D233" s="1190"/>
      <c r="E233" s="1190"/>
      <c r="F233" s="1190"/>
      <c r="G233" s="1190"/>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0"/>
      <c r="BB233" s="1190"/>
      <c r="BC233" s="1190"/>
      <c r="BD233" s="1194"/>
      <c r="BE233" s="1194"/>
    </row>
    <row r="234" spans="1:57" ht="15.75" customHeight="1">
      <c r="A234" s="1190"/>
      <c r="B234" s="1189"/>
      <c r="C234" s="1190"/>
      <c r="D234" s="1190"/>
      <c r="E234" s="1190"/>
      <c r="F234" s="1190"/>
      <c r="G234" s="1190"/>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0"/>
      <c r="BB234" s="1190"/>
      <c r="BC234" s="1190"/>
      <c r="BD234" s="1194"/>
      <c r="BE234" s="1194"/>
    </row>
    <row r="235" spans="1:57" ht="15.75" customHeight="1">
      <c r="A235" s="1190"/>
      <c r="B235" s="1189"/>
      <c r="C235" s="1190"/>
      <c r="D235" s="1190"/>
      <c r="E235" s="1190"/>
      <c r="F235" s="1190"/>
      <c r="G235" s="1190"/>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3" t="s">
        <v>2286</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3" t="s">
        <v>2285</v>
      </c>
      <c r="I239" s="1873"/>
      <c r="J239" s="1873"/>
      <c r="K239" s="1873"/>
      <c r="L239" s="1239"/>
      <c r="M239" s="1239"/>
      <c r="N239" s="1239"/>
      <c r="O239" s="1239"/>
      <c r="P239" s="1239"/>
      <c r="Q239" s="1239"/>
      <c r="R239" s="1239"/>
      <c r="S239" s="1884"/>
      <c r="T239" s="1885"/>
      <c r="U239" s="1885"/>
      <c r="V239" s="1885"/>
      <c r="W239" s="1885"/>
      <c r="X239" s="1885"/>
      <c r="Y239" s="1885"/>
      <c r="Z239" s="1885"/>
      <c r="AA239" s="1885"/>
      <c r="AB239" s="1885"/>
      <c r="AC239" s="1885"/>
      <c r="AD239" s="1885"/>
      <c r="AE239" s="1885"/>
      <c r="AF239" s="1885"/>
      <c r="AG239" s="1885"/>
      <c r="AH239" s="1885"/>
      <c r="AI239" s="1885"/>
      <c r="AJ239" s="188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3" t="s">
        <v>2284</v>
      </c>
      <c r="I241" s="1873"/>
      <c r="J241" s="1873"/>
      <c r="K241" s="1241"/>
      <c r="L241" s="1239"/>
      <c r="M241" s="1239"/>
      <c r="N241" s="1239"/>
      <c r="O241" s="1239"/>
      <c r="P241" s="1239"/>
      <c r="Q241" s="1239"/>
      <c r="R241" s="1239"/>
      <c r="S241" s="1874"/>
      <c r="T241" s="1875"/>
      <c r="U241" s="1875"/>
      <c r="V241" s="1875"/>
      <c r="W241" s="1875"/>
      <c r="X241" s="1875"/>
      <c r="Y241" s="1875"/>
      <c r="Z241" s="1875"/>
      <c r="AA241" s="1875"/>
      <c r="AB241" s="1875"/>
      <c r="AC241" s="1875"/>
      <c r="AD241" s="1875"/>
      <c r="AE241" s="1875"/>
      <c r="AF241" s="1875"/>
      <c r="AG241" s="1875"/>
      <c r="AH241" s="1875"/>
      <c r="AI241" s="1875"/>
      <c r="AJ241" s="187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3" t="s">
        <v>442</v>
      </c>
      <c r="I243" s="1873"/>
      <c r="J243" s="1241"/>
      <c r="K243" s="1241"/>
      <c r="L243" s="1239"/>
      <c r="M243" s="1239"/>
      <c r="N243" s="1239"/>
      <c r="O243" s="1239"/>
      <c r="P243" s="1239"/>
      <c r="Q243" s="1239"/>
      <c r="R243" s="1239"/>
      <c r="S243" s="1874"/>
      <c r="T243" s="1875"/>
      <c r="U243" s="1875"/>
      <c r="V243" s="1875"/>
      <c r="W243" s="1875"/>
      <c r="X243" s="1875"/>
      <c r="Y243" s="1875"/>
      <c r="Z243" s="1875"/>
      <c r="AA243" s="1875"/>
      <c r="AB243" s="1875"/>
      <c r="AC243" s="1875"/>
      <c r="AD243" s="1875"/>
      <c r="AE243" s="1875"/>
      <c r="AF243" s="1875"/>
      <c r="AG243" s="1875"/>
      <c r="AH243" s="1875"/>
      <c r="AI243" s="1875"/>
      <c r="AJ243" s="187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7" t="s">
        <v>2283</v>
      </c>
      <c r="I245" s="1877"/>
      <c r="J245" s="1877"/>
      <c r="K245" s="1877"/>
      <c r="L245" s="1877"/>
      <c r="M245" s="1877"/>
      <c r="N245" s="1877"/>
      <c r="O245" s="1877"/>
      <c r="P245" s="1239"/>
      <c r="Q245" s="1239"/>
      <c r="R245" s="1239"/>
      <c r="S245" s="1874"/>
      <c r="T245" s="1875"/>
      <c r="U245" s="1875"/>
      <c r="V245" s="1875"/>
      <c r="W245" s="1875"/>
      <c r="X245" s="1875"/>
      <c r="Y245" s="1875"/>
      <c r="Z245" s="1875"/>
      <c r="AA245" s="1875"/>
      <c r="AB245" s="1875"/>
      <c r="AC245" s="1875"/>
      <c r="AD245" s="1875"/>
      <c r="AE245" s="1875"/>
      <c r="AF245" s="1875"/>
      <c r="AG245" s="1875"/>
      <c r="AH245" s="1875"/>
      <c r="AI245" s="1875"/>
      <c r="AJ245" s="187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8" t="s">
        <v>2282</v>
      </c>
      <c r="I247" s="1878"/>
      <c r="J247" s="1239"/>
      <c r="K247" s="1239"/>
      <c r="L247" s="1239"/>
      <c r="M247" s="1239"/>
      <c r="N247" s="1239"/>
      <c r="O247" s="1239"/>
      <c r="P247" s="1239"/>
      <c r="Q247" s="1239"/>
      <c r="R247" s="1239"/>
      <c r="S247" s="1879"/>
      <c r="T247" s="1880"/>
      <c r="U247" s="1880"/>
      <c r="V247" s="1880"/>
      <c r="W247" s="1880"/>
      <c r="X247" s="1880"/>
      <c r="Y247" s="1880"/>
      <c r="Z247" s="1880"/>
      <c r="AA247" s="1880"/>
      <c r="AB247" s="1880"/>
      <c r="AC247" s="1880"/>
      <c r="AD247" s="1880"/>
      <c r="AE247" s="1880"/>
      <c r="AF247" s="1880"/>
      <c r="AG247" s="1880"/>
      <c r="AH247" s="1880"/>
      <c r="AI247" s="1880"/>
      <c r="AJ247" s="188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84" sqref="A1:BX84"/>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1" t="s">
        <v>1281</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NON-DDA/
NON-QCT Building(s)</v>
      </c>
      <c r="U7" s="2351"/>
      <c r="V7" s="2351"/>
      <c r="W7" s="2351"/>
      <c r="X7" s="2351"/>
      <c r="Y7" s="2351" t="str">
        <f>IF(T25=100%,"",'Sources and Basis Breakdown'!G2)</f>
        <v/>
      </c>
      <c r="Z7" s="2351"/>
      <c r="AA7" s="2351"/>
      <c r="AB7" s="2351"/>
      <c r="AC7" s="2351"/>
      <c r="AD7" s="2351" t="str">
        <f xml:space="preserve"> IF(T25=100%, 'Sources and Basis Breakdown'!J2,'Sources and Basis Breakdown'!I2)</f>
        <v>30% PVC for Acquisition
NON-DDA/
NON-QCT Building(s)</v>
      </c>
      <c r="AE7" s="2351"/>
      <c r="AF7" s="2351"/>
      <c r="AG7" s="2351"/>
      <c r="AH7" s="2351"/>
      <c r="AI7" s="2351" t="str">
        <f>IF(T25=100%,"",'Sources and Basis Breakdown'!J2)</f>
        <v/>
      </c>
      <c r="AJ7" s="2351"/>
      <c r="AK7" s="2351"/>
      <c r="AL7" s="2351"/>
      <c r="AM7" s="2351"/>
    </row>
    <row r="8" spans="1:40" ht="12.95"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2.95"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5"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23102510</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75" t="s">
        <v>498</v>
      </c>
      <c r="C12" s="1308"/>
      <c r="D12" s="1308"/>
      <c r="E12" s="1308"/>
      <c r="F12" s="1308"/>
      <c r="G12" s="1308"/>
      <c r="H12" s="1308"/>
      <c r="I12" s="1308"/>
      <c r="J12" s="1308"/>
      <c r="K12" s="1308"/>
      <c r="L12" s="1308"/>
      <c r="M12" s="1308"/>
      <c r="N12" s="1308"/>
      <c r="O12" s="1308"/>
      <c r="P12" s="1308"/>
      <c r="Q12" s="1308"/>
      <c r="R12" s="1308"/>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5" customHeight="1">
      <c r="B13" s="435"/>
      <c r="C13" s="2377" t="s">
        <v>499</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77" t="s">
        <v>500</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5" customHeight="1">
      <c r="B15" s="435"/>
      <c r="C15" s="2377" t="s">
        <v>501</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5" customHeight="1">
      <c r="B16" s="435"/>
      <c r="C16" s="2377" t="s">
        <v>806</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5" customHeight="1">
      <c r="B17" s="435"/>
      <c r="C17" s="2377" t="s">
        <v>502</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5" customHeight="1">
      <c r="B21" s="2337" t="s">
        <v>1264</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50">
        <f>T11+T22</f>
        <v>23102510</v>
      </c>
      <c r="U23" s="2331"/>
      <c r="V23" s="2331"/>
      <c r="W23" s="2331"/>
      <c r="X23" s="2331"/>
      <c r="Y23" s="2350">
        <f>Y11+Y22</f>
        <v>0</v>
      </c>
      <c r="Z23" s="2331"/>
      <c r="AA23" s="2331"/>
      <c r="AB23" s="2331"/>
      <c r="AC23" s="2331"/>
      <c r="AD23" s="2350">
        <f>AD11+AD22</f>
        <v>0</v>
      </c>
      <c r="AE23" s="2331"/>
      <c r="AF23" s="2331"/>
      <c r="AG23" s="2331"/>
      <c r="AH23" s="2331"/>
      <c r="AI23" s="235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41">
        <f>Application!AJ1053</f>
        <v>54600469</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5" customHeight="1">
      <c r="B25" s="2381" t="s">
        <v>1265</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50">
        <f>T23*T25</f>
        <v>23102510</v>
      </c>
      <c r="U26" s="2331"/>
      <c r="V26" s="2331"/>
      <c r="W26" s="2331"/>
      <c r="X26" s="2331"/>
      <c r="Y26" s="2350">
        <f>Y23*Y25</f>
        <v>0</v>
      </c>
      <c r="Z26" s="2331"/>
      <c r="AA26" s="2331"/>
      <c r="AB26" s="2331"/>
      <c r="AC26" s="2331"/>
      <c r="AD26" s="2350">
        <f>AD23*AD25</f>
        <v>0</v>
      </c>
      <c r="AE26" s="2331"/>
      <c r="AF26" s="2331"/>
      <c r="AG26" s="2331"/>
      <c r="AH26" s="2331"/>
      <c r="AI26" s="2350">
        <f>AI23*AI25</f>
        <v>0</v>
      </c>
      <c r="AJ26" s="2331"/>
      <c r="AK26" s="2331"/>
      <c r="AL26" s="2331"/>
      <c r="AM26" s="2331"/>
    </row>
    <row r="27" spans="1:40" ht="12.95" customHeight="1">
      <c r="A27" s="410"/>
      <c r="B27" s="2384" t="s">
        <v>426</v>
      </c>
      <c r="C27" s="2385"/>
      <c r="D27" s="2385"/>
      <c r="E27" s="2385"/>
      <c r="F27" s="2385"/>
      <c r="G27" s="2385"/>
      <c r="H27" s="2385"/>
      <c r="I27" s="2385"/>
      <c r="J27" s="2385"/>
      <c r="K27" s="2385"/>
      <c r="L27" s="2385"/>
      <c r="M27" s="2385"/>
      <c r="N27" s="2385"/>
      <c r="O27" s="2385"/>
      <c r="P27" s="2385"/>
      <c r="Q27" s="2385"/>
      <c r="R27" s="2385"/>
      <c r="S27" s="2386"/>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50">
        <f>IF(ISERROR((T26*T27)),0,(T26*T27))</f>
        <v>23102510</v>
      </c>
      <c r="U28" s="2331"/>
      <c r="V28" s="2331"/>
      <c r="W28" s="2331"/>
      <c r="X28" s="2331"/>
      <c r="Y28" s="2350">
        <f>IF(ISERROR((Y26*Y27)),0,(Y26*Y27))</f>
        <v>0</v>
      </c>
      <c r="Z28" s="2331"/>
      <c r="AA28" s="2331"/>
      <c r="AB28" s="2331"/>
      <c r="AC28" s="2331"/>
      <c r="AD28" s="2350">
        <f>IF(ISERROR((AD26*AD27)),0,(AD26*AD27))</f>
        <v>0</v>
      </c>
      <c r="AE28" s="2331"/>
      <c r="AF28" s="2331"/>
      <c r="AG28" s="2331"/>
      <c r="AH28" s="2331"/>
      <c r="AI28" s="235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41">
        <f>T28+Y28+AD28+AI28</f>
        <v>23102510</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5" customHeight="1">
      <c r="B30" s="2354" t="s">
        <v>1267</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1266</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1155</v>
      </c>
      <c r="Z35" s="2351"/>
      <c r="AA35" s="2351"/>
      <c r="AB35" s="2351"/>
      <c r="AC35" s="2351"/>
      <c r="AD35" s="2352" t="s">
        <v>369</v>
      </c>
      <c r="AE35" s="2352"/>
      <c r="AF35" s="2352"/>
      <c r="AG35" s="2352"/>
      <c r="AH35" s="2352"/>
    </row>
    <row r="36" spans="1:76" ht="12.95" customHeight="1">
      <c r="B36" s="407"/>
      <c r="X36" s="412"/>
      <c r="Y36" s="2351"/>
      <c r="Z36" s="2351"/>
      <c r="AA36" s="2351"/>
      <c r="AB36" s="2351"/>
      <c r="AC36" s="2351"/>
      <c r="AD36" s="2352"/>
      <c r="AE36" s="2352"/>
      <c r="AF36" s="2352"/>
      <c r="AG36" s="2352"/>
      <c r="AH36" s="235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2.9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23102510</v>
      </c>
      <c r="Z38" s="2331"/>
      <c r="AA38" s="2331"/>
      <c r="AB38" s="2331"/>
      <c r="AC38" s="2331"/>
      <c r="AD38" s="2331">
        <f>IF(T24&gt;=(T23+Y23+AD23+AI23),AD28+AI28,0)</f>
        <v>0</v>
      </c>
      <c r="AE38" s="2331"/>
      <c r="AF38" s="2331"/>
      <c r="AG38" s="2331"/>
      <c r="AH38" s="2331"/>
    </row>
    <row r="39" spans="1:76" ht="12.9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924100</v>
      </c>
      <c r="Z40" s="2331"/>
      <c r="AA40" s="2331"/>
      <c r="AB40" s="2331"/>
      <c r="AC40" s="2331"/>
      <c r="AD40" s="235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924100</v>
      </c>
      <c r="Z41" s="2349"/>
      <c r="AA41" s="2349"/>
      <c r="AB41" s="2349"/>
      <c r="AC41" s="2349"/>
      <c r="AD41" s="2349"/>
      <c r="AE41" s="2349"/>
      <c r="AF41" s="2349"/>
      <c r="AG41" s="2349"/>
      <c r="AH41" s="235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8" t="s">
        <v>1277</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2.95" customHeight="1" thickTop="1"/>
    <row r="46" spans="1:76" ht="12.95" customHeight="1">
      <c r="A46" s="404" t="s">
        <v>587</v>
      </c>
      <c r="C46" s="404" t="s">
        <v>282</v>
      </c>
    </row>
    <row r="47" spans="1:76" ht="12.95" customHeight="1">
      <c r="D47" s="404" t="s">
        <v>283</v>
      </c>
      <c r="AB47" s="2345">
        <f>'Sources and Uses Budget'!B105-MAX(IF('Sources and Uses Budget'!B15="",0,'Sources and Uses Budget'!B15),IF(Application!AG394="",0,Application!AG394))</f>
        <v>24588278</v>
      </c>
      <c r="AC47" s="2346"/>
      <c r="AD47" s="2346"/>
      <c r="AE47" s="2346"/>
      <c r="AF47" s="2347"/>
    </row>
    <row r="48" spans="1:76" ht="12.95" customHeight="1">
      <c r="D48" s="404" t="s">
        <v>21</v>
      </c>
      <c r="AB48" s="2345">
        <f>Application!AO639-MAX(IF('Sources and Uses Budget'!B15="",0,'Sources and Uses Budget'!B15),IF(Application!AG394="",0,Application!AG394))</f>
        <v>14771182</v>
      </c>
      <c r="AC48" s="2346"/>
      <c r="AD48" s="2346"/>
      <c r="AE48" s="2346"/>
      <c r="AF48" s="2347"/>
    </row>
    <row r="49" spans="1:76" ht="12.95" customHeight="1">
      <c r="D49" s="404" t="s">
        <v>91</v>
      </c>
      <c r="AB49" s="2345">
        <f>AB47-AB48</f>
        <v>9817096</v>
      </c>
      <c r="AC49" s="2346"/>
      <c r="AD49" s="2346"/>
      <c r="AE49" s="2346"/>
      <c r="AF49" s="2347"/>
    </row>
    <row r="50" spans="1:76" ht="12.95" customHeight="1">
      <c r="D50" s="404" t="s">
        <v>682</v>
      </c>
      <c r="AA50" s="415"/>
      <c r="AB50" s="2333">
        <v>0.85</v>
      </c>
      <c r="AC50" s="2334"/>
      <c r="AD50" s="2334"/>
      <c r="AE50" s="2334"/>
      <c r="AF50" s="2335"/>
    </row>
    <row r="51" spans="1:76" s="417" customFormat="1" ht="12.95" customHeight="1">
      <c r="A51" s="402"/>
      <c r="B51" s="402"/>
      <c r="C51" s="402"/>
      <c r="D51" s="402"/>
      <c r="E51" s="2344" t="s">
        <v>2612</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5">
        <f>ROUND(IF(ISERROR((AB49/AB50)),0,(AB49/AB50)),0)</f>
        <v>11549525</v>
      </c>
      <c r="AC54" s="2346"/>
      <c r="AD54" s="2346"/>
      <c r="AE54" s="2346"/>
      <c r="AF54" s="2347"/>
    </row>
    <row r="55" spans="1:76" ht="12.95" customHeight="1">
      <c r="D55" s="404" t="s">
        <v>333</v>
      </c>
      <c r="AB55" s="2345">
        <f>(AB54/10)</f>
        <v>1154952.5</v>
      </c>
      <c r="AC55" s="2346"/>
      <c r="AD55" s="2346"/>
      <c r="AE55" s="2346"/>
      <c r="AF55" s="2347"/>
    </row>
    <row r="56" spans="1:76" ht="12.95" customHeight="1">
      <c r="D56" s="404" t="s">
        <v>757</v>
      </c>
      <c r="AB56" s="2345">
        <f>ROUND((IF((Y41&lt;AB55),Y41,AB55)),0)</f>
        <v>924100</v>
      </c>
      <c r="AC56" s="2346"/>
      <c r="AD56" s="2346"/>
      <c r="AE56" s="2346"/>
      <c r="AF56" s="2347"/>
    </row>
    <row r="57" spans="1:76" ht="12.95" customHeight="1">
      <c r="D57" s="404" t="s">
        <v>756</v>
      </c>
      <c r="AB57" s="2345">
        <f>ROUND((10*AB56*AB50),0)</f>
        <v>7854850</v>
      </c>
      <c r="AC57" s="2346"/>
      <c r="AD57" s="2346"/>
      <c r="AE57" s="2346"/>
      <c r="AF57" s="2347"/>
    </row>
    <row r="58" spans="1:76" ht="12.95" customHeight="1">
      <c r="D58" s="404"/>
      <c r="AB58" s="423"/>
      <c r="AC58" s="423"/>
      <c r="AD58" s="423"/>
      <c r="AE58" s="423"/>
      <c r="AF58" s="423"/>
    </row>
    <row r="59" spans="1:76" ht="12.95" customHeight="1">
      <c r="D59" s="404" t="s">
        <v>755</v>
      </c>
      <c r="AB59" s="2329">
        <f>AB49-AB57</f>
        <v>1962246</v>
      </c>
      <c r="AC59" s="2329"/>
      <c r="AD59" s="2329"/>
      <c r="AE59" s="2329"/>
      <c r="AF59" s="2329"/>
    </row>
    <row r="60" spans="1:76" ht="12.95" customHeight="1">
      <c r="D60" s="404"/>
      <c r="AB60" s="423"/>
      <c r="AC60" s="423"/>
      <c r="AD60" s="423"/>
      <c r="AE60" s="423"/>
      <c r="AF60" s="423"/>
    </row>
    <row r="61" spans="1:76" s="204"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2.95" customHeight="1" thickTop="1"/>
    <row r="63" spans="1:76" ht="12.95" customHeight="1">
      <c r="A63" s="404" t="s">
        <v>590</v>
      </c>
      <c r="C63" s="205" t="s">
        <v>1249</v>
      </c>
      <c r="Y63" s="2340" t="s">
        <v>985</v>
      </c>
      <c r="Z63" s="2340"/>
      <c r="AA63" s="2340"/>
      <c r="AB63" s="2340"/>
      <c r="AC63" s="2340"/>
      <c r="AD63" s="2340" t="s">
        <v>369</v>
      </c>
      <c r="AE63" s="2340"/>
      <c r="AF63" s="2340"/>
      <c r="AG63" s="2340"/>
      <c r="AH63" s="2340"/>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23102510</v>
      </c>
      <c r="Z64" s="2342"/>
      <c r="AA64" s="2342"/>
      <c r="AB64" s="2342"/>
      <c r="AC64" s="2343"/>
      <c r="AD64" s="2341">
        <f>IF(AND(OR(Application!D211="At-Risk",Application!D211="At-Risk and Special Needs"),Application!M358="yes"),AD28+AI28,0)</f>
        <v>0</v>
      </c>
      <c r="AE64" s="2342"/>
      <c r="AF64" s="2342"/>
      <c r="AG64" s="2342"/>
      <c r="AH64" s="234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0">
        <f>IF(OR(Application!Z205="State Farmworker Credit",Application!Z205="$500M (Farmworker Housing)"),0.75,IF(Application!Z205="15% set-aside",0.13,IF(Application!Z205="15% set-aside with qualifying low value rehab",0.95,IF(Application!Z205="$500M",0.3,0))))</f>
        <v>0.75</v>
      </c>
      <c r="Z67" s="2330"/>
      <c r="AA67" s="2330"/>
      <c r="AB67" s="2330"/>
      <c r="AC67" s="2330"/>
      <c r="AD67" s="2330">
        <f>IF(Application!Z205="15% set-aside with qualifying low value rehab", 0.95,IF(OR(Application!D211="At-Risk",'Points System'!B13="Yes"),0.13,0))</f>
        <v>0</v>
      </c>
      <c r="AE67" s="2330"/>
      <c r="AF67" s="2330"/>
      <c r="AG67" s="2330"/>
      <c r="AH67" s="2330"/>
    </row>
    <row r="68" spans="1:36" ht="12.95" customHeight="1">
      <c r="C68" s="404"/>
      <c r="D68" s="205" t="s">
        <v>2225</v>
      </c>
      <c r="Y68" s="2331">
        <f>ROUND(Y64*Y67,0)</f>
        <v>17326883</v>
      </c>
      <c r="Z68" s="2332"/>
      <c r="AA68" s="2332"/>
      <c r="AB68" s="2332"/>
      <c r="AC68" s="2332"/>
      <c r="AD68" s="2331">
        <f>ROUND(AD64*AD67,0)</f>
        <v>0</v>
      </c>
      <c r="AE68" s="2332"/>
      <c r="AF68" s="2332"/>
      <c r="AG68" s="2332"/>
      <c r="AH68" s="2332"/>
    </row>
    <row r="69" spans="1:36" ht="12.95" customHeight="1">
      <c r="C69" s="404"/>
      <c r="D69" s="205" t="s">
        <v>2226</v>
      </c>
      <c r="Y69" s="2331">
        <f>IF(OR(Application!Z205="State Farmworker Credit",Application!Z205="$500M (Farmworker Housing)"),Y68+AD68,MIN(Y68+AD68,200000*(Application!G753+Application!O777)))</f>
        <v>17326883</v>
      </c>
      <c r="Z69" s="2331"/>
      <c r="AA69" s="2331"/>
      <c r="AB69" s="2331"/>
      <c r="AC69" s="2331"/>
      <c r="AD69" s="2331"/>
      <c r="AE69" s="2331"/>
      <c r="AF69" s="2331"/>
      <c r="AG69" s="2331"/>
      <c r="AH69" s="233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3">
        <v>0.7</v>
      </c>
      <c r="AC72" s="2334"/>
      <c r="AD72" s="2334"/>
      <c r="AE72" s="2334"/>
      <c r="AF72" s="2335"/>
    </row>
    <row r="73" spans="1:36" ht="12.95" customHeight="1">
      <c r="A73" s="404"/>
      <c r="C73" s="404"/>
      <c r="D73" s="404"/>
      <c r="E73" s="2336" t="s">
        <v>1252</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6" ht="12.95"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6" ht="12.95"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4">
        <f>ROUND(IF(ISERROR((AB59/AB72)),0,(AB59/AB72)),0)</f>
        <v>2803209</v>
      </c>
      <c r="AC77" s="2324"/>
      <c r="AD77" s="2324"/>
      <c r="AE77" s="2324"/>
      <c r="AF77" s="2324"/>
    </row>
    <row r="78" spans="1:36" ht="12.95" customHeight="1">
      <c r="C78" s="404"/>
      <c r="D78" s="205" t="s">
        <v>1254</v>
      </c>
      <c r="AB78" s="2325">
        <f>ROUNDUP(MIN(Y69,AB77),0)</f>
        <v>2803209</v>
      </c>
      <c r="AC78" s="2326"/>
      <c r="AD78" s="2326"/>
      <c r="AE78" s="2326"/>
      <c r="AF78" s="2327"/>
    </row>
    <row r="79" spans="1:36" ht="12.95" customHeight="1">
      <c r="C79" s="404"/>
      <c r="D79" s="205" t="s">
        <v>1255</v>
      </c>
      <c r="AB79" s="2328">
        <f>AB78*AB72</f>
        <v>1962246.2999999998</v>
      </c>
      <c r="AC79" s="2328"/>
      <c r="AD79" s="2328"/>
      <c r="AE79" s="2328"/>
      <c r="AF79" s="2328"/>
    </row>
    <row r="80" spans="1:36" ht="12.95" customHeight="1">
      <c r="C80" s="404"/>
      <c r="D80" s="404"/>
      <c r="AB80" s="425"/>
      <c r="AC80" s="425"/>
      <c r="AD80" s="425"/>
      <c r="AE80" s="425"/>
      <c r="AF80" s="425"/>
    </row>
    <row r="81" spans="1:78" ht="12.95" customHeight="1">
      <c r="D81" s="404" t="s">
        <v>755</v>
      </c>
      <c r="AB81" s="2329">
        <f>AB49-(AB57+AB79)</f>
        <v>-0.30000000074505806</v>
      </c>
      <c r="AC81" s="2329"/>
      <c r="AD81" s="2329"/>
      <c r="AE81" s="2329"/>
      <c r="AF81" s="2329"/>
    </row>
    <row r="82" spans="1:78" ht="12.95" customHeight="1">
      <c r="F82" s="522"/>
      <c r="J82" s="522" t="str">
        <f>IF(AB81&gt;0,"FUNDING GAP MUST NOT EXCEED ZERO","")</f>
        <v/>
      </c>
    </row>
    <row r="83" spans="1:78" ht="12.95" customHeight="1">
      <c r="D83" s="523"/>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customHeight="1">
      <c r="A86" s="404"/>
      <c r="C86" s="205"/>
    </row>
    <row r="87" spans="1:78" ht="12.95" customHeight="1">
      <c r="D87" s="205"/>
      <c r="AB87" s="2380"/>
      <c r="AC87" s="2380"/>
      <c r="AD87" s="2380"/>
      <c r="AE87" s="2380"/>
      <c r="AF87" s="2380"/>
    </row>
    <row r="88" spans="1:78" ht="12.95"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27"/>
  <sheetViews>
    <sheetView showGridLines="0" workbookViewId="0">
      <selection activeCell="AL824" sqref="A1:AM82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2" t="s">
        <v>1301</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2"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3" t="s">
        <v>1306</v>
      </c>
      <c r="AF7" s="2403"/>
      <c r="AG7" s="2403"/>
      <c r="AH7" s="2403"/>
      <c r="AI7" s="2403"/>
      <c r="AJ7" s="2403"/>
      <c r="AK7" s="2403"/>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3" t="s">
        <v>592</v>
      </c>
      <c r="C13" s="239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4"/>
      <c r="AH13" s="2424"/>
      <c r="AI13" s="2424"/>
      <c r="AJ13" s="24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3" t="s">
        <v>592</v>
      </c>
      <c r="C16" s="2393"/>
      <c r="D16" s="547"/>
      <c r="E16" s="2404" t="s">
        <v>1308</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c r="AO16" s="550">
        <f>IF($B25="yes",20,0)</f>
        <v>0</v>
      </c>
      <c r="AP16" s="14"/>
    </row>
    <row r="17" spans="1:42" s="536" customFormat="1" ht="12.75" customHeight="1">
      <c r="A17" s="540"/>
      <c r="B17" s="540"/>
      <c r="C17" s="540"/>
      <c r="D17" s="551"/>
      <c r="E17" s="2407"/>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9"/>
      <c r="AK17" s="540"/>
      <c r="AL17" s="540"/>
      <c r="AM17" s="540"/>
      <c r="AN17" s="535"/>
      <c r="AO17" s="550">
        <f>IF($B28="yes",20,0)</f>
        <v>0</v>
      </c>
    </row>
    <row r="18" spans="1:42" s="536" customFormat="1" ht="12.75" customHeight="1">
      <c r="A18" s="540"/>
      <c r="B18" s="540"/>
      <c r="C18" s="540"/>
      <c r="D18" s="551"/>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5"/>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3" t="s">
        <v>592</v>
      </c>
      <c r="C22" s="2393"/>
      <c r="D22" s="547"/>
      <c r="E22" s="2429" t="s">
        <v>1311</v>
      </c>
      <c r="F22" s="2430"/>
      <c r="G22" s="2430"/>
      <c r="H22" s="2430"/>
      <c r="I22" s="2430"/>
      <c r="J22" s="2430"/>
      <c r="K22" s="2430"/>
      <c r="L22" s="2430"/>
      <c r="M22" s="2430"/>
      <c r="N22" s="2430"/>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1"/>
      <c r="AK22" s="540"/>
      <c r="AL22" s="540"/>
      <c r="AM22" s="540"/>
      <c r="AN22" s="535"/>
      <c r="AO22" s="550">
        <f>IF($B40="yes",14,0)</f>
        <v>0</v>
      </c>
    </row>
    <row r="23" spans="1:42" s="536" customFormat="1" ht="12.75" customHeight="1">
      <c r="A23" s="540"/>
      <c r="B23" s="540"/>
      <c r="C23" s="540"/>
      <c r="D23" s="550"/>
      <c r="E23" s="2432"/>
      <c r="F23" s="2433"/>
      <c r="G23" s="2433"/>
      <c r="H23" s="2433"/>
      <c r="I23" s="2433"/>
      <c r="J23" s="2433"/>
      <c r="K23" s="2433"/>
      <c r="L23" s="2433"/>
      <c r="M23" s="2433"/>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3" t="s">
        <v>592</v>
      </c>
      <c r="C25" s="2393"/>
      <c r="D25" s="547"/>
      <c r="E25" s="2394" t="s">
        <v>2034</v>
      </c>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6"/>
      <c r="AK25" s="540"/>
      <c r="AL25" s="540"/>
      <c r="AM25" s="540"/>
      <c r="AN25" s="535"/>
      <c r="AO25" s="550">
        <f>IF($B45="yes",6,0)</f>
        <v>0</v>
      </c>
    </row>
    <row r="26" spans="1:42" s="536" customFormat="1" ht="12.75" customHeight="1">
      <c r="A26" s="540"/>
      <c r="B26" s="540"/>
      <c r="C26" s="540"/>
      <c r="D26" s="550"/>
      <c r="E26" s="2397"/>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3" t="s">
        <v>592</v>
      </c>
      <c r="C28" s="2393"/>
      <c r="D28" s="547"/>
      <c r="E28" s="2417" t="s">
        <v>2249</v>
      </c>
      <c r="F28" s="2418"/>
      <c r="G28" s="2418"/>
      <c r="H28" s="2418"/>
      <c r="I28" s="2418"/>
      <c r="J28" s="2418"/>
      <c r="K28" s="2418"/>
      <c r="L28" s="241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3" t="s">
        <v>592</v>
      </c>
      <c r="C33" s="2393"/>
      <c r="D33" s="547"/>
      <c r="E33" s="2429" t="s">
        <v>2251</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1"/>
      <c r="AK33" s="540"/>
      <c r="AL33" s="540"/>
      <c r="AM33" s="540"/>
      <c r="AN33" s="535"/>
      <c r="AO33" s="550"/>
    </row>
    <row r="34" spans="1:41" s="536" customFormat="1" ht="12.75" customHeight="1">
      <c r="A34" s="540"/>
      <c r="B34" s="540"/>
      <c r="C34" s="540"/>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3" t="s">
        <v>592</v>
      </c>
      <c r="C36" s="2393"/>
      <c r="D36" s="547"/>
      <c r="E36" s="2394" t="s">
        <v>2252</v>
      </c>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6"/>
      <c r="AK36" s="540"/>
      <c r="AL36" s="540"/>
      <c r="AM36" s="540"/>
      <c r="AN36" s="535"/>
    </row>
    <row r="37" spans="1:41" s="536" customFormat="1" ht="12.75" customHeight="1">
      <c r="A37" s="540"/>
      <c r="B37" s="540"/>
      <c r="C37" s="540"/>
      <c r="E37" s="2400"/>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540"/>
      <c r="AL37" s="540"/>
      <c r="AM37" s="540"/>
      <c r="AN37" s="535"/>
    </row>
    <row r="38" spans="1:41" s="536" customFormat="1" ht="12.75" customHeight="1">
      <c r="A38" s="540"/>
      <c r="B38" s="540"/>
      <c r="C38" s="540"/>
      <c r="E38" s="2397"/>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3" t="s">
        <v>592</v>
      </c>
      <c r="C40" s="2393"/>
      <c r="D40" s="547"/>
      <c r="E40" s="2394" t="s">
        <v>2250</v>
      </c>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6"/>
      <c r="AK40" s="540"/>
      <c r="AL40" s="540"/>
      <c r="AM40" s="540"/>
      <c r="AN40" s="535"/>
    </row>
    <row r="41" spans="1:41" s="536" customFormat="1" ht="12.75" customHeight="1">
      <c r="A41" s="540"/>
      <c r="B41" s="540"/>
      <c r="C41" s="540"/>
      <c r="E41" s="2397"/>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3" t="s">
        <v>592</v>
      </c>
      <c r="C45" s="2393"/>
      <c r="D45" s="1142"/>
      <c r="E45" s="2394" t="s">
        <v>2009</v>
      </c>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6"/>
      <c r="AK45" s="1142"/>
      <c r="AL45" s="540"/>
      <c r="AM45" s="540"/>
      <c r="AN45" s="535"/>
    </row>
    <row r="46" spans="1:41" s="536" customFormat="1" ht="12.75" customHeight="1">
      <c r="A46" s="540"/>
      <c r="B46" s="540"/>
      <c r="C46" s="540"/>
      <c r="E46" s="2400"/>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2"/>
      <c r="AK46" s="540"/>
      <c r="AL46" s="540"/>
      <c r="AM46" s="540"/>
      <c r="AN46" s="535"/>
    </row>
    <row r="47" spans="1:41" s="536" customFormat="1" ht="12.75" customHeight="1">
      <c r="A47" s="540"/>
      <c r="D47" s="547"/>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3" t="s">
        <v>592</v>
      </c>
      <c r="C52" s="2393"/>
      <c r="D52" s="540"/>
      <c r="E52" s="2394" t="s">
        <v>2014</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59"/>
    </row>
    <row r="53" spans="1:50" s="536" customFormat="1" ht="12.75" customHeight="1">
      <c r="A53" s="540"/>
      <c r="D53" s="547"/>
      <c r="E53" s="2400"/>
      <c r="F53" s="2401"/>
      <c r="G53" s="2401"/>
      <c r="H53" s="2401"/>
      <c r="I53" s="2401"/>
      <c r="J53" s="2401"/>
      <c r="K53" s="2401"/>
      <c r="L53" s="240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2"/>
      <c r="AK53" s="540"/>
      <c r="AL53" s="540"/>
      <c r="AM53" s="540"/>
      <c r="AN53" s="535"/>
      <c r="AO53" s="559"/>
    </row>
    <row r="54" spans="1:50" s="536" customFormat="1" ht="12.75" customHeight="1">
      <c r="A54" s="540"/>
      <c r="D54" s="540"/>
      <c r="E54" s="2397"/>
      <c r="F54" s="2398"/>
      <c r="G54" s="2398"/>
      <c r="H54" s="2398"/>
      <c r="I54" s="2398"/>
      <c r="J54" s="2398"/>
      <c r="K54" s="2398"/>
      <c r="L54" s="2398"/>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3" t="s">
        <v>592</v>
      </c>
      <c r="C56" s="2393"/>
      <c r="D56" s="540"/>
      <c r="E56" s="2414" t="s">
        <v>2015</v>
      </c>
      <c r="F56" s="2415"/>
      <c r="G56" s="2415"/>
      <c r="H56" s="2415"/>
      <c r="I56" s="2415"/>
      <c r="J56" s="2415"/>
      <c r="K56" s="2415"/>
      <c r="L56" s="2415"/>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3" t="s">
        <v>592</v>
      </c>
      <c r="C58" s="2393"/>
      <c r="D58" s="540"/>
      <c r="E58" s="2394" t="s">
        <v>2016</v>
      </c>
      <c r="F58" s="2395"/>
      <c r="G58" s="2395"/>
      <c r="H58" s="2395"/>
      <c r="I58" s="2395"/>
      <c r="J58" s="2395"/>
      <c r="K58" s="2395"/>
      <c r="L58" s="2395"/>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6"/>
      <c r="AK58" s="540"/>
      <c r="AL58" s="540"/>
      <c r="AM58" s="540"/>
      <c r="AN58" s="535"/>
    </row>
    <row r="59" spans="1:50" s="536" customFormat="1" ht="12.75" customHeight="1">
      <c r="A59" s="540"/>
      <c r="B59" s="547"/>
      <c r="C59" s="547"/>
      <c r="D59" s="547"/>
      <c r="E59" s="2397"/>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6">
        <f>AO39</f>
        <v>0</v>
      </c>
      <c r="AL62" s="2427"/>
      <c r="AM62" s="242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3" t="s">
        <v>1315</v>
      </c>
      <c r="AF65" s="2403"/>
      <c r="AG65" s="2403"/>
      <c r="AH65" s="2403"/>
      <c r="AI65" s="2403"/>
      <c r="AJ65" s="2403"/>
      <c r="AK65" s="2403"/>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3" t="s">
        <v>546</v>
      </c>
      <c r="C68" s="2393"/>
      <c r="D68" s="547" t="s">
        <v>1316</v>
      </c>
      <c r="E68" s="2404" t="s">
        <v>2017</v>
      </c>
      <c r="F68" s="2405"/>
      <c r="G68" s="2405"/>
      <c r="H68" s="2405"/>
      <c r="I68" s="2405"/>
      <c r="J68" s="2405"/>
      <c r="K68" s="2405"/>
      <c r="L68" s="240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6"/>
      <c r="AK68" s="543"/>
      <c r="AL68" s="540"/>
      <c r="AM68" s="540"/>
      <c r="AN68" s="535"/>
      <c r="AO68" s="550">
        <f>IF($B68="yes",10,0)</f>
        <v>10</v>
      </c>
    </row>
    <row r="69" spans="1:42" s="536" customFormat="1" ht="12.75" customHeight="1">
      <c r="A69" s="538"/>
      <c r="B69" s="540"/>
      <c r="C69" s="540"/>
      <c r="D69" s="551"/>
      <c r="E69" s="2407"/>
      <c r="F69" s="2408"/>
      <c r="G69" s="2408"/>
      <c r="H69" s="2408"/>
      <c r="I69" s="2408"/>
      <c r="J69" s="2408"/>
      <c r="K69" s="2408"/>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9"/>
      <c r="AK69" s="543"/>
      <c r="AL69" s="540"/>
      <c r="AM69" s="540"/>
      <c r="AN69" s="535"/>
      <c r="AO69" s="550">
        <f>IF($B74="yes",10,0)</f>
        <v>10</v>
      </c>
    </row>
    <row r="70" spans="1:42" s="536" customFormat="1" ht="12.75" customHeight="1">
      <c r="A70" s="538"/>
      <c r="B70" s="540"/>
      <c r="C70" s="540"/>
      <c r="D70" s="551"/>
      <c r="E70" s="2407"/>
      <c r="F70" s="2408"/>
      <c r="G70" s="2408"/>
      <c r="H70" s="2408"/>
      <c r="I70" s="2408"/>
      <c r="J70" s="2408"/>
      <c r="K70" s="2408"/>
      <c r="L70" s="2408"/>
      <c r="M70" s="2408"/>
      <c r="N70" s="2408"/>
      <c r="O70" s="2408"/>
      <c r="P70" s="2408"/>
      <c r="Q70" s="2408"/>
      <c r="R70" s="2408"/>
      <c r="S70" s="2408"/>
      <c r="T70" s="2408"/>
      <c r="U70" s="2408"/>
      <c r="V70" s="2408"/>
      <c r="W70" s="2408"/>
      <c r="X70" s="2408"/>
      <c r="Y70" s="2408"/>
      <c r="Z70" s="2408"/>
      <c r="AA70" s="2408"/>
      <c r="AB70" s="2408"/>
      <c r="AC70" s="2408"/>
      <c r="AD70" s="2408"/>
      <c r="AE70" s="2408"/>
      <c r="AF70" s="2408"/>
      <c r="AG70" s="2408"/>
      <c r="AH70" s="2408"/>
      <c r="AI70" s="2408"/>
      <c r="AJ70" s="2409"/>
      <c r="AK70" s="543"/>
      <c r="AL70" s="540"/>
      <c r="AM70" s="540"/>
      <c r="AN70" s="535"/>
      <c r="AO70" s="550">
        <f>IF($B81="yes",10,0)</f>
        <v>0</v>
      </c>
    </row>
    <row r="71" spans="1:42" s="536" customFormat="1" ht="12.75" customHeight="1">
      <c r="A71" s="538"/>
      <c r="B71" s="540"/>
      <c r="C71" s="540"/>
      <c r="D71" s="551"/>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IF(SUM(AO68:AO70)&gt;10,10,(SUM(AO68:AO70)))</f>
        <v>10</v>
      </c>
      <c r="AP71" s="574" t="s">
        <v>1317</v>
      </c>
    </row>
    <row r="72" spans="1:42" s="536" customFormat="1" ht="12.75" customHeight="1">
      <c r="A72" s="538"/>
      <c r="B72" s="540"/>
      <c r="C72" s="540"/>
      <c r="D72" s="551"/>
      <c r="E72" s="2410"/>
      <c r="F72" s="2411"/>
      <c r="G72" s="2411"/>
      <c r="H72" s="2411"/>
      <c r="I72" s="2411"/>
      <c r="J72" s="2411"/>
      <c r="K72" s="2411"/>
      <c r="L72" s="2411"/>
      <c r="M72" s="2411"/>
      <c r="N72" s="2411"/>
      <c r="O72" s="2411"/>
      <c r="P72" s="2411"/>
      <c r="Q72" s="2411"/>
      <c r="R72" s="2411"/>
      <c r="S72" s="2411"/>
      <c r="T72" s="2411"/>
      <c r="U72" s="2411"/>
      <c r="V72" s="2411"/>
      <c r="W72" s="2411"/>
      <c r="X72" s="2411"/>
      <c r="Y72" s="2411"/>
      <c r="Z72" s="2411"/>
      <c r="AA72" s="2411"/>
      <c r="AB72" s="2411"/>
      <c r="AC72" s="2411"/>
      <c r="AD72" s="2411"/>
      <c r="AE72" s="2411"/>
      <c r="AF72" s="2411"/>
      <c r="AG72" s="2411"/>
      <c r="AH72" s="2411"/>
      <c r="AI72" s="2411"/>
      <c r="AJ72" s="241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3" t="s">
        <v>546</v>
      </c>
      <c r="C74" s="239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3" t="s">
        <v>592</v>
      </c>
      <c r="F75" s="239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1" t="s">
        <v>592</v>
      </c>
      <c r="F76" s="2392"/>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1" t="s">
        <v>546</v>
      </c>
      <c r="F77" s="2392"/>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3" t="s">
        <v>592</v>
      </c>
      <c r="F79" s="239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3" t="s">
        <v>592</v>
      </c>
      <c r="C81" s="2393"/>
      <c r="D81" s="547" t="s">
        <v>1321</v>
      </c>
      <c r="E81" s="2394" t="s">
        <v>1741</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50"/>
      <c r="E82" s="2397"/>
      <c r="F82" s="2398"/>
      <c r="G82" s="2398"/>
      <c r="H82" s="2398"/>
      <c r="I82" s="2398"/>
      <c r="J82" s="2398"/>
      <c r="K82" s="2398"/>
      <c r="L82" s="2398"/>
      <c r="M82" s="2398"/>
      <c r="N82" s="2398"/>
      <c r="O82" s="2398"/>
      <c r="P82" s="2398"/>
      <c r="Q82" s="2398"/>
      <c r="R82" s="2398"/>
      <c r="S82" s="2398"/>
      <c r="T82" s="2398"/>
      <c r="U82" s="2398"/>
      <c r="V82" s="2398"/>
      <c r="W82" s="2398"/>
      <c r="X82" s="2398"/>
      <c r="Y82" s="2398"/>
      <c r="Z82" s="2398"/>
      <c r="AA82" s="2398"/>
      <c r="AB82" s="2398"/>
      <c r="AC82" s="2398"/>
      <c r="AD82" s="2398"/>
      <c r="AE82" s="2398"/>
      <c r="AF82" s="2398"/>
      <c r="AG82" s="2398"/>
      <c r="AH82" s="2398"/>
      <c r="AI82" s="2398"/>
      <c r="AJ82" s="239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6">
        <f>IF(AK62&gt;0,0,AO71)</f>
        <v>10</v>
      </c>
      <c r="AL84" s="2427"/>
      <c r="AM84" s="242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3" t="s">
        <v>1306</v>
      </c>
      <c r="AF87" s="2403"/>
      <c r="AG87" s="2403"/>
      <c r="AH87" s="2403"/>
      <c r="AI87" s="2403"/>
      <c r="AJ87" s="2403"/>
      <c r="AK87" s="2403"/>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3" t="s">
        <v>546</v>
      </c>
      <c r="C90" s="2393"/>
      <c r="D90" s="547" t="s">
        <v>1316</v>
      </c>
      <c r="E90" s="2404" t="s">
        <v>1326</v>
      </c>
      <c r="F90" s="2405"/>
      <c r="G90" s="2405"/>
      <c r="H90" s="2405"/>
      <c r="I90" s="2405"/>
      <c r="J90" s="2405"/>
      <c r="K90" s="2405"/>
      <c r="L90" s="2405"/>
      <c r="M90" s="2405"/>
      <c r="N90" s="2405"/>
      <c r="O90" s="2405"/>
      <c r="P90" s="2405"/>
      <c r="Q90" s="2405"/>
      <c r="R90" s="2405"/>
      <c r="S90" s="2405"/>
      <c r="T90" s="2405"/>
      <c r="U90" s="2405"/>
      <c r="V90" s="2405"/>
      <c r="W90" s="2405"/>
      <c r="X90" s="2405"/>
      <c r="Y90" s="2405"/>
      <c r="Z90" s="2405"/>
      <c r="AA90" s="2405"/>
      <c r="AB90" s="2405"/>
      <c r="AC90" s="2405"/>
      <c r="AD90" s="2405"/>
      <c r="AE90" s="2405"/>
      <c r="AF90" s="2405"/>
      <c r="AG90" s="2405"/>
      <c r="AH90" s="2405"/>
      <c r="AI90" s="2405"/>
      <c r="AJ90" s="2406"/>
      <c r="AK90" s="543"/>
      <c r="AL90" s="540"/>
      <c r="AM90" s="540"/>
      <c r="AN90" s="535"/>
    </row>
    <row r="91" spans="1:43" s="536" customFormat="1" ht="12.75" customHeight="1">
      <c r="A91" s="538"/>
      <c r="B91" s="539"/>
      <c r="C91" s="539"/>
      <c r="D91" s="539"/>
      <c r="E91" s="2407"/>
      <c r="F91" s="2408"/>
      <c r="G91" s="2408"/>
      <c r="H91" s="2408"/>
      <c r="I91" s="2408"/>
      <c r="J91" s="2408"/>
      <c r="K91" s="2408"/>
      <c r="L91" s="2408"/>
      <c r="M91" s="2408"/>
      <c r="N91" s="2408"/>
      <c r="O91" s="2408"/>
      <c r="P91" s="2408"/>
      <c r="Q91" s="2408"/>
      <c r="R91" s="2408"/>
      <c r="S91" s="2408"/>
      <c r="T91" s="2408"/>
      <c r="U91" s="2408"/>
      <c r="V91" s="2408"/>
      <c r="W91" s="2408"/>
      <c r="X91" s="2408"/>
      <c r="Y91" s="2408"/>
      <c r="Z91" s="2408"/>
      <c r="AA91" s="2408"/>
      <c r="AB91" s="2408"/>
      <c r="AC91" s="2408"/>
      <c r="AD91" s="2408"/>
      <c r="AE91" s="2408"/>
      <c r="AF91" s="2408"/>
      <c r="AG91" s="2408"/>
      <c r="AH91" s="2408"/>
      <c r="AI91" s="2408"/>
      <c r="AJ91" s="24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7">
        <f>Application!AC753</f>
        <v>0.38749999999999996</v>
      </c>
      <c r="F93" s="2388"/>
      <c r="G93" s="2388"/>
      <c r="H93" s="238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9">
        <f>0.6-ROUNDUP(E93,2)</f>
        <v>0.20999999999999996</v>
      </c>
      <c r="F94" s="2390"/>
      <c r="G94" s="2390"/>
      <c r="H94" s="2390"/>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0">
        <f>IF(E94*200&gt;20,20,E94*200)</f>
        <v>20</v>
      </c>
      <c r="F95" s="2421"/>
      <c r="G95" s="2421"/>
      <c r="H95" s="2421"/>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3" t="s">
        <v>546</v>
      </c>
      <c r="C98" s="2393"/>
      <c r="D98" s="547" t="s">
        <v>1318</v>
      </c>
      <c r="E98" s="2404" t="s">
        <v>1726</v>
      </c>
      <c r="F98" s="2405"/>
      <c r="G98" s="2405"/>
      <c r="H98" s="2405"/>
      <c r="I98" s="2405"/>
      <c r="J98" s="2405"/>
      <c r="K98" s="2405"/>
      <c r="L98" s="2405"/>
      <c r="M98" s="2405"/>
      <c r="N98" s="2405"/>
      <c r="O98" s="2405"/>
      <c r="P98" s="2405"/>
      <c r="Q98" s="2405"/>
      <c r="R98" s="2405"/>
      <c r="S98" s="2405"/>
      <c r="T98" s="2405"/>
      <c r="U98" s="2405"/>
      <c r="V98" s="2405"/>
      <c r="W98" s="2405"/>
      <c r="X98" s="2405"/>
      <c r="Y98" s="2405"/>
      <c r="Z98" s="2405"/>
      <c r="AA98" s="2405"/>
      <c r="AB98" s="2405"/>
      <c r="AC98" s="2405"/>
      <c r="AD98" s="2405"/>
      <c r="AE98" s="2405"/>
      <c r="AF98" s="2405"/>
      <c r="AG98" s="2405"/>
      <c r="AH98" s="2405"/>
      <c r="AI98" s="2405"/>
      <c r="AJ98" s="2406"/>
      <c r="AK98" s="543"/>
      <c r="AL98" s="540"/>
      <c r="AM98" s="540"/>
      <c r="AN98" s="535"/>
    </row>
    <row r="99" spans="1:47" s="536" customFormat="1" ht="12.75" customHeight="1">
      <c r="A99" s="538"/>
      <c r="B99" s="539"/>
      <c r="C99" s="539"/>
      <c r="D99" s="539"/>
      <c r="E99" s="2407"/>
      <c r="F99" s="2408"/>
      <c r="G99" s="2408"/>
      <c r="H99" s="2408"/>
      <c r="I99" s="2408"/>
      <c r="J99" s="2408"/>
      <c r="K99" s="2408"/>
      <c r="L99" s="2408"/>
      <c r="M99" s="2408"/>
      <c r="N99" s="2408"/>
      <c r="O99" s="2408"/>
      <c r="P99" s="2408"/>
      <c r="Q99" s="2408"/>
      <c r="R99" s="2408"/>
      <c r="S99" s="2408"/>
      <c r="T99" s="2408"/>
      <c r="U99" s="2408"/>
      <c r="V99" s="2408"/>
      <c r="W99" s="2408"/>
      <c r="X99" s="2408"/>
      <c r="Y99" s="2408"/>
      <c r="Z99" s="2408"/>
      <c r="AA99" s="2408"/>
      <c r="AB99" s="2408"/>
      <c r="AC99" s="2408"/>
      <c r="AD99" s="2408"/>
      <c r="AE99" s="2408"/>
      <c r="AF99" s="2408"/>
      <c r="AG99" s="2408"/>
      <c r="AH99" s="2408"/>
      <c r="AI99" s="2408"/>
      <c r="AJ99" s="2409"/>
      <c r="AK99" s="543"/>
      <c r="AL99" s="540"/>
      <c r="AM99" s="540"/>
      <c r="AN99" s="535"/>
    </row>
    <row r="100" spans="1:47" s="536" customFormat="1" ht="12.75" customHeight="1">
      <c r="A100" s="538"/>
      <c r="B100" s="539"/>
      <c r="C100" s="539"/>
      <c r="D100" s="539"/>
      <c r="E100" s="2407"/>
      <c r="F100" s="2408"/>
      <c r="G100" s="2408"/>
      <c r="H100" s="2408"/>
      <c r="I100" s="2408"/>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8"/>
      <c r="AD100" s="2408"/>
      <c r="AE100" s="2408"/>
      <c r="AF100" s="2408"/>
      <c r="AG100" s="2408"/>
      <c r="AH100" s="2408"/>
      <c r="AI100" s="2408"/>
      <c r="AJ100" s="2409"/>
      <c r="AK100" s="543"/>
      <c r="AL100" s="540"/>
      <c r="AM100" s="540"/>
      <c r="AN100" s="535"/>
    </row>
    <row r="101" spans="1:47" s="536" customFormat="1" ht="12.75" customHeight="1">
      <c r="A101" s="538"/>
      <c r="B101" s="539"/>
      <c r="C101" s="539"/>
      <c r="D101" s="539"/>
      <c r="E101" s="2407"/>
      <c r="F101" s="2408"/>
      <c r="G101" s="2408"/>
      <c r="H101" s="2408"/>
      <c r="I101" s="2408"/>
      <c r="J101" s="2408"/>
      <c r="K101" s="2408"/>
      <c r="L101" s="2408"/>
      <c r="M101" s="2408"/>
      <c r="N101" s="2408"/>
      <c r="O101" s="2408"/>
      <c r="P101" s="2408"/>
      <c r="Q101" s="2408"/>
      <c r="R101" s="2408"/>
      <c r="S101" s="2408"/>
      <c r="T101" s="2408"/>
      <c r="U101" s="2408"/>
      <c r="V101" s="2408"/>
      <c r="W101" s="2408"/>
      <c r="X101" s="2408"/>
      <c r="Y101" s="2408"/>
      <c r="Z101" s="2408"/>
      <c r="AA101" s="2408"/>
      <c r="AB101" s="2408"/>
      <c r="AC101" s="2408"/>
      <c r="AD101" s="2408"/>
      <c r="AE101" s="2408"/>
      <c r="AF101" s="2408"/>
      <c r="AG101" s="2408"/>
      <c r="AH101" s="2408"/>
      <c r="AI101" s="2408"/>
      <c r="AJ101" s="24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7">
        <f>Application!AC753</f>
        <v>0.38749999999999996</v>
      </c>
      <c r="F103" s="2388"/>
      <c r="G103" s="2388"/>
      <c r="H103" s="238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7">
        <f ca="1">SUMIF(Application!AC718:AG752,0.2,Application!G718:J752)/Application!G753+SUMIF(Application!AC718:AG752,0.25,Application!G718:J752)/Application!G753+SUMIF(Application!AC718:AG752,0.3,Application!G718:J752)/Application!G753</f>
        <v>0.5625</v>
      </c>
      <c r="F104" s="2388"/>
      <c r="G104" s="2388"/>
      <c r="H104" s="238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7">
        <f ca="1">SUMIF(Application!AC718:AG752,0.35,Application!G718:J752)/Application!G753+SUMIF(Application!AC718:AG752,0.4,Application!G718:J752)/Application!G753+SUMIF(Application!AC718:AG752,0.45,Application!G718:J752)/Application!G753+SUMIF(Application!AC718:AG752,0.5,Application!G718:J752)/Application!G753</f>
        <v>0.4375</v>
      </c>
      <c r="F105" s="2388"/>
      <c r="G105" s="2388"/>
      <c r="H105" s="238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5">
        <f ca="1">IF(AND(E103&lt;=0.6,OR(AND(E104&gt;=0.1,E105&gt;=0.1),AND(E104&gt;0.1,(E104+E105)&gt;=0.2))),20,0)</f>
        <v>20</v>
      </c>
      <c r="F106" s="2446"/>
      <c r="G106" s="2446"/>
      <c r="H106" s="244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6">
        <f ca="1">MAX(AP95,AP106)</f>
        <v>20</v>
      </c>
      <c r="AL109" s="2427"/>
      <c r="AM109" s="242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3" t="s">
        <v>1315</v>
      </c>
      <c r="AF112" s="2403"/>
      <c r="AG112" s="2403"/>
      <c r="AH112" s="2403"/>
      <c r="AI112" s="2403"/>
      <c r="AJ112" s="2403"/>
      <c r="AK112" s="2403"/>
      <c r="AL112" s="540"/>
      <c r="AM112" s="540"/>
      <c r="AN112" s="535"/>
      <c r="AO112" s="536" t="str">
        <f>Application!B718</f>
        <v>1 Bedroom</v>
      </c>
      <c r="AQ112" s="536">
        <f>Application!O718</f>
        <v>915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1525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1098</v>
      </c>
    </row>
    <row r="115" spans="1:52" s="536" customFormat="1" ht="12.75" customHeight="1">
      <c r="A115" s="540"/>
      <c r="B115" s="2393" t="s">
        <v>546</v>
      </c>
      <c r="C115" s="2393"/>
      <c r="D115" s="547" t="s">
        <v>1316</v>
      </c>
      <c r="E115" s="2404" t="s">
        <v>1858</v>
      </c>
      <c r="F115" s="2405"/>
      <c r="G115" s="2405"/>
      <c r="H115" s="2405"/>
      <c r="I115" s="2405"/>
      <c r="J115" s="2405"/>
      <c r="K115" s="2405"/>
      <c r="L115" s="2405"/>
      <c r="M115" s="2405"/>
      <c r="N115" s="2405"/>
      <c r="O115" s="2405"/>
      <c r="P115" s="2405"/>
      <c r="Q115" s="2405"/>
      <c r="R115" s="2405"/>
      <c r="S115" s="2405"/>
      <c r="T115" s="2405"/>
      <c r="U115" s="2405"/>
      <c r="V115" s="2405"/>
      <c r="W115" s="2405"/>
      <c r="X115" s="2405"/>
      <c r="Y115" s="2405"/>
      <c r="Z115" s="2405"/>
      <c r="AA115" s="2405"/>
      <c r="AB115" s="2405"/>
      <c r="AC115" s="2405"/>
      <c r="AD115" s="2405"/>
      <c r="AE115" s="2405"/>
      <c r="AF115" s="2405"/>
      <c r="AG115" s="2405"/>
      <c r="AH115" s="2405"/>
      <c r="AI115" s="2405"/>
      <c r="AJ115" s="2406"/>
      <c r="AK115" s="540"/>
      <c r="AL115" s="540"/>
      <c r="AM115" s="540"/>
      <c r="AN115" s="535"/>
      <c r="AO115" s="536" t="str">
        <f>Application!B721</f>
        <v>2 Bedrooms</v>
      </c>
      <c r="AQ115" s="536">
        <f>Application!O721</f>
        <v>1098</v>
      </c>
      <c r="AU115" s="536" t="s">
        <v>1841</v>
      </c>
      <c r="AV115" s="595" t="s">
        <v>1842</v>
      </c>
      <c r="AW115" s="536" t="s">
        <v>1843</v>
      </c>
    </row>
    <row r="116" spans="1:52" s="536" customFormat="1" ht="12.75" customHeight="1">
      <c r="A116" s="540"/>
      <c r="B116" s="539"/>
      <c r="C116" s="539"/>
      <c r="D116" s="539"/>
      <c r="E116" s="2407"/>
      <c r="F116" s="2408"/>
      <c r="G116" s="2408"/>
      <c r="H116" s="2408"/>
      <c r="I116" s="2408"/>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8"/>
      <c r="AD116" s="2408"/>
      <c r="AE116" s="2408"/>
      <c r="AF116" s="2408"/>
      <c r="AG116" s="2408"/>
      <c r="AH116" s="2408"/>
      <c r="AI116" s="2408"/>
      <c r="AJ116" s="2409"/>
      <c r="AK116" s="540"/>
      <c r="AL116" s="540"/>
      <c r="AM116" s="540"/>
      <c r="AN116" s="535"/>
      <c r="AO116" s="536" t="str">
        <f>Application!B722</f>
        <v>2 Bedrooms</v>
      </c>
      <c r="AQ116" s="536">
        <f>Application!O722</f>
        <v>1830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7"/>
      <c r="F117" s="2408"/>
      <c r="G117" s="2408"/>
      <c r="H117" s="2408"/>
      <c r="I117" s="2408"/>
      <c r="J117" s="2408"/>
      <c r="K117" s="2408"/>
      <c r="L117" s="2408"/>
      <c r="M117" s="2408"/>
      <c r="N117" s="2408"/>
      <c r="O117" s="2408"/>
      <c r="P117" s="2408"/>
      <c r="Q117" s="2408"/>
      <c r="R117" s="2408"/>
      <c r="S117" s="2408"/>
      <c r="T117" s="2408"/>
      <c r="U117" s="2408"/>
      <c r="V117" s="2408"/>
      <c r="W117" s="2408"/>
      <c r="X117" s="2408"/>
      <c r="Y117" s="2408"/>
      <c r="Z117" s="2408"/>
      <c r="AA117" s="2408"/>
      <c r="AB117" s="2408"/>
      <c r="AC117" s="2408"/>
      <c r="AD117" s="2408"/>
      <c r="AE117" s="2408"/>
      <c r="AF117" s="2408"/>
      <c r="AG117" s="2408"/>
      <c r="AH117" s="2408"/>
      <c r="AI117" s="2408"/>
      <c r="AJ117" s="2409"/>
      <c r="AK117" s="540"/>
      <c r="AL117" s="540"/>
      <c r="AM117" s="540"/>
      <c r="AN117" s="535"/>
      <c r="AO117" s="536" t="str">
        <f>Application!B723</f>
        <v>3 Bedrooms</v>
      </c>
      <c r="AQ117" s="536">
        <f>Application!O723</f>
        <v>1268</v>
      </c>
      <c r="AU117" s="856" t="str">
        <f>J124</f>
        <v>1-bedroom</v>
      </c>
      <c r="AV117" s="536">
        <f t="array" ref="AV117">SUM(IF(Application!B718:F752="1 Bedroom",Application!G718:J752))</f>
        <v>15</v>
      </c>
      <c r="AW117" s="1011">
        <f>AV117/AV122</f>
        <v>0.46875</v>
      </c>
    </row>
    <row r="118" spans="1:52" s="536" customFormat="1" ht="12.75" customHeight="1">
      <c r="A118" s="540"/>
      <c r="B118" s="539"/>
      <c r="C118" s="539"/>
      <c r="D118" s="539"/>
      <c r="E118" s="2407"/>
      <c r="F118" s="2408"/>
      <c r="G118" s="2408"/>
      <c r="H118" s="2408"/>
      <c r="I118" s="2408"/>
      <c r="J118" s="2408"/>
      <c r="K118" s="2408"/>
      <c r="L118" s="2408"/>
      <c r="M118" s="2408"/>
      <c r="N118" s="2408"/>
      <c r="O118" s="2408"/>
      <c r="P118" s="2408"/>
      <c r="Q118" s="2408"/>
      <c r="R118" s="2408"/>
      <c r="S118" s="2408"/>
      <c r="T118" s="2408"/>
      <c r="U118" s="2408"/>
      <c r="V118" s="2408"/>
      <c r="W118" s="2408"/>
      <c r="X118" s="2408"/>
      <c r="Y118" s="2408"/>
      <c r="Z118" s="2408"/>
      <c r="AA118" s="2408"/>
      <c r="AB118" s="2408"/>
      <c r="AC118" s="2408"/>
      <c r="AD118" s="2408"/>
      <c r="AE118" s="2408"/>
      <c r="AF118" s="2408"/>
      <c r="AG118" s="2408"/>
      <c r="AH118" s="2408"/>
      <c r="AI118" s="2408"/>
      <c r="AJ118" s="2409"/>
      <c r="AK118" s="540"/>
      <c r="AL118" s="540"/>
      <c r="AM118" s="540"/>
      <c r="AN118" s="535"/>
      <c r="AO118" s="536" t="str">
        <f>Application!B724</f>
        <v>3 Bedrooms</v>
      </c>
      <c r="AQ118" s="536">
        <f>Application!O724</f>
        <v>2114</v>
      </c>
      <c r="AU118" s="856" t="str">
        <f>O124</f>
        <v>2-bedroom</v>
      </c>
      <c r="AV118" s="536">
        <f t="array" ref="AV118">SUM(IF(Application!B718:F752="2 Bedrooms",Application!G718:J752))</f>
        <v>8</v>
      </c>
      <c r="AW118" s="1011">
        <f>AV118/AV122</f>
        <v>0.25</v>
      </c>
    </row>
    <row r="119" spans="1:52" s="536" customFormat="1" ht="12.75" customHeight="1">
      <c r="A119" s="540"/>
      <c r="B119" s="539"/>
      <c r="C119" s="539"/>
      <c r="D119" s="539"/>
      <c r="E119" s="2407"/>
      <c r="F119" s="2408"/>
      <c r="G119" s="2408"/>
      <c r="H119" s="2408"/>
      <c r="I119" s="2408"/>
      <c r="J119" s="2408"/>
      <c r="K119" s="2408"/>
      <c r="L119" s="2408"/>
      <c r="M119" s="2408"/>
      <c r="N119" s="2408"/>
      <c r="O119" s="2408"/>
      <c r="P119" s="2408"/>
      <c r="Q119" s="2408"/>
      <c r="R119" s="2408"/>
      <c r="S119" s="2408"/>
      <c r="T119" s="2408"/>
      <c r="U119" s="2408"/>
      <c r="V119" s="2408"/>
      <c r="W119" s="2408"/>
      <c r="X119" s="2408"/>
      <c r="Y119" s="2408"/>
      <c r="Z119" s="2408"/>
      <c r="AA119" s="2408"/>
      <c r="AB119" s="2408"/>
      <c r="AC119" s="2408"/>
      <c r="AD119" s="2408"/>
      <c r="AE119" s="2408"/>
      <c r="AF119" s="2408"/>
      <c r="AG119" s="2408"/>
      <c r="AH119" s="2408"/>
      <c r="AI119" s="2408"/>
      <c r="AJ119" s="2409"/>
      <c r="AK119" s="540"/>
      <c r="AL119" s="540"/>
      <c r="AM119" s="540"/>
      <c r="AN119" s="535"/>
      <c r="AO119" s="536" t="str">
        <f>Application!B725</f>
        <v>3 Bedrooms</v>
      </c>
      <c r="AQ119" s="536">
        <f>Application!O725</f>
        <v>2114</v>
      </c>
      <c r="AU119" s="856" t="str">
        <f>T124</f>
        <v>3-bedroom</v>
      </c>
      <c r="AV119" s="536">
        <f t="array" ref="AV119">SUM(IF(Application!B718:F752="3 Bedrooms",Application!G718:J752))</f>
        <v>9</v>
      </c>
      <c r="AW119" s="1011">
        <f>AV119/AV122</f>
        <v>0.28125</v>
      </c>
    </row>
    <row r="120" spans="1:52" s="536" customFormat="1" ht="12.75" customHeight="1">
      <c r="A120" s="540"/>
      <c r="B120" s="539"/>
      <c r="C120" s="539"/>
      <c r="D120" s="539"/>
      <c r="E120" s="2407"/>
      <c r="F120" s="2408"/>
      <c r="G120" s="2408"/>
      <c r="H120" s="2408"/>
      <c r="I120" s="2408"/>
      <c r="J120" s="2408"/>
      <c r="K120" s="2408"/>
      <c r="L120" s="2408"/>
      <c r="M120" s="2408"/>
      <c r="N120" s="2408"/>
      <c r="O120" s="2408"/>
      <c r="P120" s="2408"/>
      <c r="Q120" s="2408"/>
      <c r="R120" s="2408"/>
      <c r="S120" s="2408"/>
      <c r="T120" s="2408"/>
      <c r="U120" s="2408"/>
      <c r="V120" s="2408"/>
      <c r="W120" s="2408"/>
      <c r="X120" s="2408"/>
      <c r="Y120" s="2408"/>
      <c r="Z120" s="2408"/>
      <c r="AA120" s="2408"/>
      <c r="AB120" s="2408"/>
      <c r="AC120" s="2408"/>
      <c r="AD120" s="2408"/>
      <c r="AE120" s="2408"/>
      <c r="AF120" s="2408"/>
      <c r="AG120" s="2408"/>
      <c r="AH120" s="2408"/>
      <c r="AI120" s="2408"/>
      <c r="AJ120" s="240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7"/>
      <c r="F121" s="2408"/>
      <c r="G121" s="2408"/>
      <c r="H121" s="2408"/>
      <c r="I121" s="2408"/>
      <c r="J121" s="2408"/>
      <c r="K121" s="2408"/>
      <c r="L121" s="2408"/>
      <c r="M121" s="2408"/>
      <c r="N121" s="2408"/>
      <c r="O121" s="2408"/>
      <c r="P121" s="2408"/>
      <c r="Q121" s="2408"/>
      <c r="R121" s="2408"/>
      <c r="S121" s="2408"/>
      <c r="T121" s="2408"/>
      <c r="U121" s="2408"/>
      <c r="V121" s="2408"/>
      <c r="W121" s="2408"/>
      <c r="X121" s="2408"/>
      <c r="Y121" s="2408"/>
      <c r="Z121" s="2408"/>
      <c r="AA121" s="2408"/>
      <c r="AB121" s="2408"/>
      <c r="AC121" s="2408"/>
      <c r="AD121" s="2408"/>
      <c r="AE121" s="2408"/>
      <c r="AF121" s="2408"/>
      <c r="AG121" s="2408"/>
      <c r="AH121" s="2408"/>
      <c r="AI121" s="2408"/>
      <c r="AJ121" s="24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7"/>
      <c r="F122" s="2408"/>
      <c r="G122" s="2408"/>
      <c r="H122" s="2408"/>
      <c r="I122" s="2408"/>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8"/>
      <c r="AD122" s="2408"/>
      <c r="AE122" s="2408"/>
      <c r="AF122" s="2408"/>
      <c r="AG122" s="2408"/>
      <c r="AH122" s="2408"/>
      <c r="AI122" s="2408"/>
      <c r="AJ122" s="2409"/>
      <c r="AK122" s="540"/>
      <c r="AL122" s="540"/>
      <c r="AM122" s="540"/>
      <c r="AN122" s="535"/>
      <c r="AO122" s="536">
        <f>Application!B728</f>
        <v>0</v>
      </c>
      <c r="AQ122" s="536">
        <f>Application!O728</f>
        <v>0</v>
      </c>
      <c r="AV122" s="536">
        <f>SUM(AV116:AV121)</f>
        <v>32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7" t="s">
        <v>1589</v>
      </c>
      <c r="F124" s="2388"/>
      <c r="G124" s="2388"/>
      <c r="H124" s="2388"/>
      <c r="I124" s="577"/>
      <c r="J124" s="2388" t="s">
        <v>1632</v>
      </c>
      <c r="K124" s="2388"/>
      <c r="L124" s="2388"/>
      <c r="M124" s="2388"/>
      <c r="N124" s="577"/>
      <c r="O124" s="2388" t="s">
        <v>1633</v>
      </c>
      <c r="P124" s="2388"/>
      <c r="Q124" s="2388"/>
      <c r="R124" s="2388"/>
      <c r="S124" s="577"/>
      <c r="T124" s="2388" t="s">
        <v>1335</v>
      </c>
      <c r="U124" s="2388"/>
      <c r="V124" s="2388"/>
      <c r="W124" s="2388"/>
      <c r="X124" s="577"/>
      <c r="Y124" s="2388" t="s">
        <v>1634</v>
      </c>
      <c r="Z124" s="2388"/>
      <c r="AA124" s="2388"/>
      <c r="AB124" s="2388"/>
      <c r="AC124" s="577"/>
      <c r="AD124" s="2388" t="s">
        <v>1635</v>
      </c>
      <c r="AE124" s="2388"/>
      <c r="AF124" s="2388"/>
      <c r="AG124" s="238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7"/>
      <c r="F127" s="2448"/>
      <c r="G127" s="2448"/>
      <c r="H127" s="2448"/>
      <c r="I127" s="864"/>
      <c r="J127" s="2448">
        <v>1730</v>
      </c>
      <c r="K127" s="2448"/>
      <c r="L127" s="2448"/>
      <c r="M127" s="2448"/>
      <c r="N127" s="864"/>
      <c r="O127" s="2448">
        <v>2313</v>
      </c>
      <c r="P127" s="2448"/>
      <c r="Q127" s="2448"/>
      <c r="R127" s="2448"/>
      <c r="S127" s="864"/>
      <c r="T127" s="2448">
        <v>2666</v>
      </c>
      <c r="U127" s="2448"/>
      <c r="V127" s="2448"/>
      <c r="W127" s="2448"/>
      <c r="X127" s="864"/>
      <c r="Y127" s="2448"/>
      <c r="Z127" s="2448"/>
      <c r="AA127" s="2448"/>
      <c r="AB127" s="2448"/>
      <c r="AC127" s="864"/>
      <c r="AD127" s="2448"/>
      <c r="AE127" s="2448"/>
      <c r="AF127" s="2448"/>
      <c r="AG127" s="244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0">
        <f>Application!DX670</f>
        <v>0</v>
      </c>
      <c r="F130" s="2441"/>
      <c r="G130" s="2441"/>
      <c r="H130" s="2441"/>
      <c r="I130" s="864"/>
      <c r="J130" s="2441">
        <f>Application!EC670</f>
        <v>1199.6666666666665</v>
      </c>
      <c r="K130" s="2441"/>
      <c r="L130" s="2441"/>
      <c r="M130" s="2441"/>
      <c r="N130" s="864"/>
      <c r="O130" s="2441">
        <f>Application!EH670</f>
        <v>1281</v>
      </c>
      <c r="P130" s="2441"/>
      <c r="Q130" s="2441"/>
      <c r="R130" s="2441"/>
      <c r="S130" s="868"/>
      <c r="T130" s="2441">
        <f>Application!EM670</f>
        <v>1738</v>
      </c>
      <c r="U130" s="2441"/>
      <c r="V130" s="2441"/>
      <c r="W130" s="2441"/>
      <c r="X130" s="868"/>
      <c r="Y130" s="2441">
        <f>Application!ER670</f>
        <v>0</v>
      </c>
      <c r="Z130" s="2441"/>
      <c r="AA130" s="2441"/>
      <c r="AB130" s="2441"/>
      <c r="AC130" s="868"/>
      <c r="AD130" s="2441">
        <f>Application!EW670</f>
        <v>0</v>
      </c>
      <c r="AE130" s="2441"/>
      <c r="AF130" s="2441"/>
      <c r="AG130" s="244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9" t="e">
        <f>(E127-E130)/E127</f>
        <v>#DIV/0!</v>
      </c>
      <c r="F133" s="2390"/>
      <c r="G133" s="2390"/>
      <c r="H133" s="2640"/>
      <c r="I133" s="577"/>
      <c r="J133" s="2639">
        <f>(J127-J130)/J127</f>
        <v>0.3065510597302506</v>
      </c>
      <c r="K133" s="2390"/>
      <c r="L133" s="2390"/>
      <c r="M133" s="2640"/>
      <c r="N133" s="577"/>
      <c r="O133" s="2639">
        <f>(O127-O130)/O127</f>
        <v>0.4461738002594034</v>
      </c>
      <c r="P133" s="2390"/>
      <c r="Q133" s="2390"/>
      <c r="R133" s="2640"/>
      <c r="S133" s="577"/>
      <c r="T133" s="2639">
        <f>(T127-T130)/T127</f>
        <v>0.34808702175543887</v>
      </c>
      <c r="U133" s="2390"/>
      <c r="V133" s="2390"/>
      <c r="W133" s="2640"/>
      <c r="X133" s="577"/>
      <c r="Y133" s="2639" t="e">
        <f>(Y127-Y130)/Y127</f>
        <v>#DIV/0!</v>
      </c>
      <c r="Z133" s="2390"/>
      <c r="AA133" s="2390"/>
      <c r="AB133" s="2640"/>
      <c r="AC133" s="577"/>
      <c r="AD133" s="2639" t="e">
        <f>(AD127-AD130)/AD127</f>
        <v>#DIV/0!</v>
      </c>
      <c r="AE133" s="2390"/>
      <c r="AF133" s="2390"/>
      <c r="AG133" s="264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2" t="e">
        <f>IF(((E133-0.1)*AW116)&gt;0,((E133-0.1)*AW116),0)</f>
        <v>#DIV/0!</v>
      </c>
      <c r="F136" s="2443"/>
      <c r="G136" s="2443"/>
      <c r="H136" s="2444"/>
      <c r="I136" s="577"/>
      <c r="J136" s="2442">
        <f>IF(((J133-0.1)*AW117)&gt;0,((J133-0.1)*AW117),0)</f>
        <v>9.6820809248554962E-2</v>
      </c>
      <c r="K136" s="2443"/>
      <c r="L136" s="2443"/>
      <c r="M136" s="2444"/>
      <c r="N136" s="577"/>
      <c r="O136" s="2442">
        <f>IF(((O133-0.1)*AW118)&gt;0,((O133-0.1)*AW118),0)</f>
        <v>8.6543450064850841E-2</v>
      </c>
      <c r="P136" s="2443"/>
      <c r="Q136" s="2443"/>
      <c r="R136" s="2444"/>
      <c r="S136" s="577"/>
      <c r="T136" s="2442">
        <f>IF(((T133-0.1)*AW119)&gt;0,((T133-0.1)*AW119),0)</f>
        <v>6.9774474868717185E-2</v>
      </c>
      <c r="U136" s="2443"/>
      <c r="V136" s="2443"/>
      <c r="W136" s="2444"/>
      <c r="X136" s="577"/>
      <c r="Y136" s="2442" t="e">
        <f>IF(((Y133-0.1)*AW120)&gt;0,((Y133-0.1)*AW120),0)</f>
        <v>#DIV/0!</v>
      </c>
      <c r="Z136" s="2443"/>
      <c r="AA136" s="2443"/>
      <c r="AB136" s="2444"/>
      <c r="AC136" s="577"/>
      <c r="AD136" s="2442" t="e">
        <f>IF(((AD133-0.1)*AW121)&gt;0,((AD133-0.1)*AW121),0)</f>
        <v>#DIV/0!</v>
      </c>
      <c r="AE136" s="2443"/>
      <c r="AF136" s="2443"/>
      <c r="AG136" s="244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9">
        <f>ROUNDDOWN(SUMIF(E136:AG136,"&gt;0"),2)</f>
        <v>0.25</v>
      </c>
      <c r="F138" s="2390"/>
      <c r="G138" s="2390"/>
      <c r="H138" s="264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6">
        <f>IF((E138*100)&gt;10,10,E138*100)</f>
        <v>10</v>
      </c>
      <c r="F139" s="2427"/>
      <c r="G139" s="2427"/>
      <c r="H139" s="242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6">
        <f>E139</f>
        <v>10</v>
      </c>
      <c r="AL143" s="2427"/>
      <c r="AM143" s="242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3" t="s">
        <v>1315</v>
      </c>
      <c r="AF146" s="2403"/>
      <c r="AG146" s="2403"/>
      <c r="AH146" s="2403"/>
      <c r="AI146" s="2403"/>
      <c r="AJ146" s="2403"/>
      <c r="AK146" s="240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8" t="s">
        <v>1339</v>
      </c>
      <c r="AG148" s="2438"/>
      <c r="AH148" s="2438"/>
      <c r="AI148" s="2438"/>
      <c r="AJ148" s="2438"/>
      <c r="AK148" s="2438"/>
      <c r="AL148" s="2438"/>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9" t="s">
        <v>2637</v>
      </c>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5" t="s">
        <v>1342</v>
      </c>
      <c r="C153" s="2465"/>
      <c r="D153" s="2465"/>
      <c r="E153" s="2465"/>
      <c r="F153" s="2465"/>
      <c r="G153" s="2465"/>
      <c r="H153" s="2465"/>
      <c r="I153" s="2465"/>
      <c r="J153" s="2465"/>
      <c r="K153" s="2465"/>
      <c r="L153" s="2465"/>
      <c r="M153" s="2465"/>
      <c r="N153" s="2465"/>
      <c r="O153" s="2465"/>
      <c r="P153" s="2465"/>
      <c r="Q153" s="2465"/>
      <c r="R153" s="2465"/>
      <c r="S153" s="2465"/>
      <c r="T153" s="2465"/>
      <c r="U153" s="2465"/>
      <c r="V153" s="2465"/>
      <c r="W153" s="2465"/>
      <c r="X153" s="2465"/>
      <c r="Y153" s="2465"/>
      <c r="Z153" s="2465"/>
      <c r="AA153" s="2465"/>
      <c r="AB153" s="2465"/>
      <c r="AC153" s="2465"/>
      <c r="AD153" s="2465"/>
      <c r="AE153" s="2465"/>
      <c r="AF153" s="2465"/>
      <c r="AG153" s="2465"/>
      <c r="AH153" s="2465"/>
      <c r="AI153" s="2465"/>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6" t="s">
        <v>592</v>
      </c>
      <c r="AC155" s="246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5" t="s">
        <v>1344</v>
      </c>
      <c r="C158" s="2465"/>
      <c r="D158" s="2465"/>
      <c r="E158" s="2465"/>
      <c r="F158" s="2465"/>
      <c r="G158" s="2465"/>
      <c r="H158" s="2465"/>
      <c r="I158" s="2465"/>
      <c r="J158" s="2465"/>
      <c r="K158" s="2465"/>
      <c r="L158" s="2465"/>
      <c r="M158" s="2465"/>
      <c r="N158" s="2465"/>
      <c r="O158" s="2465"/>
      <c r="P158" s="2465"/>
      <c r="Q158" s="2465"/>
      <c r="R158" s="2465"/>
      <c r="S158" s="2465"/>
      <c r="T158" s="2465"/>
      <c r="U158" s="2465"/>
      <c r="V158" s="2465"/>
      <c r="W158" s="2465"/>
      <c r="X158" s="2465"/>
      <c r="Y158" s="2465"/>
      <c r="Z158" s="2465"/>
      <c r="AA158" s="2465"/>
      <c r="AB158" s="2465"/>
      <c r="AC158" s="2465"/>
      <c r="AD158" s="2465"/>
      <c r="AE158" s="2465"/>
      <c r="AF158" s="2465"/>
      <c r="AG158" s="2465"/>
      <c r="AH158" s="2465"/>
      <c r="AI158" s="2465"/>
      <c r="AJ158" s="2465"/>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6" t="s">
        <v>2476</v>
      </c>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80"/>
      <c r="AM161" s="539"/>
      <c r="AN161" s="535"/>
      <c r="AO161" s="476"/>
      <c r="AP161" s="489"/>
    </row>
    <row r="162" spans="1:42" s="536" customFormat="1" ht="12.75" customHeight="1">
      <c r="B162" s="2626"/>
      <c r="C162" s="2626"/>
      <c r="D162" s="2626"/>
      <c r="E162" s="2626"/>
      <c r="F162" s="2626"/>
      <c r="G162" s="2626"/>
      <c r="H162" s="2626"/>
      <c r="I162" s="2626"/>
      <c r="J162" s="2626"/>
      <c r="K162" s="2626"/>
      <c r="L162" s="2626"/>
      <c r="M162" s="2626"/>
      <c r="N162" s="2626"/>
      <c r="O162" s="2626"/>
      <c r="P162" s="2626"/>
      <c r="Q162" s="2626"/>
      <c r="R162" s="2626"/>
      <c r="S162" s="2626"/>
      <c r="T162" s="2626"/>
      <c r="U162" s="2626"/>
      <c r="V162" s="2626"/>
      <c r="W162" s="2626"/>
      <c r="X162" s="2626"/>
      <c r="Y162" s="2626"/>
      <c r="Z162" s="2626"/>
      <c r="AA162" s="2626"/>
      <c r="AB162" s="2626"/>
      <c r="AC162" s="2626"/>
      <c r="AD162" s="2626"/>
      <c r="AE162" s="2626"/>
      <c r="AF162" s="2626"/>
      <c r="AG162" s="2626"/>
      <c r="AH162" s="2626"/>
      <c r="AI162" s="2626"/>
      <c r="AJ162" s="2626"/>
      <c r="AK162" s="1180"/>
      <c r="AM162" s="539"/>
      <c r="AN162" s="535"/>
      <c r="AO162" s="476"/>
      <c r="AP162" s="489"/>
    </row>
    <row r="163" spans="1:42" s="536" customFormat="1" ht="12.75" customHeight="1">
      <c r="C163" s="2529" t="s">
        <v>2477</v>
      </c>
      <c r="D163" s="2529"/>
      <c r="E163" s="2529"/>
      <c r="F163" s="2529"/>
      <c r="G163" s="2529"/>
      <c r="H163" s="2529"/>
      <c r="I163" s="2529"/>
      <c r="J163" s="2529"/>
      <c r="K163" s="2529"/>
      <c r="L163" s="2529"/>
      <c r="M163" s="2529"/>
      <c r="N163" s="2529"/>
      <c r="O163" s="2529"/>
      <c r="P163" s="2529"/>
      <c r="Q163" s="2529"/>
      <c r="R163" s="2529"/>
      <c r="S163" s="2529"/>
      <c r="T163" s="2529"/>
      <c r="U163" s="2529"/>
      <c r="V163" s="2529"/>
      <c r="W163" s="2529"/>
      <c r="X163" s="2529"/>
      <c r="Y163" s="2529"/>
      <c r="Z163" s="2529"/>
      <c r="AA163" s="2529"/>
      <c r="AB163" s="2529"/>
      <c r="AC163" s="2529"/>
      <c r="AD163" s="2529"/>
      <c r="AE163" s="2529"/>
      <c r="AF163" s="2529"/>
      <c r="AG163" s="2529"/>
      <c r="AH163" s="2529"/>
      <c r="AI163" s="2529"/>
      <c r="AJ163" s="2529"/>
      <c r="AK163" s="1180"/>
      <c r="AM163" s="539"/>
      <c r="AN163" s="535"/>
      <c r="AO163" s="476"/>
      <c r="AP163" s="489"/>
    </row>
    <row r="164" spans="1:42" s="536" customFormat="1" ht="12.75" customHeight="1">
      <c r="B164" s="1180"/>
      <c r="C164" s="2464" t="s">
        <v>2475</v>
      </c>
      <c r="D164" s="2464"/>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1170"/>
      <c r="AB164" s="1170"/>
      <c r="AC164" s="1170"/>
      <c r="AD164" s="1170"/>
      <c r="AE164" s="1170"/>
      <c r="AF164" s="1170"/>
      <c r="AG164" s="1170"/>
      <c r="AH164" s="1170"/>
      <c r="AJ164" s="2466" t="s">
        <v>592</v>
      </c>
      <c r="AK164" s="246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9">
        <f>IF($AB$155="N/A",VLOOKUP($B$153,$AO$151:$AP$154,2,FALSE),VLOOKUP($B$158,$AO$156:$AP$158,2,FALSE))</f>
        <v>7</v>
      </c>
      <c r="AK166" s="246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8" t="s">
        <v>1353</v>
      </c>
      <c r="AG168" s="2438"/>
      <c r="AH168" s="2438"/>
      <c r="AI168" s="2438"/>
      <c r="AJ168" s="2438"/>
      <c r="AK168" s="2438"/>
      <c r="AL168" s="2438"/>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5" t="s">
        <v>1351</v>
      </c>
      <c r="D170" s="2465"/>
      <c r="E170" s="2465"/>
      <c r="F170" s="2465"/>
      <c r="G170" s="2465"/>
      <c r="H170" s="2465"/>
      <c r="I170" s="2465"/>
      <c r="J170" s="2465"/>
      <c r="K170" s="2465"/>
      <c r="L170" s="2465"/>
      <c r="M170" s="2465"/>
      <c r="N170" s="2465"/>
      <c r="O170" s="2465"/>
      <c r="P170" s="2465"/>
      <c r="Q170" s="2465"/>
      <c r="R170" s="2465"/>
      <c r="S170" s="2465"/>
      <c r="T170" s="2465"/>
      <c r="U170" s="2465"/>
      <c r="V170" s="2465"/>
      <c r="W170" s="2465"/>
      <c r="X170" s="2465"/>
      <c r="Y170" s="2465"/>
      <c r="Z170" s="2465"/>
      <c r="AA170" s="2465"/>
      <c r="AB170" s="2465"/>
      <c r="AC170" s="2465"/>
      <c r="AD170" s="2465"/>
      <c r="AE170" s="2465"/>
      <c r="AF170" s="2465"/>
      <c r="AG170" s="2465"/>
      <c r="AH170" s="2465"/>
      <c r="AI170" s="246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6" t="s">
        <v>592</v>
      </c>
      <c r="AG172" s="2466"/>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5" t="s">
        <v>1344</v>
      </c>
      <c r="D174" s="2465"/>
      <c r="E174" s="2465"/>
      <c r="F174" s="2465"/>
      <c r="G174" s="2465"/>
      <c r="H174" s="2465"/>
      <c r="I174" s="2465"/>
      <c r="J174" s="2465"/>
      <c r="K174" s="2465"/>
      <c r="L174" s="2465"/>
      <c r="M174" s="2465"/>
      <c r="N174" s="2465"/>
      <c r="O174" s="2465"/>
      <c r="P174" s="2465"/>
      <c r="Q174" s="2465"/>
      <c r="R174" s="2465"/>
      <c r="S174" s="2465"/>
      <c r="T174" s="2465"/>
      <c r="U174" s="2465"/>
      <c r="V174" s="2465"/>
      <c r="W174" s="2465"/>
      <c r="X174" s="2465"/>
      <c r="Y174" s="2465"/>
      <c r="Z174" s="2465"/>
      <c r="AA174" s="2465"/>
      <c r="AB174" s="2465"/>
      <c r="AC174" s="2465"/>
      <c r="AD174" s="2465"/>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7" t="str">
        <f>Application!AA335</f>
        <v>Housing Authority of the County of Santa Barbara</v>
      </c>
      <c r="D178" s="2467"/>
      <c r="E178" s="2467"/>
      <c r="F178" s="2467"/>
      <c r="G178" s="2467"/>
      <c r="H178" s="2467"/>
      <c r="I178" s="2467"/>
      <c r="J178" s="2467"/>
      <c r="K178" s="2467"/>
      <c r="L178" s="2467"/>
      <c r="M178" s="2467"/>
      <c r="N178" s="2467"/>
      <c r="O178" s="2467"/>
      <c r="P178" s="2467"/>
      <c r="Q178" s="2467"/>
      <c r="R178" s="2467"/>
      <c r="S178" s="2467"/>
      <c r="T178" s="2467"/>
      <c r="U178" s="2467"/>
      <c r="V178" s="2467"/>
      <c r="W178" s="2467"/>
      <c r="X178" s="2467"/>
      <c r="Y178" s="2467"/>
      <c r="Z178" s="2467"/>
      <c r="AA178" s="2467"/>
      <c r="AB178" s="2467"/>
      <c r="AC178" s="2467"/>
      <c r="AD178" s="2467"/>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8">
        <f>IF($AF$172="N/A",VLOOKUP($C$170,$AO$170:$AP$173,2,FALSE),VLOOKUP($C$174,$AO$177:$AP$179,2,FALSE))</f>
        <v>3</v>
      </c>
      <c r="AK180" s="246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6">
        <f>$AJ$166+$AJ$180</f>
        <v>10</v>
      </c>
      <c r="AL183" s="2427"/>
      <c r="AM183" s="242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3" t="s">
        <v>1315</v>
      </c>
      <c r="AF186" s="2403"/>
      <c r="AG186" s="2403"/>
      <c r="AH186" s="2403"/>
      <c r="AI186" s="2403"/>
      <c r="AJ186" s="2403"/>
      <c r="AK186" s="2403"/>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3" t="s">
        <v>1042</v>
      </c>
      <c r="C188" s="2463"/>
      <c r="D188" s="2463"/>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536"/>
      <c r="AE188" s="536"/>
      <c r="AF188" s="2438" t="s">
        <v>1364</v>
      </c>
      <c r="AG188" s="2438"/>
      <c r="AH188" s="2438"/>
      <c r="AI188" s="2438"/>
      <c r="AJ188" s="2438"/>
      <c r="AK188" s="2438"/>
      <c r="AL188" s="2438"/>
      <c r="AN188" s="597"/>
      <c r="AP188" s="550" t="s">
        <v>1044</v>
      </c>
      <c r="AQ188" s="550">
        <v>10</v>
      </c>
    </row>
    <row r="189" spans="1:73" s="550" customFormat="1" ht="12.75" customHeight="1">
      <c r="A189" s="536"/>
      <c r="B189" s="2464" t="s">
        <v>1727</v>
      </c>
      <c r="C189" s="2464"/>
      <c r="D189" s="2464"/>
      <c r="E189" s="2464"/>
      <c r="F189" s="2464"/>
      <c r="G189" s="2464"/>
      <c r="H189" s="2464"/>
      <c r="I189" s="2464"/>
      <c r="J189" s="2464"/>
      <c r="K189" s="2464"/>
      <c r="L189" s="2464"/>
      <c r="M189" s="2464"/>
      <c r="N189" s="2464"/>
      <c r="O189" s="2464"/>
      <c r="P189" s="2464"/>
      <c r="Q189" s="2464"/>
      <c r="R189" s="2464"/>
      <c r="S189" s="2464"/>
      <c r="T189" s="2439" t="s">
        <v>592</v>
      </c>
      <c r="U189" s="2439"/>
      <c r="V189" s="2439"/>
      <c r="W189" s="2439"/>
      <c r="X189" s="2439"/>
      <c r="Y189" s="2439"/>
      <c r="Z189" s="2439"/>
      <c r="AA189" s="2439"/>
      <c r="AB189" s="2439"/>
      <c r="AC189" s="243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3">
        <f>IF(AK84&gt;0,VLOOKUP($B$188,AP185:AQ191,2,FALSE),0)</f>
        <v>10</v>
      </c>
      <c r="AL191" s="2474"/>
      <c r="AM191" s="247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3" t="s">
        <v>1373</v>
      </c>
      <c r="AF194" s="2403"/>
      <c r="AG194" s="2403"/>
      <c r="AH194" s="2403"/>
      <c r="AI194" s="2403"/>
      <c r="AJ194" s="2403"/>
      <c r="AK194" s="240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0" t="s">
        <v>2726</v>
      </c>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6"/>
      <c r="AD199" s="2451">
        <f>9156458</f>
        <v>9156458</v>
      </c>
      <c r="AE199" s="2451"/>
      <c r="AF199" s="2451"/>
      <c r="AG199" s="2451"/>
      <c r="AH199" s="2451"/>
      <c r="AI199" s="2451"/>
      <c r="AJ199" s="2451"/>
      <c r="AK199" s="610"/>
    </row>
    <row r="200" spans="1:40">
      <c r="A200" s="605"/>
      <c r="B200" s="2450" t="s">
        <v>2727</v>
      </c>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6"/>
      <c r="AD200" s="2451">
        <v>1000000</v>
      </c>
      <c r="AE200" s="2451"/>
      <c r="AF200" s="2451"/>
      <c r="AG200" s="2451"/>
      <c r="AH200" s="2451"/>
      <c r="AI200" s="2451"/>
      <c r="AJ200" s="2451"/>
      <c r="AK200" s="610"/>
    </row>
    <row r="201" spans="1:40">
      <c r="A201" s="605"/>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6"/>
      <c r="AD201" s="2451"/>
      <c r="AE201" s="2451"/>
      <c r="AF201" s="2451"/>
      <c r="AG201" s="2451"/>
      <c r="AH201" s="2451"/>
      <c r="AI201" s="2451"/>
      <c r="AJ201" s="2451"/>
      <c r="AK201" s="610"/>
    </row>
    <row r="202" spans="1:40">
      <c r="A202" s="605"/>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6"/>
      <c r="AD202" s="2451"/>
      <c r="AE202" s="2451"/>
      <c r="AF202" s="2451"/>
      <c r="AG202" s="2451"/>
      <c r="AH202" s="2451"/>
      <c r="AI202" s="2451"/>
      <c r="AJ202" s="2451"/>
      <c r="AK202" s="610"/>
    </row>
    <row r="203" spans="1:40">
      <c r="A203" s="605"/>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6"/>
      <c r="AD203" s="2451"/>
      <c r="AE203" s="2451"/>
      <c r="AF203" s="2451"/>
      <c r="AG203" s="2451"/>
      <c r="AH203" s="2451"/>
      <c r="AI203" s="2451"/>
      <c r="AJ203" s="2451"/>
      <c r="AK203" s="610"/>
    </row>
    <row r="204" spans="1:40">
      <c r="A204" s="605"/>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6"/>
      <c r="AD204" s="2451"/>
      <c r="AE204" s="2451"/>
      <c r="AF204" s="2451"/>
      <c r="AG204" s="2451"/>
      <c r="AH204" s="2451"/>
      <c r="AI204" s="2451"/>
      <c r="AJ204" s="2451"/>
      <c r="AK204" s="610"/>
    </row>
    <row r="205" spans="1:40">
      <c r="A205" s="605"/>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6"/>
      <c r="AD205" s="2451"/>
      <c r="AE205" s="2451"/>
      <c r="AF205" s="2451"/>
      <c r="AG205" s="2451"/>
      <c r="AH205" s="2451"/>
      <c r="AI205" s="2451"/>
      <c r="AJ205" s="2451"/>
      <c r="AK205" s="610"/>
    </row>
    <row r="206" spans="1:40">
      <c r="A206" s="605"/>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6"/>
      <c r="AD206" s="2451"/>
      <c r="AE206" s="2451"/>
      <c r="AF206" s="2451"/>
      <c r="AG206" s="2451"/>
      <c r="AH206" s="2451"/>
      <c r="AI206" s="2451"/>
      <c r="AJ206" s="2451"/>
      <c r="AK206" s="610"/>
    </row>
    <row r="207" spans="1:40">
      <c r="A207" s="605"/>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6"/>
      <c r="AD207" s="2451"/>
      <c r="AE207" s="2451"/>
      <c r="AF207" s="2451"/>
      <c r="AG207" s="2451"/>
      <c r="AH207" s="2451"/>
      <c r="AI207" s="2451"/>
      <c r="AJ207" s="2451"/>
      <c r="AK207" s="610"/>
    </row>
    <row r="208" spans="1:40">
      <c r="A208" s="605"/>
      <c r="B208" s="2450"/>
      <c r="C208" s="2450"/>
      <c r="D208" s="2450"/>
      <c r="E208" s="2450"/>
      <c r="F208" s="2450"/>
      <c r="G208" s="2450"/>
      <c r="H208" s="2450"/>
      <c r="I208" s="2450"/>
      <c r="J208" s="2450"/>
      <c r="K208" s="2450"/>
      <c r="L208" s="2450"/>
      <c r="M208" s="2450"/>
      <c r="N208" s="2450"/>
      <c r="O208" s="2450"/>
      <c r="P208" s="2450"/>
      <c r="Q208" s="2450"/>
      <c r="R208" s="2450"/>
      <c r="S208" s="2450"/>
      <c r="T208" s="2450"/>
      <c r="U208" s="2450"/>
      <c r="V208" s="2450"/>
      <c r="W208" s="2450"/>
      <c r="X208" s="2450"/>
      <c r="Y208" s="2450"/>
      <c r="Z208" s="2450"/>
      <c r="AA208" s="2450"/>
      <c r="AB208" s="2450"/>
      <c r="AC208" s="846"/>
      <c r="AD208" s="2451"/>
      <c r="AE208" s="2451"/>
      <c r="AF208" s="2451"/>
      <c r="AG208" s="2451"/>
      <c r="AH208" s="2451"/>
      <c r="AI208" s="2451"/>
      <c r="AJ208" s="2451"/>
      <c r="AK208" s="610"/>
    </row>
    <row r="209" spans="1:37">
      <c r="A209" s="605"/>
      <c r="B209" s="2461" t="s">
        <v>1628</v>
      </c>
      <c r="C209" s="2461"/>
      <c r="D209" s="2461"/>
      <c r="E209" s="2461"/>
      <c r="F209" s="2461"/>
      <c r="G209" s="2461"/>
      <c r="H209" s="2461"/>
      <c r="I209" s="2461"/>
      <c r="J209" s="2461"/>
      <c r="K209" s="2461"/>
      <c r="L209" s="2461"/>
      <c r="M209" s="2461"/>
      <c r="N209" s="2461"/>
      <c r="O209" s="2461"/>
      <c r="P209" s="2461"/>
      <c r="Q209" s="2461"/>
      <c r="R209" s="2461"/>
      <c r="S209" s="2461"/>
      <c r="T209" s="2461"/>
      <c r="U209" s="2461"/>
      <c r="V209" s="2461"/>
      <c r="W209" s="2461"/>
      <c r="X209" s="2461"/>
      <c r="Y209" s="2461"/>
      <c r="Z209" s="2461"/>
      <c r="AA209" s="2461"/>
      <c r="AB209" s="2461"/>
      <c r="AC209" s="536"/>
      <c r="AD209" s="2480">
        <f>AB260</f>
        <v>4778137.2554804133</v>
      </c>
      <c r="AE209" s="2480"/>
      <c r="AF209" s="2480"/>
      <c r="AG209" s="2480"/>
      <c r="AH209" s="2480"/>
      <c r="AI209" s="2480"/>
      <c r="AJ209" s="2480"/>
      <c r="AK209" s="610"/>
    </row>
    <row r="210" spans="1:37">
      <c r="A210" s="605"/>
      <c r="B210" s="2607" t="s">
        <v>1591</v>
      </c>
      <c r="C210" s="2607"/>
      <c r="D210" s="2607"/>
      <c r="E210" s="2607"/>
      <c r="F210" s="2607"/>
      <c r="G210" s="2607"/>
      <c r="H210" s="2607"/>
      <c r="I210" s="2607"/>
      <c r="J210" s="2607"/>
      <c r="K210" s="2607"/>
      <c r="L210" s="2607"/>
      <c r="M210" s="2607"/>
      <c r="N210" s="2607"/>
      <c r="O210" s="2607"/>
      <c r="P210" s="2607"/>
      <c r="Q210" s="2607"/>
      <c r="R210" s="2607"/>
      <c r="S210" s="2607"/>
      <c r="T210" s="2607"/>
      <c r="U210" s="2607"/>
      <c r="V210" s="2607"/>
      <c r="W210" s="2607"/>
      <c r="X210" s="2607"/>
      <c r="Y210" s="2607"/>
      <c r="Z210" s="2607"/>
      <c r="AA210" s="2607"/>
      <c r="AB210" s="2607"/>
      <c r="AC210" s="846"/>
      <c r="AD210" s="2481">
        <f>'Sources and Uses Budget'!B15</f>
        <v>0</v>
      </c>
      <c r="AE210" s="2481"/>
      <c r="AF210" s="2481"/>
      <c r="AG210" s="2481"/>
      <c r="AH210" s="2481"/>
      <c r="AI210" s="2481"/>
      <c r="AJ210" s="248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5">
        <f>SUM(AD199:AJ209)-AD210</f>
        <v>14934595.255480412</v>
      </c>
      <c r="AE211" s="2485"/>
      <c r="AF211" s="2485"/>
      <c r="AG211" s="2485"/>
      <c r="AH211" s="2485"/>
      <c r="AI211" s="2485"/>
      <c r="AJ211" s="248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4" t="s">
        <v>1608</v>
      </c>
      <c r="J222" s="2454"/>
      <c r="K222" s="2454"/>
      <c r="L222" s="536"/>
      <c r="M222" s="536"/>
      <c r="N222" s="536"/>
      <c r="O222" s="536"/>
      <c r="P222" s="536"/>
      <c r="Q222" s="536"/>
      <c r="R222" s="536"/>
      <c r="S222" s="536"/>
      <c r="T222" s="2642" t="s">
        <v>1602</v>
      </c>
      <c r="U222" s="2642"/>
      <c r="V222" s="2642"/>
      <c r="W222" s="2642"/>
      <c r="X222" s="2642"/>
      <c r="Y222" s="2642"/>
      <c r="Z222" s="849"/>
      <c r="AA222" s="489"/>
      <c r="AB222" s="2449" t="s">
        <v>1603</v>
      </c>
      <c r="AC222" s="2449"/>
      <c r="AD222" s="2449"/>
      <c r="AE222" s="2449"/>
      <c r="AF222" s="2449"/>
      <c r="AG222" s="2449"/>
      <c r="AH222" s="827"/>
      <c r="AI222" s="827"/>
      <c r="AJ222" s="827"/>
      <c r="AK222" s="610"/>
    </row>
    <row r="223" spans="1:37">
      <c r="A223" s="605"/>
      <c r="B223" s="2452" t="s">
        <v>1588</v>
      </c>
      <c r="C223" s="2452"/>
      <c r="D223" s="2452"/>
      <c r="E223" s="2452"/>
      <c r="F223" s="2452"/>
      <c r="G223" s="2452"/>
      <c r="I223" s="2453" t="s">
        <v>1609</v>
      </c>
      <c r="J223" s="2453"/>
      <c r="K223" s="2453"/>
      <c r="L223" s="1008"/>
      <c r="N223" s="2459" t="s">
        <v>1604</v>
      </c>
      <c r="O223" s="2459"/>
      <c r="P223" s="2459"/>
      <c r="Q223" s="2459"/>
      <c r="R223" s="2459"/>
      <c r="T223" s="2459" t="s">
        <v>1605</v>
      </c>
      <c r="U223" s="2459"/>
      <c r="V223" s="2459"/>
      <c r="W223" s="2459"/>
      <c r="X223" s="2459"/>
      <c r="Y223" s="2459"/>
      <c r="Z223" s="850"/>
      <c r="AA223" s="489"/>
      <c r="AB223" s="2596" t="s">
        <v>1606</v>
      </c>
      <c r="AC223" s="2596"/>
      <c r="AD223" s="2596"/>
      <c r="AE223" s="2596"/>
      <c r="AF223" s="2596"/>
      <c r="AG223" s="2596"/>
      <c r="AH223" s="827"/>
      <c r="AI223" s="827"/>
      <c r="AJ223" s="827"/>
      <c r="AK223" s="610"/>
    </row>
    <row r="224" spans="1:37">
      <c r="A224" s="605"/>
      <c r="B224" s="2456" t="s">
        <v>2707</v>
      </c>
      <c r="C224" s="2456"/>
      <c r="D224" s="2456"/>
      <c r="E224" s="2456"/>
      <c r="F224" s="2456"/>
      <c r="G224" s="2456"/>
      <c r="H224" s="852"/>
      <c r="I224" s="2455">
        <v>7</v>
      </c>
      <c r="J224" s="2455"/>
      <c r="K224" s="2455"/>
      <c r="L224" s="1008"/>
      <c r="N224" s="2460">
        <v>1525</v>
      </c>
      <c r="O224" s="2460"/>
      <c r="P224" s="2460"/>
      <c r="Q224" s="2460"/>
      <c r="R224" s="2460"/>
      <c r="T224" s="2608">
        <v>2585</v>
      </c>
      <c r="U224" s="2608"/>
      <c r="V224" s="2608"/>
      <c r="W224" s="2608"/>
      <c r="X224" s="2608"/>
      <c r="Y224" s="2608"/>
      <c r="Z224" s="851"/>
      <c r="AA224" s="851"/>
      <c r="AB224" s="2457">
        <f t="shared" ref="AB224:AB233" si="0">MAX(($T224-$N224)*$I224*12,0)</f>
        <v>89040</v>
      </c>
      <c r="AC224" s="2457"/>
      <c r="AD224" s="2457"/>
      <c r="AE224" s="2457"/>
      <c r="AF224" s="2457"/>
      <c r="AG224" s="2457"/>
      <c r="AH224" s="827"/>
      <c r="AI224" s="827"/>
      <c r="AJ224" s="827"/>
      <c r="AK224" s="610"/>
    </row>
    <row r="225" spans="1:37">
      <c r="A225" s="605"/>
      <c r="B225" s="2456" t="s">
        <v>2708</v>
      </c>
      <c r="C225" s="2456"/>
      <c r="D225" s="2456"/>
      <c r="E225" s="2456"/>
      <c r="F225" s="2456"/>
      <c r="G225" s="2456"/>
      <c r="I225" s="2455">
        <v>2</v>
      </c>
      <c r="J225" s="2455"/>
      <c r="K225" s="2455"/>
      <c r="L225" s="1008"/>
      <c r="N225" s="2460">
        <v>1098</v>
      </c>
      <c r="O225" s="2460"/>
      <c r="P225" s="2460"/>
      <c r="Q225" s="2460"/>
      <c r="R225" s="2460"/>
      <c r="T225" s="2608">
        <v>2585</v>
      </c>
      <c r="U225" s="2608"/>
      <c r="V225" s="2608"/>
      <c r="W225" s="2608"/>
      <c r="X225" s="2608"/>
      <c r="Y225" s="2608"/>
      <c r="Z225" s="851"/>
      <c r="AA225" s="851"/>
      <c r="AB225" s="2457">
        <f t="shared" si="0"/>
        <v>35688</v>
      </c>
      <c r="AC225" s="2457"/>
      <c r="AD225" s="2457"/>
      <c r="AE225" s="2457"/>
      <c r="AF225" s="2457"/>
      <c r="AG225" s="2457"/>
      <c r="AH225" s="827"/>
      <c r="AI225" s="827"/>
      <c r="AJ225" s="827"/>
      <c r="AK225" s="610"/>
    </row>
    <row r="226" spans="1:37">
      <c r="A226" s="605"/>
      <c r="B226" s="2456" t="s">
        <v>2708</v>
      </c>
      <c r="C226" s="2456"/>
      <c r="D226" s="2456"/>
      <c r="E226" s="2456"/>
      <c r="F226" s="2456"/>
      <c r="G226" s="2456"/>
      <c r="I226" s="2455">
        <v>2</v>
      </c>
      <c r="J226" s="2455"/>
      <c r="K226" s="2455"/>
      <c r="L226" s="1008"/>
      <c r="N226" s="2460">
        <v>1830</v>
      </c>
      <c r="O226" s="2460"/>
      <c r="P226" s="2460"/>
      <c r="Q226" s="2460"/>
      <c r="R226" s="2460"/>
      <c r="T226" s="2608">
        <v>2934</v>
      </c>
      <c r="U226" s="2608"/>
      <c r="V226" s="2608"/>
      <c r="W226" s="2608"/>
      <c r="X226" s="2608"/>
      <c r="Y226" s="2608"/>
      <c r="Z226" s="851"/>
      <c r="AA226" s="851"/>
      <c r="AB226" s="2457">
        <f t="shared" si="0"/>
        <v>26496</v>
      </c>
      <c r="AC226" s="2457"/>
      <c r="AD226" s="2457"/>
      <c r="AE226" s="2457"/>
      <c r="AF226" s="2457"/>
      <c r="AG226" s="2457"/>
      <c r="AH226" s="827"/>
      <c r="AI226" s="827"/>
      <c r="AJ226" s="827"/>
      <c r="AK226" s="610"/>
    </row>
    <row r="227" spans="1:37">
      <c r="A227" s="605"/>
      <c r="B227" s="2456" t="s">
        <v>2709</v>
      </c>
      <c r="C227" s="2456"/>
      <c r="D227" s="2456"/>
      <c r="E227" s="2456"/>
      <c r="F227" s="2456"/>
      <c r="G227" s="2456"/>
      <c r="I227" s="2455">
        <v>3</v>
      </c>
      <c r="J227" s="2455"/>
      <c r="K227" s="2455"/>
      <c r="L227" s="1008"/>
      <c r="N227" s="2460">
        <v>2114</v>
      </c>
      <c r="O227" s="2460"/>
      <c r="P227" s="2460"/>
      <c r="Q227" s="2460"/>
      <c r="R227" s="2460"/>
      <c r="T227" s="2608">
        <v>3872</v>
      </c>
      <c r="U227" s="2608"/>
      <c r="V227" s="2608"/>
      <c r="W227" s="2608"/>
      <c r="X227" s="2608"/>
      <c r="Y227" s="2608"/>
      <c r="Z227" s="851"/>
      <c r="AA227" s="851"/>
      <c r="AB227" s="2457">
        <f t="shared" si="0"/>
        <v>63288</v>
      </c>
      <c r="AC227" s="2457"/>
      <c r="AD227" s="2457"/>
      <c r="AE227" s="2457"/>
      <c r="AF227" s="2457"/>
      <c r="AG227" s="2457"/>
      <c r="AH227" s="827"/>
      <c r="AI227" s="827"/>
      <c r="AJ227" s="827"/>
      <c r="AK227" s="610"/>
    </row>
    <row r="228" spans="1:37">
      <c r="A228" s="605"/>
      <c r="B228" s="2456" t="s">
        <v>2709</v>
      </c>
      <c r="C228" s="2456"/>
      <c r="D228" s="2456"/>
      <c r="E228" s="2456"/>
      <c r="F228" s="2456"/>
      <c r="G228" s="2456"/>
      <c r="I228" s="2455">
        <v>2</v>
      </c>
      <c r="J228" s="2455"/>
      <c r="K228" s="2455"/>
      <c r="L228" s="1015"/>
      <c r="N228" s="2460">
        <v>2114</v>
      </c>
      <c r="O228" s="2460"/>
      <c r="P228" s="2460"/>
      <c r="Q228" s="2460"/>
      <c r="R228" s="2460"/>
      <c r="T228" s="2608">
        <v>3872</v>
      </c>
      <c r="U228" s="2608"/>
      <c r="V228" s="2608"/>
      <c r="W228" s="2608"/>
      <c r="X228" s="2608"/>
      <c r="Y228" s="2608"/>
      <c r="Z228" s="851"/>
      <c r="AA228" s="851"/>
      <c r="AB228" s="2457">
        <f t="shared" si="0"/>
        <v>42192</v>
      </c>
      <c r="AC228" s="2457"/>
      <c r="AD228" s="2457"/>
      <c r="AE228" s="2457"/>
      <c r="AF228" s="2457"/>
      <c r="AG228" s="2457"/>
      <c r="AH228" s="827"/>
      <c r="AI228" s="827"/>
      <c r="AJ228" s="827"/>
      <c r="AK228" s="610"/>
    </row>
    <row r="229" spans="1:37">
      <c r="A229" s="605"/>
      <c r="B229" s="2456" t="s">
        <v>1185</v>
      </c>
      <c r="C229" s="2456"/>
      <c r="D229" s="2456"/>
      <c r="E229" s="2456"/>
      <c r="F229" s="2456"/>
      <c r="G229" s="2456"/>
      <c r="I229" s="2455"/>
      <c r="J229" s="2455"/>
      <c r="K229" s="2455"/>
      <c r="L229" s="1015"/>
      <c r="N229" s="2460"/>
      <c r="O229" s="2460"/>
      <c r="P229" s="2460"/>
      <c r="Q229" s="2460"/>
      <c r="R229" s="2460"/>
      <c r="T229" s="2608"/>
      <c r="U229" s="2608"/>
      <c r="V229" s="2608"/>
      <c r="W229" s="2608"/>
      <c r="X229" s="2608"/>
      <c r="Y229" s="2608"/>
      <c r="Z229" s="851"/>
      <c r="AA229" s="851"/>
      <c r="AB229" s="2457">
        <f t="shared" si="0"/>
        <v>0</v>
      </c>
      <c r="AC229" s="2457"/>
      <c r="AD229" s="2457"/>
      <c r="AE229" s="2457"/>
      <c r="AF229" s="2457"/>
      <c r="AG229" s="2457"/>
      <c r="AH229" s="827"/>
      <c r="AI229" s="827"/>
      <c r="AJ229" s="827"/>
      <c r="AK229" s="610"/>
    </row>
    <row r="230" spans="1:37">
      <c r="A230" s="605"/>
      <c r="B230" s="2456" t="s">
        <v>1185</v>
      </c>
      <c r="C230" s="2456"/>
      <c r="D230" s="2456"/>
      <c r="E230" s="2456"/>
      <c r="F230" s="2456"/>
      <c r="G230" s="2456"/>
      <c r="I230" s="2455"/>
      <c r="J230" s="2455"/>
      <c r="K230" s="2455"/>
      <c r="L230" s="1015"/>
      <c r="N230" s="2460"/>
      <c r="O230" s="2460"/>
      <c r="P230" s="2460"/>
      <c r="Q230" s="2460"/>
      <c r="R230" s="2460"/>
      <c r="T230" s="2608"/>
      <c r="U230" s="2608"/>
      <c r="V230" s="2608"/>
      <c r="W230" s="2608"/>
      <c r="X230" s="2608"/>
      <c r="Y230" s="2608"/>
      <c r="Z230" s="851"/>
      <c r="AA230" s="851"/>
      <c r="AB230" s="2457">
        <f t="shared" si="0"/>
        <v>0</v>
      </c>
      <c r="AC230" s="2457"/>
      <c r="AD230" s="2457"/>
      <c r="AE230" s="2457"/>
      <c r="AF230" s="2457"/>
      <c r="AG230" s="2457"/>
      <c r="AH230" s="827"/>
      <c r="AI230" s="827"/>
      <c r="AJ230" s="827"/>
      <c r="AK230" s="610"/>
    </row>
    <row r="231" spans="1:37">
      <c r="A231" s="605"/>
      <c r="B231" s="2456" t="s">
        <v>1185</v>
      </c>
      <c r="C231" s="2456"/>
      <c r="D231" s="2456"/>
      <c r="E231" s="2456"/>
      <c r="F231" s="2456"/>
      <c r="G231" s="2456"/>
      <c r="I231" s="2455"/>
      <c r="J231" s="2455"/>
      <c r="K231" s="2455"/>
      <c r="L231" s="1015"/>
      <c r="N231" s="2460"/>
      <c r="O231" s="2460"/>
      <c r="P231" s="2460"/>
      <c r="Q231" s="2460"/>
      <c r="R231" s="2460"/>
      <c r="T231" s="2608"/>
      <c r="U231" s="2608"/>
      <c r="V231" s="2608"/>
      <c r="W231" s="2608"/>
      <c r="X231" s="2608"/>
      <c r="Y231" s="2608"/>
      <c r="Z231" s="851"/>
      <c r="AA231" s="851"/>
      <c r="AB231" s="2457">
        <f t="shared" si="0"/>
        <v>0</v>
      </c>
      <c r="AC231" s="2457"/>
      <c r="AD231" s="2457"/>
      <c r="AE231" s="2457"/>
      <c r="AF231" s="2457"/>
      <c r="AG231" s="2457"/>
      <c r="AH231" s="827"/>
      <c r="AI231" s="827"/>
      <c r="AJ231" s="827"/>
      <c r="AK231" s="610"/>
    </row>
    <row r="232" spans="1:37">
      <c r="A232" s="605"/>
      <c r="B232" s="2456" t="s">
        <v>1185</v>
      </c>
      <c r="C232" s="2456"/>
      <c r="D232" s="2456"/>
      <c r="E232" s="2456"/>
      <c r="F232" s="2456"/>
      <c r="G232" s="2456"/>
      <c r="I232" s="2455"/>
      <c r="J232" s="2455"/>
      <c r="K232" s="2455"/>
      <c r="L232" s="1015"/>
      <c r="N232" s="2460"/>
      <c r="O232" s="2460"/>
      <c r="P232" s="2460"/>
      <c r="Q232" s="2460"/>
      <c r="R232" s="2460"/>
      <c r="T232" s="2608"/>
      <c r="U232" s="2608"/>
      <c r="V232" s="2608"/>
      <c r="W232" s="2608"/>
      <c r="X232" s="2608"/>
      <c r="Y232" s="2608"/>
      <c r="Z232" s="851"/>
      <c r="AA232" s="851"/>
      <c r="AB232" s="2457">
        <f t="shared" si="0"/>
        <v>0</v>
      </c>
      <c r="AC232" s="2457"/>
      <c r="AD232" s="2457"/>
      <c r="AE232" s="2457"/>
      <c r="AF232" s="2457"/>
      <c r="AG232" s="2457"/>
      <c r="AH232" s="827"/>
      <c r="AI232" s="827"/>
      <c r="AJ232" s="827"/>
      <c r="AK232" s="610"/>
    </row>
    <row r="233" spans="1:37">
      <c r="A233" s="605"/>
      <c r="B233" s="2456" t="s">
        <v>1185</v>
      </c>
      <c r="C233" s="2456"/>
      <c r="D233" s="2456"/>
      <c r="E233" s="2456"/>
      <c r="F233" s="2456"/>
      <c r="G233" s="2456"/>
      <c r="I233" s="2458"/>
      <c r="J233" s="2458"/>
      <c r="K233" s="2458"/>
      <c r="L233" s="1015"/>
      <c r="N233" s="2460"/>
      <c r="O233" s="2460"/>
      <c r="P233" s="2460"/>
      <c r="Q233" s="2460"/>
      <c r="R233" s="2460"/>
      <c r="T233" s="2608"/>
      <c r="U233" s="2608"/>
      <c r="V233" s="2608"/>
      <c r="W233" s="2608"/>
      <c r="X233" s="2608"/>
      <c r="Y233" s="2608"/>
      <c r="Z233" s="851"/>
      <c r="AA233" s="851"/>
      <c r="AB233" s="2606">
        <f t="shared" si="0"/>
        <v>0</v>
      </c>
      <c r="AC233" s="2606"/>
      <c r="AD233" s="2606"/>
      <c r="AE233" s="2606"/>
      <c r="AF233" s="2606"/>
      <c r="AG233" s="260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7">
        <f>SUM(AB224:AB233)</f>
        <v>256704</v>
      </c>
      <c r="AC234" s="2457"/>
      <c r="AD234" s="2457"/>
      <c r="AE234" s="2457"/>
      <c r="AF234" s="2457"/>
      <c r="AG234" s="245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9">
        <f>256704</f>
        <v>256704</v>
      </c>
      <c r="AC240" s="2609"/>
      <c r="AD240" s="2609"/>
      <c r="AE240" s="2609"/>
      <c r="AF240" s="2609"/>
      <c r="AG240" s="260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9">
        <f>256704*20</f>
        <v>5134080</v>
      </c>
      <c r="AC243" s="2609"/>
      <c r="AD243" s="2609"/>
      <c r="AE243" s="2609"/>
      <c r="AF243" s="2609"/>
      <c r="AG243" s="260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1">
        <v>20</v>
      </c>
      <c r="AC244" s="2641"/>
      <c r="AD244" s="2641"/>
      <c r="AE244" s="2641"/>
      <c r="AF244" s="2641"/>
      <c r="AG244" s="264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3">
        <f>IFERROR(AB243/AB244,0)</f>
        <v>256704</v>
      </c>
      <c r="AC245" s="2623"/>
      <c r="AD245" s="2623"/>
      <c r="AE245" s="2623"/>
      <c r="AF245" s="2623"/>
      <c r="AG245" s="26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6">
        <f>MAX(AB240,AB245)</f>
        <v>256704</v>
      </c>
      <c r="AC247" s="2606"/>
      <c r="AD247" s="2606"/>
      <c r="AE247" s="2606"/>
      <c r="AF247" s="2606"/>
      <c r="AG247" s="260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7">
        <f>AB234+AB247</f>
        <v>513408</v>
      </c>
      <c r="AC250" s="2457"/>
      <c r="AD250" s="2457"/>
      <c r="AE250" s="2457"/>
      <c r="AF250" s="2457"/>
      <c r="AG250" s="245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9">
        <v>0.05</v>
      </c>
      <c r="AC251" s="2489"/>
      <c r="AD251" s="2489"/>
      <c r="AE251" s="2489"/>
      <c r="AF251" s="2489"/>
      <c r="AG251" s="2489"/>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0">
        <f>AB250-(AB250*AB251)</f>
        <v>487737.59999999998</v>
      </c>
      <c r="AC252" s="2490"/>
      <c r="AD252" s="2490"/>
      <c r="AE252" s="2490"/>
      <c r="AF252" s="2490"/>
      <c r="AG252" s="2490"/>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7">
        <f>AB252/AB258</f>
        <v>424119.65217391308</v>
      </c>
      <c r="AC254" s="2457"/>
      <c r="AD254" s="2457"/>
      <c r="AE254" s="2457"/>
      <c r="AF254" s="2457"/>
      <c r="AG254" s="245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9">
        <v>15</v>
      </c>
      <c r="AC256" s="2449"/>
      <c r="AD256" s="2449"/>
      <c r="AE256" s="2449"/>
      <c r="AF256" s="2449"/>
      <c r="AG256" s="244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1">
        <v>0.04</v>
      </c>
      <c r="AC257" s="2491"/>
      <c r="AD257" s="2491"/>
      <c r="AE257" s="2491"/>
      <c r="AF257" s="2491"/>
      <c r="AG257" s="249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2">
        <v>1.1499999999999999</v>
      </c>
      <c r="AC258" s="2462"/>
      <c r="AD258" s="2462"/>
      <c r="AE258" s="2462"/>
      <c r="AF258" s="2462"/>
      <c r="AG258" s="246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2">
        <f>PV(AB257/12,AB256*12,-AB254/12, ,0)</f>
        <v>4778137.2554804133</v>
      </c>
      <c r="AC260" s="2483"/>
      <c r="AD260" s="2483"/>
      <c r="AE260" s="2483"/>
      <c r="AF260" s="2483"/>
      <c r="AG260" s="248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6">
        <f>IFERROR(('Sources and Uses Budget'!D105/'Sources and Uses Budget'!B105),0)</f>
        <v>6.6737085045158514E-3</v>
      </c>
      <c r="AC266" s="2487"/>
      <c r="AD266" s="2487"/>
      <c r="AE266" s="2487"/>
      <c r="AF266" s="2487"/>
      <c r="AG266" s="248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6">
        <f>AD211*(1-AB266)</f>
        <v>14834926.12011241</v>
      </c>
      <c r="AH268" s="2476"/>
      <c r="AI268" s="2476"/>
      <c r="AJ268" s="2476"/>
      <c r="AK268" s="247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6">
        <f>'Sources and Uses Budget'!C105</f>
        <v>24424183</v>
      </c>
      <c r="AH269" s="2476"/>
      <c r="AI269" s="2476"/>
      <c r="AJ269" s="2476"/>
      <c r="AK269" s="247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7">
        <f>ROUNDDOWN(IF(AND(C292="Yes",AK84=10),((AG268*2)/AG269),AG268/AG269),2)</f>
        <v>0.6</v>
      </c>
      <c r="AH270" s="2477"/>
      <c r="AI270" s="2477"/>
      <c r="AJ270" s="2477"/>
      <c r="AK270" s="247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8">
        <f>IFERROR(IF(AG270=0,0,IF((AG270*100)&gt;8,8,(AG270*100))),0)</f>
        <v>8</v>
      </c>
      <c r="AL273" s="2478"/>
      <c r="AM273" s="247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0" t="s">
        <v>546</v>
      </c>
      <c r="D278" s="2470"/>
      <c r="E278" s="547"/>
      <c r="F278" s="2627" t="s">
        <v>2025</v>
      </c>
      <c r="G278" s="2628"/>
      <c r="H278" s="2628"/>
      <c r="I278" s="2628"/>
      <c r="J278" s="2628"/>
      <c r="K278" s="2628"/>
      <c r="L278" s="2628"/>
      <c r="M278" s="2628"/>
      <c r="N278" s="2628"/>
      <c r="O278" s="2628"/>
      <c r="P278" s="2628"/>
      <c r="Q278" s="2628"/>
      <c r="R278" s="2628"/>
      <c r="S278" s="2628"/>
      <c r="T278" s="2628"/>
      <c r="U278" s="2628"/>
      <c r="V278" s="2628"/>
      <c r="W278" s="2628"/>
      <c r="X278" s="2628"/>
      <c r="Y278" s="2628"/>
      <c r="Z278" s="2628"/>
      <c r="AA278" s="2628"/>
      <c r="AB278" s="2628"/>
      <c r="AC278" s="2628"/>
      <c r="AD278" s="2629"/>
      <c r="AE278" s="550"/>
      <c r="AF278" s="635"/>
      <c r="AG278" s="2471" t="s">
        <v>1364</v>
      </c>
      <c r="AH278" s="2471"/>
      <c r="AI278" s="2471"/>
      <c r="AJ278" s="2471"/>
      <c r="AK278" s="550"/>
      <c r="AL278" s="550"/>
      <c r="AM278" s="550"/>
      <c r="AO278" s="550"/>
    </row>
    <row r="279" spans="1:52" ht="13.7" customHeight="1">
      <c r="A279" s="550"/>
      <c r="B279" s="596"/>
      <c r="C279" s="636"/>
      <c r="D279" s="550"/>
      <c r="E279" s="547"/>
      <c r="F279" s="2630"/>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50"/>
      <c r="AF279" s="635"/>
      <c r="AG279" s="635"/>
      <c r="AH279" s="635"/>
      <c r="AI279" s="635"/>
      <c r="AJ279" s="550"/>
      <c r="AK279" s="550"/>
      <c r="AL279" s="550"/>
      <c r="AM279" s="550"/>
      <c r="AO279" s="550"/>
    </row>
    <row r="280" spans="1:52">
      <c r="A280" s="550"/>
      <c r="B280" s="596"/>
      <c r="C280" s="636"/>
      <c r="D280" s="550"/>
      <c r="E280" s="547"/>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50"/>
      <c r="AF280" s="635"/>
      <c r="AG280" s="635"/>
      <c r="AH280" s="635"/>
      <c r="AI280" s="635"/>
      <c r="AJ280" s="550"/>
      <c r="AK280" s="550"/>
      <c r="AL280" s="550"/>
      <c r="AM280" s="550"/>
      <c r="AO280" s="550"/>
      <c r="AP280" s="637"/>
    </row>
    <row r="281" spans="1:52">
      <c r="A281" s="550"/>
      <c r="B281" s="596"/>
      <c r="C281" s="636"/>
      <c r="D281" s="550"/>
      <c r="E281" s="547"/>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50"/>
      <c r="AF281" s="635"/>
      <c r="AG281" s="635"/>
      <c r="AH281" s="635"/>
      <c r="AI281" s="635"/>
      <c r="AJ281" s="550"/>
      <c r="AK281" s="550"/>
      <c r="AL281" s="550"/>
      <c r="AM281" s="550"/>
      <c r="AO281" s="550"/>
      <c r="AP281" s="637"/>
    </row>
    <row r="282" spans="1:52" ht="13.7" customHeight="1">
      <c r="A282" s="550"/>
      <c r="B282" s="596"/>
      <c r="C282" s="2472"/>
      <c r="D282" s="2472"/>
      <c r="E282" s="547"/>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50"/>
      <c r="AF282" s="635"/>
      <c r="AG282" s="2471"/>
      <c r="AH282" s="2471"/>
      <c r="AI282" s="2471"/>
      <c r="AJ282" s="24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8">
        <f>IF($C$278="yes",10,0)</f>
        <v>10</v>
      </c>
      <c r="AL285" s="2478"/>
      <c r="AM285" s="247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66" t="s">
        <v>592</v>
      </c>
      <c r="D292" s="2470"/>
      <c r="E292" s="547"/>
      <c r="F292" s="2498" t="s">
        <v>1384</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642"/>
      <c r="AF292" s="550"/>
      <c r="AG292" s="2501" t="s">
        <v>2018</v>
      </c>
      <c r="AH292" s="2501"/>
      <c r="AI292" s="2501"/>
      <c r="AJ292" s="2501"/>
      <c r="AK292" s="2501"/>
      <c r="AL292" s="550"/>
      <c r="AM292" s="550"/>
      <c r="AN292" s="73"/>
      <c r="AO292" s="14"/>
      <c r="AP292" s="30"/>
      <c r="AS292" s="570"/>
      <c r="AT292" s="570"/>
      <c r="AU292" s="570"/>
      <c r="AV292" s="32"/>
      <c r="AW292" s="32"/>
    </row>
    <row r="293" spans="1:49">
      <c r="A293" s="640"/>
      <c r="B293" s="596"/>
      <c r="F293" s="2492"/>
      <c r="G293" s="2493"/>
      <c r="H293" s="2493"/>
      <c r="I293" s="2493"/>
      <c r="J293" s="2493"/>
      <c r="K293" s="2493"/>
      <c r="L293" s="2493"/>
      <c r="M293" s="2493"/>
      <c r="N293" s="2493"/>
      <c r="O293" s="2493"/>
      <c r="P293" s="2493"/>
      <c r="Q293" s="2493"/>
      <c r="R293" s="2493"/>
      <c r="S293" s="2493"/>
      <c r="T293" s="2493"/>
      <c r="U293" s="2493"/>
      <c r="V293" s="2493"/>
      <c r="W293" s="2493"/>
      <c r="X293" s="2493"/>
      <c r="Y293" s="2493"/>
      <c r="Z293" s="2493"/>
      <c r="AA293" s="2493"/>
      <c r="AB293" s="2493"/>
      <c r="AC293" s="2493"/>
      <c r="AD293" s="249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2"/>
      <c r="G294" s="2493"/>
      <c r="H294" s="2493"/>
      <c r="I294" s="2493"/>
      <c r="J294" s="2493"/>
      <c r="K294" s="2493"/>
      <c r="L294" s="2493"/>
      <c r="M294" s="2493"/>
      <c r="N294" s="2493"/>
      <c r="O294" s="2493"/>
      <c r="P294" s="2493"/>
      <c r="Q294" s="2493"/>
      <c r="R294" s="2493"/>
      <c r="S294" s="2493"/>
      <c r="T294" s="2493"/>
      <c r="U294" s="2493"/>
      <c r="V294" s="2493"/>
      <c r="W294" s="2493"/>
      <c r="X294" s="2493"/>
      <c r="Y294" s="2493"/>
      <c r="Z294" s="2493"/>
      <c r="AA294" s="2493"/>
      <c r="AB294" s="2493"/>
      <c r="AC294" s="2493"/>
      <c r="AD294" s="2494"/>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2" t="s">
        <v>2026</v>
      </c>
      <c r="G295" s="2493"/>
      <c r="H295" s="2493"/>
      <c r="I295" s="2493"/>
      <c r="J295" s="2493"/>
      <c r="K295" s="2493"/>
      <c r="L295" s="2493"/>
      <c r="M295" s="2493"/>
      <c r="N295" s="2493"/>
      <c r="O295" s="2493"/>
      <c r="P295" s="2493"/>
      <c r="Q295" s="2493"/>
      <c r="R295" s="2493"/>
      <c r="S295" s="2493"/>
      <c r="T295" s="2493"/>
      <c r="U295" s="2493"/>
      <c r="V295" s="2493"/>
      <c r="W295" s="2493"/>
      <c r="X295" s="2493"/>
      <c r="Y295" s="2493"/>
      <c r="Z295" s="2493"/>
      <c r="AA295" s="2493"/>
      <c r="AB295" s="2493"/>
      <c r="AC295" s="2493"/>
      <c r="AD295" s="2494"/>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2"/>
      <c r="G296" s="2493"/>
      <c r="H296" s="2493"/>
      <c r="I296" s="2493"/>
      <c r="J296" s="2493"/>
      <c r="K296" s="2493"/>
      <c r="L296" s="2493"/>
      <c r="M296" s="2493"/>
      <c r="N296" s="2493"/>
      <c r="O296" s="2493"/>
      <c r="P296" s="2493"/>
      <c r="Q296" s="2493"/>
      <c r="R296" s="2493"/>
      <c r="S296" s="2493"/>
      <c r="T296" s="2493"/>
      <c r="U296" s="2493"/>
      <c r="V296" s="2493"/>
      <c r="W296" s="2493"/>
      <c r="X296" s="2493"/>
      <c r="Y296" s="2493"/>
      <c r="Z296" s="2493"/>
      <c r="AA296" s="2493"/>
      <c r="AB296" s="2493"/>
      <c r="AC296" s="2493"/>
      <c r="AD296" s="249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2" t="s">
        <v>1385</v>
      </c>
      <c r="G297" s="2493"/>
      <c r="H297" s="2493"/>
      <c r="I297" s="2493"/>
      <c r="J297" s="2493"/>
      <c r="K297" s="2493"/>
      <c r="L297" s="2493"/>
      <c r="M297" s="2493"/>
      <c r="N297" s="2493"/>
      <c r="O297" s="2493"/>
      <c r="P297" s="2493"/>
      <c r="Q297" s="2493"/>
      <c r="R297" s="2493"/>
      <c r="S297" s="2493"/>
      <c r="T297" s="2493"/>
      <c r="U297" s="2493"/>
      <c r="V297" s="2493"/>
      <c r="W297" s="2493"/>
      <c r="X297" s="2493"/>
      <c r="Y297" s="2493"/>
      <c r="Z297" s="2493"/>
      <c r="AA297" s="2493"/>
      <c r="AB297" s="2493"/>
      <c r="AC297" s="2493"/>
      <c r="AD297" s="249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2"/>
      <c r="G298" s="2493"/>
      <c r="H298" s="2493"/>
      <c r="I298" s="2493"/>
      <c r="J298" s="2493"/>
      <c r="K298" s="2493"/>
      <c r="L298" s="2493"/>
      <c r="M298" s="2493"/>
      <c r="N298" s="2493"/>
      <c r="O298" s="2493"/>
      <c r="P298" s="2493"/>
      <c r="Q298" s="2493"/>
      <c r="R298" s="2493"/>
      <c r="S298" s="2493"/>
      <c r="T298" s="2493"/>
      <c r="U298" s="2493"/>
      <c r="V298" s="2493"/>
      <c r="W298" s="2493"/>
      <c r="X298" s="2493"/>
      <c r="Y298" s="2493"/>
      <c r="Z298" s="2493"/>
      <c r="AA298" s="2493"/>
      <c r="AB298" s="2493"/>
      <c r="AC298" s="2493"/>
      <c r="AD298" s="249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2" t="s">
        <v>1386</v>
      </c>
      <c r="G299" s="2493"/>
      <c r="H299" s="2493"/>
      <c r="I299" s="2493"/>
      <c r="J299" s="2493"/>
      <c r="K299" s="2493"/>
      <c r="L299" s="2493"/>
      <c r="M299" s="2493"/>
      <c r="N299" s="2493"/>
      <c r="O299" s="2493"/>
      <c r="P299" s="2493"/>
      <c r="Q299" s="2493"/>
      <c r="R299" s="2493"/>
      <c r="S299" s="2493"/>
      <c r="T299" s="2493"/>
      <c r="U299" s="2493"/>
      <c r="V299" s="2493"/>
      <c r="W299" s="2493"/>
      <c r="X299" s="2493"/>
      <c r="Y299" s="2493"/>
      <c r="Z299" s="2493"/>
      <c r="AA299" s="2493"/>
      <c r="AB299" s="2493"/>
      <c r="AC299" s="2493"/>
      <c r="AD299" s="249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5"/>
      <c r="G300" s="2496"/>
      <c r="H300" s="2496"/>
      <c r="I300" s="2496"/>
      <c r="J300" s="2496"/>
      <c r="K300" s="2496"/>
      <c r="L300" s="2496"/>
      <c r="M300" s="2496"/>
      <c r="N300" s="2496"/>
      <c r="O300" s="2496"/>
      <c r="P300" s="2496"/>
      <c r="Q300" s="2496"/>
      <c r="R300" s="2496"/>
      <c r="S300" s="2496"/>
      <c r="T300" s="2496"/>
      <c r="U300" s="2496"/>
      <c r="V300" s="2496"/>
      <c r="W300" s="2496"/>
      <c r="X300" s="2496"/>
      <c r="Y300" s="2496"/>
      <c r="Z300" s="2496"/>
      <c r="AA300" s="2496"/>
      <c r="AB300" s="2496"/>
      <c r="AC300" s="2496"/>
      <c r="AD300" s="249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0" t="s">
        <v>546</v>
      </c>
      <c r="D302" s="247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0" t="s">
        <v>2020</v>
      </c>
      <c r="G303" s="2401"/>
      <c r="H303" s="2401"/>
      <c r="I303" s="2401"/>
      <c r="J303" s="2401"/>
      <c r="K303" s="2401"/>
      <c r="L303" s="2401"/>
      <c r="M303" s="2401"/>
      <c r="N303" s="2401"/>
      <c r="O303" s="2401"/>
      <c r="P303" s="2401"/>
      <c r="Q303" s="2401"/>
      <c r="R303" s="2401"/>
      <c r="S303" s="2401"/>
      <c r="T303" s="2401"/>
      <c r="U303" s="2401"/>
      <c r="V303" s="2401"/>
      <c r="W303" s="2401"/>
      <c r="X303" s="2401"/>
      <c r="Y303" s="2401"/>
      <c r="Z303" s="2401"/>
      <c r="AA303" s="2401"/>
      <c r="AB303" s="2401"/>
      <c r="AC303" s="2401"/>
      <c r="AD303" s="2402"/>
      <c r="AE303" s="551"/>
      <c r="AF303" s="551"/>
      <c r="AG303" s="551"/>
      <c r="AH303" s="551"/>
      <c r="AI303" s="551"/>
      <c r="AJ303" s="550"/>
      <c r="AK303" s="550"/>
      <c r="AL303" s="550"/>
      <c r="AM303" s="550"/>
      <c r="AR303" s="648"/>
    </row>
    <row r="304" spans="1:49" ht="15" customHeight="1">
      <c r="A304" s="550"/>
      <c r="B304" s="551"/>
      <c r="C304" s="550"/>
      <c r="D304" s="551"/>
      <c r="E304" s="550"/>
      <c r="F304" s="2400"/>
      <c r="G304" s="2401"/>
      <c r="H304" s="2401"/>
      <c r="I304" s="2401"/>
      <c r="J304" s="2401"/>
      <c r="K304" s="2401"/>
      <c r="L304" s="2401"/>
      <c r="M304" s="2401"/>
      <c r="N304" s="2401"/>
      <c r="O304" s="2401"/>
      <c r="P304" s="2401"/>
      <c r="Q304" s="2401"/>
      <c r="R304" s="2401"/>
      <c r="S304" s="2401"/>
      <c r="T304" s="2401"/>
      <c r="U304" s="2401"/>
      <c r="V304" s="2401"/>
      <c r="W304" s="2401"/>
      <c r="X304" s="2401"/>
      <c r="Y304" s="2401"/>
      <c r="Z304" s="2401"/>
      <c r="AA304" s="2401"/>
      <c r="AB304" s="2401"/>
      <c r="AC304" s="2401"/>
      <c r="AD304" s="2402"/>
      <c r="AE304" s="551"/>
      <c r="AF304" s="551"/>
      <c r="AG304" s="551"/>
      <c r="AH304" s="551"/>
      <c r="AI304" s="551"/>
      <c r="AJ304" s="550"/>
      <c r="AK304" s="550"/>
      <c r="AL304" s="550"/>
      <c r="AM304" s="550"/>
      <c r="AR304" s="648"/>
    </row>
    <row r="305" spans="1:44">
      <c r="A305" s="550"/>
      <c r="B305" s="551"/>
      <c r="C305" s="550"/>
      <c r="D305" s="551"/>
      <c r="E305" s="550"/>
      <c r="F305" s="2400"/>
      <c r="G305" s="2401"/>
      <c r="H305" s="2401"/>
      <c r="I305" s="2401"/>
      <c r="J305" s="2401"/>
      <c r="K305" s="2401"/>
      <c r="L305" s="2401"/>
      <c r="M305" s="2401"/>
      <c r="N305" s="2401"/>
      <c r="O305" s="2401"/>
      <c r="P305" s="2401"/>
      <c r="Q305" s="2401"/>
      <c r="R305" s="2401"/>
      <c r="S305" s="2401"/>
      <c r="T305" s="2401"/>
      <c r="U305" s="2401"/>
      <c r="V305" s="2401"/>
      <c r="W305" s="2401"/>
      <c r="X305" s="2401"/>
      <c r="Y305" s="2401"/>
      <c r="Z305" s="2401"/>
      <c r="AA305" s="2401"/>
      <c r="AB305" s="2401"/>
      <c r="AC305" s="2401"/>
      <c r="AD305" s="240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0" t="s">
        <v>592</v>
      </c>
      <c r="D310" s="247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2" t="s">
        <v>2027</v>
      </c>
      <c r="G311" s="2493"/>
      <c r="H311" s="2493"/>
      <c r="I311" s="2493"/>
      <c r="J311" s="2493"/>
      <c r="K311" s="2493"/>
      <c r="L311" s="2493"/>
      <c r="M311" s="2493"/>
      <c r="N311" s="2493"/>
      <c r="O311" s="2493"/>
      <c r="P311" s="2493"/>
      <c r="Q311" s="2493"/>
      <c r="R311" s="2493"/>
      <c r="S311" s="2493"/>
      <c r="T311" s="2493"/>
      <c r="U311" s="2493"/>
      <c r="V311" s="2493"/>
      <c r="W311" s="2493"/>
      <c r="X311" s="2493"/>
      <c r="Y311" s="2493"/>
      <c r="Z311" s="2493"/>
      <c r="AA311" s="2493"/>
      <c r="AB311" s="2493"/>
      <c r="AC311" s="2493"/>
      <c r="AD311" s="2494"/>
      <c r="AE311" s="551"/>
      <c r="AF311" s="551"/>
      <c r="AG311" s="539"/>
      <c r="AH311" s="551"/>
      <c r="AI311" s="551"/>
      <c r="AJ311" s="550"/>
      <c r="AK311" s="550"/>
      <c r="AL311" s="550"/>
      <c r="AM311" s="550"/>
      <c r="AN311" s="73"/>
      <c r="AO311" s="14"/>
      <c r="AP311" s="557" t="s">
        <v>1185</v>
      </c>
    </row>
    <row r="312" spans="1:44" hidden="1">
      <c r="F312" s="2492"/>
      <c r="G312" s="2493"/>
      <c r="H312" s="2493"/>
      <c r="I312" s="2493"/>
      <c r="J312" s="2493"/>
      <c r="K312" s="2493"/>
      <c r="L312" s="2493"/>
      <c r="M312" s="2493"/>
      <c r="N312" s="2493"/>
      <c r="O312" s="2493"/>
      <c r="P312" s="2493"/>
      <c r="Q312" s="2493"/>
      <c r="R312" s="2493"/>
      <c r="S312" s="2493"/>
      <c r="T312" s="2493"/>
      <c r="U312" s="2493"/>
      <c r="V312" s="2493"/>
      <c r="W312" s="2493"/>
      <c r="X312" s="2493"/>
      <c r="Y312" s="2493"/>
      <c r="Z312" s="2493"/>
      <c r="AA312" s="2493"/>
      <c r="AB312" s="2493"/>
      <c r="AC312" s="2493"/>
      <c r="AD312" s="2494"/>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2" t="s">
        <v>1185</v>
      </c>
      <c r="G316" s="2503"/>
      <c r="H316" s="2503"/>
      <c r="I316" s="2503"/>
      <c r="J316" s="2503"/>
      <c r="K316" s="2503"/>
      <c r="L316" s="2503"/>
      <c r="M316" s="2503"/>
      <c r="N316" s="2503"/>
      <c r="O316" s="2503"/>
      <c r="P316" s="2503"/>
      <c r="Q316" s="2503"/>
      <c r="R316" s="2503"/>
      <c r="S316" s="2503"/>
      <c r="T316" s="2503"/>
      <c r="U316" s="2503"/>
      <c r="V316" s="2503"/>
      <c r="W316" s="2503"/>
      <c r="X316" s="2503"/>
      <c r="Y316" s="2503"/>
      <c r="Z316" s="2503"/>
      <c r="AA316" s="2503"/>
      <c r="AB316" s="2503"/>
      <c r="AC316" s="2503"/>
      <c r="AD316" s="2504"/>
      <c r="AE316" s="642"/>
      <c r="AF316" s="642"/>
      <c r="AG316" s="642"/>
      <c r="AH316" s="642"/>
      <c r="AI316" s="642"/>
      <c r="AJ316" s="642"/>
      <c r="AK316" s="642"/>
      <c r="AL316" s="550"/>
      <c r="AM316" s="550"/>
      <c r="AN316" s="73"/>
      <c r="AO316" s="14"/>
      <c r="AP316" s="30"/>
    </row>
    <row r="317" spans="1:44" hidden="1">
      <c r="A317" s="550"/>
      <c r="B317" s="551"/>
      <c r="C317" s="730"/>
      <c r="D317" s="730"/>
      <c r="E317" s="547"/>
      <c r="F317" s="2502"/>
      <c r="G317" s="2503"/>
      <c r="H317" s="2503"/>
      <c r="I317" s="2503"/>
      <c r="J317" s="2503"/>
      <c r="K317" s="2503"/>
      <c r="L317" s="2503"/>
      <c r="M317" s="2503"/>
      <c r="N317" s="2503"/>
      <c r="O317" s="2503"/>
      <c r="P317" s="2503"/>
      <c r="Q317" s="2503"/>
      <c r="R317" s="2503"/>
      <c r="S317" s="2503"/>
      <c r="T317" s="2503"/>
      <c r="U317" s="2503"/>
      <c r="V317" s="2503"/>
      <c r="W317" s="2503"/>
      <c r="X317" s="2503"/>
      <c r="Y317" s="2503"/>
      <c r="Z317" s="2503"/>
      <c r="AA317" s="2503"/>
      <c r="AB317" s="2503"/>
      <c r="AC317" s="2503"/>
      <c r="AD317" s="2504"/>
      <c r="AE317" s="551"/>
      <c r="AF317" s="551"/>
      <c r="AG317" s="539"/>
      <c r="AH317" s="551"/>
      <c r="AI317" s="551"/>
      <c r="AJ317" s="550"/>
      <c r="AK317" s="550"/>
      <c r="AL317" s="550"/>
      <c r="AM317" s="550"/>
      <c r="AN317" s="73"/>
      <c r="AO317" s="14"/>
      <c r="AP317" s="30"/>
    </row>
    <row r="318" spans="1:44" hidden="1">
      <c r="A318" s="550"/>
      <c r="B318" s="551"/>
      <c r="C318" s="730"/>
      <c r="D318" s="730"/>
      <c r="E318" s="547"/>
      <c r="F318" s="2502"/>
      <c r="G318" s="2503"/>
      <c r="H318" s="2503"/>
      <c r="I318" s="2503"/>
      <c r="J318" s="2503"/>
      <c r="K318" s="2503"/>
      <c r="L318" s="2503"/>
      <c r="M318" s="2503"/>
      <c r="N318" s="2503"/>
      <c r="O318" s="2503"/>
      <c r="P318" s="2503"/>
      <c r="Q318" s="2503"/>
      <c r="R318" s="2503"/>
      <c r="S318" s="2503"/>
      <c r="T318" s="2503"/>
      <c r="U318" s="2503"/>
      <c r="V318" s="2503"/>
      <c r="W318" s="2503"/>
      <c r="X318" s="2503"/>
      <c r="Y318" s="2503"/>
      <c r="Z318" s="2503"/>
      <c r="AA318" s="2503"/>
      <c r="AB318" s="2503"/>
      <c r="AC318" s="2503"/>
      <c r="AD318" s="2504"/>
      <c r="AE318" s="551"/>
      <c r="AF318" s="551"/>
      <c r="AG318" s="539"/>
      <c r="AH318" s="551"/>
      <c r="AI318" s="551"/>
      <c r="AJ318" s="550"/>
      <c r="AK318" s="550"/>
      <c r="AL318" s="550"/>
      <c r="AM318" s="550"/>
      <c r="AN318" s="73"/>
      <c r="AO318" s="14"/>
      <c r="AP318" s="30"/>
    </row>
    <row r="319" spans="1:44" hidden="1">
      <c r="A319" s="550"/>
      <c r="B319" s="551"/>
      <c r="C319" s="730"/>
      <c r="D319" s="730"/>
      <c r="E319" s="547"/>
      <c r="F319" s="2502"/>
      <c r="G319" s="2503"/>
      <c r="H319" s="2503"/>
      <c r="I319" s="2503"/>
      <c r="J319" s="2503"/>
      <c r="K319" s="2503"/>
      <c r="L319" s="2503"/>
      <c r="M319" s="2503"/>
      <c r="N319" s="2503"/>
      <c r="O319" s="2503"/>
      <c r="P319" s="2503"/>
      <c r="Q319" s="2503"/>
      <c r="R319" s="2503"/>
      <c r="S319" s="2503"/>
      <c r="T319" s="2503"/>
      <c r="U319" s="2503"/>
      <c r="V319" s="2503"/>
      <c r="W319" s="2503"/>
      <c r="X319" s="2503"/>
      <c r="Y319" s="2503"/>
      <c r="Z319" s="2503"/>
      <c r="AA319" s="2503"/>
      <c r="AB319" s="2503"/>
      <c r="AC319" s="2503"/>
      <c r="AD319" s="2504"/>
      <c r="AE319" s="551"/>
      <c r="AF319" s="551"/>
      <c r="AG319" s="539"/>
      <c r="AH319" s="551"/>
      <c r="AI319" s="551"/>
      <c r="AJ319" s="550"/>
      <c r="AK319" s="550"/>
      <c r="AL319" s="550"/>
      <c r="AM319" s="550"/>
      <c r="AN319" s="73"/>
      <c r="AO319" s="14"/>
      <c r="AP319" s="30"/>
    </row>
    <row r="320" spans="1:44" hidden="1">
      <c r="A320" s="550"/>
      <c r="B320" s="551"/>
      <c r="C320" s="730"/>
      <c r="D320" s="730"/>
      <c r="E320" s="547"/>
      <c r="F320" s="2505"/>
      <c r="G320" s="2506"/>
      <c r="H320" s="2506"/>
      <c r="I320" s="2506"/>
      <c r="J320" s="2506"/>
      <c r="K320" s="2506"/>
      <c r="L320" s="2506"/>
      <c r="M320" s="2506"/>
      <c r="N320" s="2506"/>
      <c r="O320" s="2506"/>
      <c r="P320" s="2506"/>
      <c r="Q320" s="2506"/>
      <c r="R320" s="2506"/>
      <c r="S320" s="2506"/>
      <c r="T320" s="2506"/>
      <c r="U320" s="2506"/>
      <c r="V320" s="2506"/>
      <c r="W320" s="2506"/>
      <c r="X320" s="2506"/>
      <c r="Y320" s="2506"/>
      <c r="Z320" s="2506"/>
      <c r="AA320" s="2506"/>
      <c r="AB320" s="2506"/>
      <c r="AC320" s="2506"/>
      <c r="AD320" s="250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8" t="s">
        <v>1185</v>
      </c>
      <c r="J324" s="2508"/>
      <c r="K324" s="2508"/>
      <c r="L324" s="2508"/>
      <c r="M324" s="2508"/>
      <c r="N324" s="2508"/>
      <c r="O324" s="2508"/>
      <c r="P324" s="2508"/>
      <c r="Q324" s="2508"/>
      <c r="R324" s="2508"/>
      <c r="S324" s="2508"/>
      <c r="T324" s="2508"/>
      <c r="U324" s="2508"/>
      <c r="V324" s="2508"/>
      <c r="W324" s="2508"/>
      <c r="X324" s="2508"/>
      <c r="Y324" s="2508"/>
      <c r="Z324" s="2508"/>
      <c r="AA324" s="2508"/>
      <c r="AB324" s="2508"/>
      <c r="AC324" s="2508"/>
      <c r="AD324" s="250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08"/>
      <c r="J325" s="2508"/>
      <c r="K325" s="2508"/>
      <c r="L325" s="2508"/>
      <c r="M325" s="2508"/>
      <c r="N325" s="2508"/>
      <c r="O325" s="2508"/>
      <c r="P325" s="2508"/>
      <c r="Q325" s="2508"/>
      <c r="R325" s="2508"/>
      <c r="S325" s="2508"/>
      <c r="T325" s="2508"/>
      <c r="U325" s="2508"/>
      <c r="V325" s="2508"/>
      <c r="W325" s="2508"/>
      <c r="X325" s="2508"/>
      <c r="Y325" s="2508"/>
      <c r="Z325" s="2508"/>
      <c r="AA325" s="2508"/>
      <c r="AB325" s="2508"/>
      <c r="AC325" s="2508"/>
      <c r="AD325" s="250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08"/>
      <c r="J326" s="2508"/>
      <c r="K326" s="2508"/>
      <c r="L326" s="2508"/>
      <c r="M326" s="2508"/>
      <c r="N326" s="2508"/>
      <c r="O326" s="2508"/>
      <c r="P326" s="2508"/>
      <c r="Q326" s="2508"/>
      <c r="R326" s="2508"/>
      <c r="S326" s="2508"/>
      <c r="T326" s="2508"/>
      <c r="U326" s="2508"/>
      <c r="V326" s="2508"/>
      <c r="W326" s="2508"/>
      <c r="X326" s="2508"/>
      <c r="Y326" s="2508"/>
      <c r="Z326" s="2508"/>
      <c r="AA326" s="2508"/>
      <c r="AB326" s="2508"/>
      <c r="AC326" s="2508"/>
      <c r="AD326" s="250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0"/>
      <c r="J327" s="2510"/>
      <c r="K327" s="2510"/>
      <c r="L327" s="2510"/>
      <c r="M327" s="2510"/>
      <c r="N327" s="2510"/>
      <c r="O327" s="2510"/>
      <c r="P327" s="2510"/>
      <c r="Q327" s="2510"/>
      <c r="R327" s="2510"/>
      <c r="S327" s="2510"/>
      <c r="T327" s="2510"/>
      <c r="U327" s="2510"/>
      <c r="V327" s="2510"/>
      <c r="W327" s="2510"/>
      <c r="X327" s="2510"/>
      <c r="Y327" s="2510"/>
      <c r="Z327" s="2510"/>
      <c r="AA327" s="2510"/>
      <c r="AB327" s="2510"/>
      <c r="AC327" s="2510"/>
      <c r="AD327" s="251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8" t="s">
        <v>1185</v>
      </c>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0" t="s">
        <v>592</v>
      </c>
      <c r="D333" s="2470"/>
      <c r="E333" s="547"/>
      <c r="F333" s="2394" t="s">
        <v>2028</v>
      </c>
      <c r="G333" s="2395"/>
      <c r="H333" s="2395"/>
      <c r="I333" s="2395"/>
      <c r="J333" s="2395"/>
      <c r="K333" s="2395"/>
      <c r="L333" s="2395"/>
      <c r="M333" s="2395"/>
      <c r="N333" s="2395"/>
      <c r="O333" s="2395"/>
      <c r="P333" s="2395"/>
      <c r="Q333" s="2395"/>
      <c r="R333" s="2395"/>
      <c r="S333" s="2395"/>
      <c r="T333" s="2395"/>
      <c r="U333" s="2395"/>
      <c r="V333" s="2395"/>
      <c r="W333" s="2395"/>
      <c r="X333" s="2395"/>
      <c r="Y333" s="2395"/>
      <c r="Z333" s="2395"/>
      <c r="AA333" s="2395"/>
      <c r="AB333" s="2395"/>
      <c r="AC333" s="2395"/>
      <c r="AD333" s="2396"/>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0"/>
      <c r="G334" s="2401"/>
      <c r="H334" s="2401"/>
      <c r="I334" s="2401"/>
      <c r="J334" s="2401"/>
      <c r="K334" s="2401"/>
      <c r="L334" s="2401"/>
      <c r="M334" s="2401"/>
      <c r="N334" s="2401"/>
      <c r="O334" s="2401"/>
      <c r="P334" s="2401"/>
      <c r="Q334" s="2401"/>
      <c r="R334" s="2401"/>
      <c r="S334" s="2401"/>
      <c r="T334" s="2401"/>
      <c r="U334" s="2401"/>
      <c r="V334" s="2401"/>
      <c r="W334" s="2401"/>
      <c r="X334" s="2401"/>
      <c r="Y334" s="2401"/>
      <c r="Z334" s="2401"/>
      <c r="AA334" s="2401"/>
      <c r="AB334" s="2401"/>
      <c r="AC334" s="2401"/>
      <c r="AD334" s="2402"/>
      <c r="AE334" s="551"/>
      <c r="AF334" s="551"/>
      <c r="AG334" s="551"/>
      <c r="AH334" s="551"/>
      <c r="AI334" s="551"/>
      <c r="AJ334" s="550"/>
      <c r="AK334" s="550"/>
      <c r="AL334" s="550"/>
      <c r="AM334" s="550"/>
      <c r="AN334" s="73"/>
      <c r="AO334" s="14"/>
    </row>
    <row r="335" spans="1:42" ht="15" hidden="1" customHeight="1">
      <c r="A335" s="550"/>
      <c r="B335" s="551"/>
      <c r="C335" s="551"/>
      <c r="D335" s="551"/>
      <c r="E335" s="551"/>
      <c r="F335" s="2400"/>
      <c r="G335" s="2401"/>
      <c r="H335" s="2401"/>
      <c r="I335" s="2401"/>
      <c r="J335" s="2401"/>
      <c r="K335" s="2401"/>
      <c r="L335" s="2401"/>
      <c r="M335" s="2401"/>
      <c r="N335" s="2401"/>
      <c r="O335" s="2401"/>
      <c r="P335" s="2401"/>
      <c r="Q335" s="2401"/>
      <c r="R335" s="2401"/>
      <c r="S335" s="2401"/>
      <c r="T335" s="2401"/>
      <c r="U335" s="2401"/>
      <c r="V335" s="2401"/>
      <c r="W335" s="2401"/>
      <c r="X335" s="2401"/>
      <c r="Y335" s="2401"/>
      <c r="Z335" s="2401"/>
      <c r="AA335" s="2401"/>
      <c r="AB335" s="2401"/>
      <c r="AC335" s="2401"/>
      <c r="AD335" s="240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3">
        <f>IF(NOT(OR(Application!M355="Yes",Application!M356="Yes")),0,AP295)</f>
        <v>9</v>
      </c>
      <c r="AL338" s="2474"/>
      <c r="AM338" s="247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3" t="s">
        <v>1315</v>
      </c>
      <c r="AF341" s="2403"/>
      <c r="AG341" s="2403"/>
      <c r="AH341" s="2403"/>
      <c r="AI341" s="2403"/>
      <c r="AJ341" s="2403"/>
      <c r="AK341" s="240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2" t="s">
        <v>1455</v>
      </c>
      <c r="D343" s="2512"/>
      <c r="E343" s="2512"/>
      <c r="F343" s="2512"/>
      <c r="G343" s="2512"/>
      <c r="H343" s="2512"/>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2"/>
      <c r="AE343" s="2512"/>
      <c r="AF343" s="2512"/>
      <c r="AG343" s="2512"/>
      <c r="AH343" s="2512"/>
      <c r="AI343" s="2512"/>
      <c r="AJ343" s="2512"/>
      <c r="AK343" s="603"/>
      <c r="AL343" s="603"/>
      <c r="AM343" s="603"/>
      <c r="AN343" s="597"/>
    </row>
    <row r="344" spans="1:44" s="550" customFormat="1" ht="12.75" customHeight="1">
      <c r="A344" s="603"/>
      <c r="B344" s="611"/>
      <c r="C344" s="2512"/>
      <c r="D344" s="2512"/>
      <c r="E344" s="2512"/>
      <c r="F344" s="2512"/>
      <c r="G344" s="2512"/>
      <c r="H344" s="2512"/>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2"/>
      <c r="AE344" s="2512"/>
      <c r="AF344" s="2512"/>
      <c r="AG344" s="2512"/>
      <c r="AH344" s="2512"/>
      <c r="AI344" s="2512"/>
      <c r="AJ344" s="2512"/>
      <c r="AK344" s="603"/>
      <c r="AL344" s="603"/>
      <c r="AM344" s="603"/>
      <c r="AN344" s="597"/>
    </row>
    <row r="345" spans="1:44" s="550" customFormat="1" ht="12.75" customHeight="1">
      <c r="A345" s="603"/>
      <c r="B345" s="611"/>
      <c r="C345" s="2512"/>
      <c r="D345" s="2512"/>
      <c r="E345" s="2512"/>
      <c r="F345" s="2512"/>
      <c r="G345" s="2512"/>
      <c r="H345" s="2512"/>
      <c r="I345" s="2512"/>
      <c r="J345" s="2512"/>
      <c r="K345" s="2512"/>
      <c r="L345" s="2512"/>
      <c r="M345" s="2512"/>
      <c r="N345" s="2512"/>
      <c r="O345" s="2512"/>
      <c r="P345" s="2512"/>
      <c r="Q345" s="2512"/>
      <c r="R345" s="2512"/>
      <c r="S345" s="2512"/>
      <c r="T345" s="2512"/>
      <c r="U345" s="2512"/>
      <c r="V345" s="2512"/>
      <c r="W345" s="2512"/>
      <c r="X345" s="2512"/>
      <c r="Y345" s="2512"/>
      <c r="Z345" s="2512"/>
      <c r="AA345" s="2512"/>
      <c r="AB345" s="2512"/>
      <c r="AC345" s="2512"/>
      <c r="AD345" s="2512"/>
      <c r="AE345" s="2512"/>
      <c r="AF345" s="2512"/>
      <c r="AG345" s="2512"/>
      <c r="AH345" s="2512"/>
      <c r="AI345" s="2512"/>
      <c r="AJ345" s="2512"/>
      <c r="AK345" s="603"/>
      <c r="AL345" s="603"/>
      <c r="AM345" s="603"/>
      <c r="AN345" s="597"/>
      <c r="AQ345" s="570"/>
    </row>
    <row r="346" spans="1:44" s="550" customFormat="1" ht="12.75" customHeight="1">
      <c r="A346" s="603"/>
      <c r="B346" s="611"/>
      <c r="C346" s="2512"/>
      <c r="D346" s="2512"/>
      <c r="E346" s="2512"/>
      <c r="F346" s="2512"/>
      <c r="G346" s="2512"/>
      <c r="H346" s="2512"/>
      <c r="I346" s="2512"/>
      <c r="J346" s="2512"/>
      <c r="K346" s="2512"/>
      <c r="L346" s="2512"/>
      <c r="M346" s="2512"/>
      <c r="N346" s="2512"/>
      <c r="O346" s="2512"/>
      <c r="P346" s="2512"/>
      <c r="Q346" s="2512"/>
      <c r="R346" s="2512"/>
      <c r="S346" s="2512"/>
      <c r="T346" s="2512"/>
      <c r="U346" s="2512"/>
      <c r="V346" s="2512"/>
      <c r="W346" s="2512"/>
      <c r="X346" s="2512"/>
      <c r="Y346" s="2512"/>
      <c r="Z346" s="2512"/>
      <c r="AA346" s="2512"/>
      <c r="AB346" s="2512"/>
      <c r="AC346" s="2512"/>
      <c r="AD346" s="2512"/>
      <c r="AE346" s="2512"/>
      <c r="AF346" s="2512"/>
      <c r="AG346" s="2512"/>
      <c r="AH346" s="2512"/>
      <c r="AI346" s="2512"/>
      <c r="AJ346" s="2512"/>
      <c r="AK346" s="603"/>
      <c r="AL346" s="603"/>
      <c r="AM346" s="603"/>
      <c r="AN346" s="597"/>
      <c r="AQ346" s="570"/>
    </row>
    <row r="347" spans="1:44" s="550" customFormat="1" ht="12.4" customHeight="1">
      <c r="A347" s="603"/>
      <c r="B347" s="611"/>
      <c r="C347" s="2512"/>
      <c r="D347" s="2512"/>
      <c r="E347" s="2512"/>
      <c r="F347" s="2512"/>
      <c r="G347" s="2512"/>
      <c r="H347" s="2512"/>
      <c r="I347" s="2512"/>
      <c r="J347" s="2512"/>
      <c r="K347" s="2512"/>
      <c r="L347" s="2512"/>
      <c r="M347" s="2512"/>
      <c r="N347" s="2512"/>
      <c r="O347" s="2512"/>
      <c r="P347" s="2512"/>
      <c r="Q347" s="2512"/>
      <c r="R347" s="2512"/>
      <c r="S347" s="2512"/>
      <c r="T347" s="2512"/>
      <c r="U347" s="2512"/>
      <c r="V347" s="2512"/>
      <c r="W347" s="2512"/>
      <c r="X347" s="2512"/>
      <c r="Y347" s="2512"/>
      <c r="Z347" s="2512"/>
      <c r="AA347" s="2512"/>
      <c r="AB347" s="2512"/>
      <c r="AC347" s="2512"/>
      <c r="AD347" s="2512"/>
      <c r="AE347" s="2512"/>
      <c r="AF347" s="2512"/>
      <c r="AG347" s="2512"/>
      <c r="AH347" s="2512"/>
      <c r="AI347" s="2512"/>
      <c r="AJ347" s="2512"/>
      <c r="AK347" s="603"/>
      <c r="AL347" s="603"/>
      <c r="AM347" s="603"/>
      <c r="AN347" s="597"/>
      <c r="AQ347" s="570"/>
      <c r="AR347" s="570"/>
    </row>
    <row r="348" spans="1:44" s="550" customFormat="1" ht="45.75" customHeight="1">
      <c r="A348" s="603"/>
      <c r="B348" s="611"/>
      <c r="C348" s="2512" t="s">
        <v>2093</v>
      </c>
      <c r="D348" s="2512"/>
      <c r="E348" s="2512"/>
      <c r="F348" s="2512"/>
      <c r="G348" s="2512"/>
      <c r="H348" s="2512"/>
      <c r="I348" s="2512"/>
      <c r="J348" s="2512"/>
      <c r="K348" s="2512"/>
      <c r="L348" s="2512"/>
      <c r="M348" s="2512"/>
      <c r="N348" s="2512"/>
      <c r="O348" s="2512"/>
      <c r="P348" s="2512"/>
      <c r="Q348" s="2512"/>
      <c r="R348" s="2512"/>
      <c r="S348" s="2512"/>
      <c r="T348" s="2512"/>
      <c r="U348" s="2512"/>
      <c r="V348" s="2512"/>
      <c r="W348" s="2512"/>
      <c r="X348" s="2512"/>
      <c r="Y348" s="2512"/>
      <c r="Z348" s="2512"/>
      <c r="AA348" s="2512"/>
      <c r="AB348" s="2512"/>
      <c r="AC348" s="2512"/>
      <c r="AD348" s="2512"/>
      <c r="AE348" s="2512"/>
      <c r="AF348" s="2512"/>
      <c r="AG348" s="2512"/>
      <c r="AH348" s="2512"/>
      <c r="AI348" s="2512"/>
      <c r="AJ348" s="251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2" t="s">
        <v>2208</v>
      </c>
      <c r="D350" s="2512"/>
      <c r="E350" s="2512"/>
      <c r="F350" s="2512"/>
      <c r="G350" s="2512"/>
      <c r="H350" s="2512"/>
      <c r="I350" s="2512"/>
      <c r="J350" s="2512"/>
      <c r="K350" s="2512"/>
      <c r="L350" s="2512"/>
      <c r="M350" s="2512"/>
      <c r="N350" s="2512"/>
      <c r="O350" s="2512"/>
      <c r="P350" s="2512"/>
      <c r="Q350" s="2512"/>
      <c r="R350" s="2512"/>
      <c r="S350" s="2512"/>
      <c r="T350" s="2512"/>
      <c r="U350" s="2512"/>
      <c r="V350" s="2512"/>
      <c r="W350" s="2512"/>
      <c r="X350" s="2512"/>
      <c r="Y350" s="2512"/>
      <c r="Z350" s="2512"/>
      <c r="AA350" s="2512"/>
      <c r="AB350" s="2512"/>
      <c r="AC350" s="2512"/>
      <c r="AD350" s="2512"/>
      <c r="AE350" s="2512"/>
      <c r="AF350" s="2512"/>
      <c r="AG350" s="2512"/>
      <c r="AH350" s="2512"/>
      <c r="AI350" s="2512"/>
      <c r="AJ350" s="2512"/>
      <c r="AK350" s="603"/>
      <c r="AL350" s="603"/>
      <c r="AM350" s="603"/>
      <c r="AN350" s="597"/>
      <c r="AQ350" s="570"/>
      <c r="AR350" s="570"/>
    </row>
    <row r="351" spans="1:44" s="550" customFormat="1" ht="30" customHeight="1">
      <c r="A351" s="603"/>
      <c r="B351" s="611"/>
      <c r="C351" s="2512"/>
      <c r="D351" s="2512"/>
      <c r="E351" s="2512"/>
      <c r="F351" s="2512"/>
      <c r="G351" s="2512"/>
      <c r="H351" s="2512"/>
      <c r="I351" s="2512"/>
      <c r="J351" s="2512"/>
      <c r="K351" s="2512"/>
      <c r="L351" s="2512"/>
      <c r="M351" s="2512"/>
      <c r="N351" s="2512"/>
      <c r="O351" s="2512"/>
      <c r="P351" s="2512"/>
      <c r="Q351" s="2512"/>
      <c r="R351" s="2512"/>
      <c r="S351" s="2512"/>
      <c r="T351" s="2512"/>
      <c r="U351" s="2512"/>
      <c r="V351" s="2512"/>
      <c r="W351" s="2512"/>
      <c r="X351" s="2512"/>
      <c r="Y351" s="2512"/>
      <c r="Z351" s="2512"/>
      <c r="AA351" s="2512"/>
      <c r="AB351" s="2512"/>
      <c r="AC351" s="2512"/>
      <c r="AD351" s="2512"/>
      <c r="AE351" s="2512"/>
      <c r="AF351" s="2512"/>
      <c r="AG351" s="2512"/>
      <c r="AH351" s="2512"/>
      <c r="AI351" s="2512"/>
      <c r="AJ351" s="2512"/>
      <c r="AK351" s="603"/>
      <c r="AL351" s="603"/>
      <c r="AM351" s="603"/>
      <c r="AN351" s="597"/>
      <c r="AR351" s="570"/>
    </row>
    <row r="352" spans="1:44" s="550" customFormat="1" ht="12.75" customHeight="1">
      <c r="A352" s="603"/>
      <c r="B352" s="611"/>
      <c r="C352" s="2512"/>
      <c r="D352" s="2512"/>
      <c r="E352" s="2512"/>
      <c r="F352" s="2512"/>
      <c r="G352" s="2512"/>
      <c r="H352" s="2512"/>
      <c r="I352" s="2512"/>
      <c r="J352" s="2512"/>
      <c r="K352" s="2512"/>
      <c r="L352" s="2512"/>
      <c r="M352" s="2512"/>
      <c r="N352" s="2512"/>
      <c r="O352" s="2512"/>
      <c r="P352" s="2512"/>
      <c r="Q352" s="2512"/>
      <c r="R352" s="2512"/>
      <c r="S352" s="2512"/>
      <c r="T352" s="2512"/>
      <c r="U352" s="2512"/>
      <c r="V352" s="2512"/>
      <c r="W352" s="2512"/>
      <c r="X352" s="2512"/>
      <c r="Y352" s="2512"/>
      <c r="Z352" s="2512"/>
      <c r="AA352" s="2512"/>
      <c r="AB352" s="2512"/>
      <c r="AC352" s="2512"/>
      <c r="AD352" s="2512"/>
      <c r="AE352" s="2512"/>
      <c r="AF352" s="2512"/>
      <c r="AG352" s="2512"/>
      <c r="AH352" s="2512"/>
      <c r="AI352" s="2512"/>
      <c r="AJ352" s="2512"/>
      <c r="AK352" s="603"/>
      <c r="AL352" s="603"/>
      <c r="AM352" s="603"/>
      <c r="AN352" s="597"/>
      <c r="AR352" s="570"/>
    </row>
    <row r="353" spans="1:46" s="550" customFormat="1" ht="12.75" customHeight="1">
      <c r="A353" s="603"/>
      <c r="B353" s="611"/>
      <c r="C353" s="2512" t="s">
        <v>1456</v>
      </c>
      <c r="D353" s="2512"/>
      <c r="E353" s="2512"/>
      <c r="F353" s="2512"/>
      <c r="G353" s="2512"/>
      <c r="H353" s="2512"/>
      <c r="I353" s="2512"/>
      <c r="J353" s="2512"/>
      <c r="K353" s="2512"/>
      <c r="L353" s="2512"/>
      <c r="M353" s="2512"/>
      <c r="N353" s="2512"/>
      <c r="O353" s="2512"/>
      <c r="P353" s="2512"/>
      <c r="Q353" s="2512"/>
      <c r="R353" s="2512"/>
      <c r="S353" s="2512"/>
      <c r="T353" s="2512"/>
      <c r="U353" s="2512"/>
      <c r="V353" s="2512"/>
      <c r="W353" s="2512"/>
      <c r="X353" s="2512"/>
      <c r="Y353" s="2512"/>
      <c r="Z353" s="2512"/>
      <c r="AA353" s="2512"/>
      <c r="AB353" s="2512"/>
      <c r="AC353" s="2512"/>
      <c r="AD353" s="2512"/>
      <c r="AE353" s="2512"/>
      <c r="AF353" s="2512"/>
      <c r="AG353" s="2512"/>
      <c r="AH353" s="2512"/>
      <c r="AI353" s="2512"/>
      <c r="AJ353" s="2512"/>
      <c r="AK353" s="603"/>
      <c r="AL353" s="603"/>
      <c r="AM353" s="603"/>
      <c r="AN353" s="597"/>
      <c r="AQ353" s="570"/>
      <c r="AR353" s="570"/>
    </row>
    <row r="354" spans="1:46" s="550" customFormat="1" ht="12.75" customHeight="1">
      <c r="A354" s="603"/>
      <c r="B354" s="611"/>
      <c r="C354" s="2512"/>
      <c r="D354" s="2512"/>
      <c r="E354" s="2512"/>
      <c r="F354" s="2512"/>
      <c r="G354" s="2512"/>
      <c r="H354" s="2512"/>
      <c r="I354" s="2512"/>
      <c r="J354" s="2512"/>
      <c r="K354" s="2512"/>
      <c r="L354" s="2512"/>
      <c r="M354" s="2512"/>
      <c r="N354" s="2512"/>
      <c r="O354" s="2512"/>
      <c r="P354" s="2512"/>
      <c r="Q354" s="2512"/>
      <c r="R354" s="2512"/>
      <c r="S354" s="2512"/>
      <c r="T354" s="2512"/>
      <c r="U354" s="2512"/>
      <c r="V354" s="2512"/>
      <c r="W354" s="2512"/>
      <c r="X354" s="2512"/>
      <c r="Y354" s="2512"/>
      <c r="Z354" s="2512"/>
      <c r="AA354" s="2512"/>
      <c r="AB354" s="2512"/>
      <c r="AC354" s="2512"/>
      <c r="AD354" s="2512"/>
      <c r="AE354" s="2512"/>
      <c r="AF354" s="2512"/>
      <c r="AG354" s="2512"/>
      <c r="AH354" s="2512"/>
      <c r="AI354" s="2512"/>
      <c r="AJ354" s="2512"/>
      <c r="AK354" s="603"/>
      <c r="AL354" s="603"/>
      <c r="AM354" s="603"/>
      <c r="AN354" s="597"/>
      <c r="AQ354" s="570"/>
      <c r="AR354" s="570"/>
    </row>
    <row r="355" spans="1:46" s="550" customFormat="1" ht="13.15" customHeight="1">
      <c r="A355" s="603"/>
      <c r="B355" s="611"/>
      <c r="C355" s="2512"/>
      <c r="D355" s="2512"/>
      <c r="E355" s="2512"/>
      <c r="F355" s="2512"/>
      <c r="G355" s="2512"/>
      <c r="H355" s="2512"/>
      <c r="I355" s="2512"/>
      <c r="J355" s="2512"/>
      <c r="K355" s="2512"/>
      <c r="L355" s="2512"/>
      <c r="M355" s="2512"/>
      <c r="N355" s="2512"/>
      <c r="O355" s="2512"/>
      <c r="P355" s="2512"/>
      <c r="Q355" s="2512"/>
      <c r="R355" s="2512"/>
      <c r="S355" s="2512"/>
      <c r="T355" s="2512"/>
      <c r="U355" s="2512"/>
      <c r="V355" s="2512"/>
      <c r="W355" s="2512"/>
      <c r="X355" s="2512"/>
      <c r="Y355" s="2512"/>
      <c r="Z355" s="2512"/>
      <c r="AA355" s="2512"/>
      <c r="AB355" s="2512"/>
      <c r="AC355" s="2512"/>
      <c r="AD355" s="2512"/>
      <c r="AE355" s="2512"/>
      <c r="AF355" s="2512"/>
      <c r="AG355" s="2512"/>
      <c r="AH355" s="2512"/>
      <c r="AI355" s="2512"/>
      <c r="AJ355" s="2512"/>
      <c r="AK355" s="603"/>
      <c r="AL355" s="603"/>
      <c r="AM355" s="603"/>
      <c r="AN355" s="597"/>
      <c r="AQ355" s="570"/>
      <c r="AR355" s="570"/>
    </row>
    <row r="356" spans="1:46" s="550" customFormat="1" ht="12.75" customHeight="1">
      <c r="A356" s="603"/>
      <c r="B356" s="611"/>
      <c r="C356" s="2512"/>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3"/>
      <c r="AL356" s="603"/>
      <c r="AM356" s="603"/>
      <c r="AN356" s="597"/>
      <c r="AO356" s="694"/>
      <c r="AP356" s="694"/>
      <c r="AQ356" s="570"/>
    </row>
    <row r="357" spans="1:46" s="550" customFormat="1" ht="11.85" customHeight="1">
      <c r="A357" s="603"/>
      <c r="B357" s="611"/>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3"/>
      <c r="AL357" s="603"/>
      <c r="AM357" s="603"/>
      <c r="AN357" s="597"/>
      <c r="AO357" s="695" t="s">
        <v>112</v>
      </c>
      <c r="AP357" s="696">
        <f>IF(C381="Yes",5,0)</f>
        <v>5</v>
      </c>
      <c r="AS357" s="539" t="s">
        <v>1457</v>
      </c>
    </row>
    <row r="358" spans="1:46" s="550" customFormat="1" ht="12.75" customHeight="1">
      <c r="A358" s="603"/>
      <c r="B358" s="611"/>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3"/>
      <c r="AL358" s="603"/>
      <c r="AM358" s="603"/>
      <c r="AN358" s="597"/>
      <c r="AO358" s="695" t="s">
        <v>113</v>
      </c>
      <c r="AP358" s="696">
        <f>IF(C389="Yes",5,0)</f>
        <v>0</v>
      </c>
      <c r="AS358" s="2533">
        <f>IF(Application!D211="Non-Targeted",(SUM(AQ366+AQ375)),AS362)</f>
        <v>10</v>
      </c>
      <c r="AT358" s="2533"/>
    </row>
    <row r="359" spans="1:46" s="550" customFormat="1" ht="12.75" customHeight="1">
      <c r="A359" s="603"/>
      <c r="B359" s="611"/>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3"/>
      <c r="AL359" s="603"/>
      <c r="AM359" s="603"/>
      <c r="AN359" s="597"/>
      <c r="AO359" s="695" t="s">
        <v>119</v>
      </c>
      <c r="AP359" s="696">
        <f>IF(C397="Yes",7,0)</f>
        <v>0</v>
      </c>
      <c r="AS359" s="539" t="s">
        <v>1458</v>
      </c>
    </row>
    <row r="360" spans="1:46" s="550" customFormat="1" ht="12.75" customHeight="1">
      <c r="A360" s="603"/>
      <c r="B360" s="611"/>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3"/>
      <c r="AL360" s="603"/>
      <c r="AM360" s="603"/>
      <c r="AN360" s="597"/>
      <c r="AO360" s="597"/>
      <c r="AP360" s="696">
        <f>IF(C399="Yes",5,0)</f>
        <v>5</v>
      </c>
      <c r="AS360" s="2533">
        <f>IF(AND(AQ366&gt;0,AQ375&gt;0),(AQ366+AQ375)/2,0)</f>
        <v>0</v>
      </c>
      <c r="AT360" s="2533"/>
    </row>
    <row r="361" spans="1:46" s="550" customFormat="1" ht="12.75" customHeight="1">
      <c r="A361" s="603"/>
      <c r="B361" s="611"/>
      <c r="C361" s="2512"/>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3"/>
      <c r="AL361" s="603"/>
      <c r="AM361" s="603"/>
      <c r="AN361" s="597"/>
      <c r="AO361" s="695" t="s">
        <v>582</v>
      </c>
      <c r="AP361" s="696">
        <f>IF(C407="Yes",5,0)</f>
        <v>0</v>
      </c>
      <c r="AS361" s="539" t="s">
        <v>1879</v>
      </c>
    </row>
    <row r="362" spans="1:46" s="550" customFormat="1" ht="12.75" customHeight="1">
      <c r="A362" s="603"/>
      <c r="B362" s="611"/>
      <c r="C362" s="2534" t="s">
        <v>2232</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533">
        <f>IF(AQ366=0,AQ375,AQ366)</f>
        <v>10</v>
      </c>
      <c r="AT362" s="2533"/>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764</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585</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535">
        <f>IF(AP366&gt;0,AP366,0)</f>
        <v>10</v>
      </c>
      <c r="AR366" s="2535"/>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2" t="s">
        <v>1459</v>
      </c>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3"/>
      <c r="AL369" s="603"/>
      <c r="AM369" s="603"/>
      <c r="AN369" s="597"/>
      <c r="AO369" s="695" t="s">
        <v>457</v>
      </c>
      <c r="AP369" s="696">
        <f>IF(C442="Yes",5,0)</f>
        <v>0</v>
      </c>
    </row>
    <row r="370" spans="1:81" s="550" customFormat="1" ht="12.75" customHeight="1">
      <c r="A370" s="603"/>
      <c r="B370" s="611"/>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3"/>
      <c r="AL370" s="603"/>
      <c r="AM370" s="603"/>
      <c r="AN370" s="597"/>
      <c r="AO370" s="695" t="s">
        <v>462</v>
      </c>
      <c r="AP370" s="696">
        <f>IF(C449="Yes",5,0)</f>
        <v>0</v>
      </c>
    </row>
    <row r="371" spans="1:81" s="550" customFormat="1" ht="68.099999999999994" customHeight="1">
      <c r="A371" s="603"/>
      <c r="B371" s="611"/>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0">
        <f>Application!DU802-U374</f>
        <v>58</v>
      </c>
      <c r="V373" s="2620"/>
      <c r="W373" s="262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1">
        <f>IF(Application!D211="SRO",Application!DU755,Application!AG756)</f>
        <v>0</v>
      </c>
      <c r="V374" s="2621"/>
      <c r="W374" s="262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5">
        <f>IF(AP375&gt;0,AP375,0)</f>
        <v>0</v>
      </c>
      <c r="AR375" s="2535"/>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6" t="s">
        <v>1461</v>
      </c>
      <c r="G377" s="2516"/>
      <c r="H377" s="2516"/>
      <c r="I377" s="2516"/>
      <c r="J377" s="2516"/>
      <c r="K377" s="2516"/>
      <c r="L377" s="2516"/>
      <c r="M377" s="2516"/>
      <c r="N377" s="2516"/>
      <c r="O377" s="2516"/>
      <c r="P377" s="2516"/>
      <c r="Q377" s="2516"/>
      <c r="R377" s="2516"/>
      <c r="S377" s="2516"/>
      <c r="T377" s="2516"/>
      <c r="U377" s="2516"/>
      <c r="V377" s="2516"/>
      <c r="W377" s="2516"/>
      <c r="X377" s="2516"/>
      <c r="Y377" s="2516"/>
      <c r="Z377" s="2516"/>
      <c r="AA377" s="2516"/>
      <c r="AB377" s="2516"/>
      <c r="AC377" s="2516"/>
      <c r="AD377" s="2516"/>
      <c r="AE377" s="2516"/>
      <c r="AF377" s="251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7"/>
      <c r="G378" s="2517"/>
      <c r="H378" s="2517"/>
      <c r="I378" s="2517"/>
      <c r="J378" s="2517"/>
      <c r="K378" s="2517"/>
      <c r="L378" s="2517"/>
      <c r="M378" s="2517"/>
      <c r="N378" s="2517"/>
      <c r="O378" s="2517"/>
      <c r="P378" s="2517"/>
      <c r="Q378" s="2517"/>
      <c r="R378" s="2517"/>
      <c r="S378" s="2517"/>
      <c r="T378" s="2517"/>
      <c r="U378" s="2517"/>
      <c r="V378" s="2517"/>
      <c r="W378" s="2517"/>
      <c r="X378" s="2517"/>
      <c r="Y378" s="2517"/>
      <c r="Z378" s="2517"/>
      <c r="AA378" s="2517"/>
      <c r="AB378" s="2517"/>
      <c r="AC378" s="2517"/>
      <c r="AD378" s="2517"/>
      <c r="AE378" s="2517"/>
      <c r="AF378" s="251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7"/>
      <c r="G379" s="2517"/>
      <c r="H379" s="2517"/>
      <c r="I379" s="2517"/>
      <c r="J379" s="2517"/>
      <c r="K379" s="2517"/>
      <c r="L379" s="2517"/>
      <c r="M379" s="2517"/>
      <c r="N379" s="2517"/>
      <c r="O379" s="2517"/>
      <c r="P379" s="2517"/>
      <c r="Q379" s="2517"/>
      <c r="R379" s="2517"/>
      <c r="S379" s="2517"/>
      <c r="T379" s="2517"/>
      <c r="U379" s="2517"/>
      <c r="V379" s="2517"/>
      <c r="W379" s="2517"/>
      <c r="X379" s="2517"/>
      <c r="Y379" s="2517"/>
      <c r="Z379" s="2517"/>
      <c r="AA379" s="2517"/>
      <c r="AB379" s="2517"/>
      <c r="AC379" s="2517"/>
      <c r="AD379" s="2517"/>
      <c r="AE379" s="2517"/>
      <c r="AF379" s="251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7"/>
      <c r="G380" s="2517"/>
      <c r="H380" s="2517"/>
      <c r="I380" s="2517"/>
      <c r="J380" s="2517"/>
      <c r="K380" s="2517"/>
      <c r="L380" s="2517"/>
      <c r="M380" s="2517"/>
      <c r="N380" s="2517"/>
      <c r="O380" s="2517"/>
      <c r="P380" s="2517"/>
      <c r="Q380" s="2517"/>
      <c r="R380" s="2517"/>
      <c r="S380" s="2517"/>
      <c r="T380" s="2517"/>
      <c r="U380" s="2517"/>
      <c r="V380" s="2517"/>
      <c r="W380" s="2517"/>
      <c r="X380" s="2517"/>
      <c r="Y380" s="2517"/>
      <c r="Z380" s="2517"/>
      <c r="AA380" s="2517"/>
      <c r="AB380" s="2517"/>
      <c r="AC380" s="2517"/>
      <c r="AD380" s="2517"/>
      <c r="AE380" s="2517"/>
      <c r="AF380" s="251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3" t="s">
        <v>546</v>
      </c>
      <c r="D381" s="247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4" t="s">
        <v>1463</v>
      </c>
      <c r="AG381" s="2514"/>
      <c r="AH381" s="2514"/>
      <c r="AI381" s="2514"/>
      <c r="AJ381" s="2514"/>
      <c r="AK381" s="2514"/>
      <c r="AL381" s="251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6" t="s">
        <v>1464</v>
      </c>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7"/>
      <c r="G385" s="2517"/>
      <c r="H385" s="2517"/>
      <c r="I385" s="2517"/>
      <c r="J385" s="2517"/>
      <c r="K385" s="2517"/>
      <c r="L385" s="2517"/>
      <c r="M385" s="2517"/>
      <c r="N385" s="2517"/>
      <c r="O385" s="2517"/>
      <c r="P385" s="2517"/>
      <c r="Q385" s="2517"/>
      <c r="R385" s="2517"/>
      <c r="S385" s="2517"/>
      <c r="T385" s="2517"/>
      <c r="U385" s="2517"/>
      <c r="V385" s="2517"/>
      <c r="W385" s="2517"/>
      <c r="X385" s="2517"/>
      <c r="Y385" s="2517"/>
      <c r="Z385" s="2517"/>
      <c r="AA385" s="2517"/>
      <c r="AB385" s="2517"/>
      <c r="AC385" s="2517"/>
      <c r="AD385" s="2517"/>
      <c r="AE385" s="2517"/>
      <c r="AF385" s="251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7"/>
      <c r="G386" s="2517"/>
      <c r="H386" s="2517"/>
      <c r="I386" s="2517"/>
      <c r="J386" s="2517"/>
      <c r="K386" s="2517"/>
      <c r="L386" s="2517"/>
      <c r="M386" s="2517"/>
      <c r="N386" s="2517"/>
      <c r="O386" s="2517"/>
      <c r="P386" s="2517"/>
      <c r="Q386" s="2517"/>
      <c r="R386" s="2517"/>
      <c r="S386" s="2517"/>
      <c r="T386" s="2517"/>
      <c r="U386" s="2517"/>
      <c r="V386" s="2517"/>
      <c r="W386" s="2517"/>
      <c r="X386" s="2517"/>
      <c r="Y386" s="2517"/>
      <c r="Z386" s="2517"/>
      <c r="AA386" s="2517"/>
      <c r="AB386" s="2517"/>
      <c r="AC386" s="2517"/>
      <c r="AD386" s="2517"/>
      <c r="AE386" s="2517"/>
      <c r="AF386" s="251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7"/>
      <c r="G387" s="2517"/>
      <c r="H387" s="2517"/>
      <c r="I387" s="2517"/>
      <c r="J387" s="2517"/>
      <c r="K387" s="2517"/>
      <c r="L387" s="2517"/>
      <c r="M387" s="2517"/>
      <c r="N387" s="2517"/>
      <c r="O387" s="2517"/>
      <c r="P387" s="2517"/>
      <c r="Q387" s="2517"/>
      <c r="R387" s="2517"/>
      <c r="S387" s="2517"/>
      <c r="T387" s="2517"/>
      <c r="U387" s="2517"/>
      <c r="V387" s="2517"/>
      <c r="W387" s="2517"/>
      <c r="X387" s="2517"/>
      <c r="Y387" s="2517"/>
      <c r="Z387" s="2517"/>
      <c r="AA387" s="2517"/>
      <c r="AB387" s="2517"/>
      <c r="AC387" s="2517"/>
      <c r="AD387" s="2517"/>
      <c r="AE387" s="2517"/>
      <c r="AF387" s="251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7"/>
      <c r="G388" s="2517"/>
      <c r="H388" s="2517"/>
      <c r="I388" s="2517"/>
      <c r="J388" s="2517"/>
      <c r="K388" s="2517"/>
      <c r="L388" s="2517"/>
      <c r="M388" s="2517"/>
      <c r="N388" s="2517"/>
      <c r="O388" s="2517"/>
      <c r="P388" s="2517"/>
      <c r="Q388" s="2517"/>
      <c r="R388" s="2517"/>
      <c r="S388" s="2517"/>
      <c r="T388" s="2517"/>
      <c r="U388" s="2517"/>
      <c r="V388" s="2517"/>
      <c r="W388" s="2517"/>
      <c r="X388" s="2517"/>
      <c r="Y388" s="2517"/>
      <c r="Z388" s="2517"/>
      <c r="AA388" s="2517"/>
      <c r="AB388" s="2517"/>
      <c r="AC388" s="2517"/>
      <c r="AD388" s="2517"/>
      <c r="AE388" s="2517"/>
      <c r="AF388" s="2517"/>
      <c r="AL388" s="732"/>
      <c r="AN388" s="597"/>
      <c r="BS388" s="30"/>
      <c r="BT388" s="30"/>
      <c r="BU388" s="14"/>
      <c r="BV388" s="14"/>
      <c r="BW388" s="14"/>
      <c r="BX388" s="14"/>
      <c r="BY388" s="14"/>
      <c r="BZ388" s="14"/>
      <c r="CA388" s="14"/>
      <c r="CB388" s="14"/>
      <c r="CC388" s="14"/>
    </row>
    <row r="389" spans="1:81" s="550" customFormat="1" ht="12.75" customHeight="1">
      <c r="A389" s="536"/>
      <c r="B389" s="14"/>
      <c r="C389" s="2513" t="s">
        <v>592</v>
      </c>
      <c r="D389" s="247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4" t="s">
        <v>1463</v>
      </c>
      <c r="AG389" s="2514"/>
      <c r="AH389" s="2514"/>
      <c r="AI389" s="2514"/>
      <c r="AJ389" s="2514"/>
      <c r="AK389" s="2514"/>
      <c r="AL389" s="251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6" t="s">
        <v>1466</v>
      </c>
      <c r="G392" s="2516"/>
      <c r="H392" s="2516"/>
      <c r="I392" s="2516"/>
      <c r="J392" s="2516"/>
      <c r="K392" s="2516"/>
      <c r="L392" s="2516"/>
      <c r="M392" s="2516"/>
      <c r="N392" s="2516"/>
      <c r="O392" s="2516"/>
      <c r="P392" s="2516"/>
      <c r="Q392" s="2516"/>
      <c r="R392" s="2516"/>
      <c r="S392" s="2516"/>
      <c r="T392" s="2516"/>
      <c r="U392" s="2516"/>
      <c r="V392" s="2516"/>
      <c r="W392" s="2516"/>
      <c r="X392" s="2516"/>
      <c r="Y392" s="2516"/>
      <c r="Z392" s="2516"/>
      <c r="AA392" s="2516"/>
      <c r="AB392" s="2516"/>
      <c r="AC392" s="2516"/>
      <c r="AD392" s="2516"/>
      <c r="AE392" s="2516"/>
      <c r="AF392" s="251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7"/>
      <c r="G393" s="2517"/>
      <c r="H393" s="2517"/>
      <c r="I393" s="2517"/>
      <c r="J393" s="2517"/>
      <c r="K393" s="2517"/>
      <c r="L393" s="2517"/>
      <c r="M393" s="2517"/>
      <c r="N393" s="2517"/>
      <c r="O393" s="2517"/>
      <c r="P393" s="2517"/>
      <c r="Q393" s="2517"/>
      <c r="R393" s="2517"/>
      <c r="S393" s="2517"/>
      <c r="T393" s="2517"/>
      <c r="U393" s="2517"/>
      <c r="V393" s="2517"/>
      <c r="W393" s="2517"/>
      <c r="X393" s="2517"/>
      <c r="Y393" s="2517"/>
      <c r="Z393" s="2517"/>
      <c r="AA393" s="2517"/>
      <c r="AB393" s="2517"/>
      <c r="AC393" s="2517"/>
      <c r="AD393" s="2517"/>
      <c r="AE393" s="2517"/>
      <c r="AF393" s="251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7"/>
      <c r="G394" s="2517"/>
      <c r="H394" s="2517"/>
      <c r="I394" s="2517"/>
      <c r="J394" s="2517"/>
      <c r="K394" s="2517"/>
      <c r="L394" s="2517"/>
      <c r="M394" s="2517"/>
      <c r="N394" s="2517"/>
      <c r="O394" s="2517"/>
      <c r="P394" s="2517"/>
      <c r="Q394" s="2517"/>
      <c r="R394" s="2517"/>
      <c r="S394" s="2517"/>
      <c r="T394" s="2517"/>
      <c r="U394" s="2517"/>
      <c r="V394" s="2517"/>
      <c r="W394" s="2517"/>
      <c r="X394" s="2517"/>
      <c r="Y394" s="2517"/>
      <c r="Z394" s="2517"/>
      <c r="AA394" s="2517"/>
      <c r="AB394" s="2517"/>
      <c r="AC394" s="2517"/>
      <c r="AD394" s="2517"/>
      <c r="AE394" s="2517"/>
      <c r="AF394" s="251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7"/>
      <c r="G395" s="2517"/>
      <c r="H395" s="2517"/>
      <c r="I395" s="2517"/>
      <c r="J395" s="2517"/>
      <c r="K395" s="2517"/>
      <c r="L395" s="2517"/>
      <c r="M395" s="2517"/>
      <c r="N395" s="2517"/>
      <c r="O395" s="2517"/>
      <c r="P395" s="2517"/>
      <c r="Q395" s="2517"/>
      <c r="R395" s="2517"/>
      <c r="S395" s="2517"/>
      <c r="T395" s="2517"/>
      <c r="U395" s="2517"/>
      <c r="V395" s="2517"/>
      <c r="W395" s="2517"/>
      <c r="X395" s="2517"/>
      <c r="Y395" s="2517"/>
      <c r="Z395" s="2517"/>
      <c r="AA395" s="2517"/>
      <c r="AB395" s="2517"/>
      <c r="AC395" s="2517"/>
      <c r="AD395" s="2517"/>
      <c r="AE395" s="2517"/>
      <c r="AF395" s="251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7"/>
      <c r="G396" s="2517"/>
      <c r="H396" s="2517"/>
      <c r="I396" s="2517"/>
      <c r="J396" s="2517"/>
      <c r="K396" s="2517"/>
      <c r="L396" s="2517"/>
      <c r="M396" s="2517"/>
      <c r="N396" s="2517"/>
      <c r="O396" s="2517"/>
      <c r="P396" s="2517"/>
      <c r="Q396" s="2517"/>
      <c r="R396" s="2517"/>
      <c r="S396" s="2517"/>
      <c r="T396" s="2517"/>
      <c r="U396" s="2517"/>
      <c r="V396" s="2517"/>
      <c r="W396" s="2517"/>
      <c r="X396" s="2517"/>
      <c r="Y396" s="2517"/>
      <c r="Z396" s="2517"/>
      <c r="AA396" s="2517"/>
      <c r="AB396" s="2517"/>
      <c r="AC396" s="2517"/>
      <c r="AD396" s="2517"/>
      <c r="AE396" s="2517"/>
      <c r="AF396" s="251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3" t="s">
        <v>592</v>
      </c>
      <c r="D397" s="247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4" t="s">
        <v>1468</v>
      </c>
      <c r="AG397" s="2514"/>
      <c r="AH397" s="2514"/>
      <c r="AI397" s="2514"/>
      <c r="AJ397" s="2514"/>
      <c r="AK397" s="2514"/>
      <c r="AL397" s="251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3" t="s">
        <v>546</v>
      </c>
      <c r="D399" s="247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4" t="s">
        <v>1463</v>
      </c>
      <c r="AG399" s="2514"/>
      <c r="AH399" s="2514"/>
      <c r="AI399" s="2514"/>
      <c r="AJ399" s="2514"/>
      <c r="AK399" s="2514"/>
      <c r="AL399" s="251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6" t="s">
        <v>1472</v>
      </c>
      <c r="G403" s="2516"/>
      <c r="H403" s="2516"/>
      <c r="I403" s="2516"/>
      <c r="J403" s="2516"/>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7"/>
      <c r="G404" s="2517"/>
      <c r="H404" s="2517"/>
      <c r="I404" s="2517"/>
      <c r="J404" s="2517"/>
      <c r="K404" s="2517"/>
      <c r="L404" s="2517"/>
      <c r="M404" s="2517"/>
      <c r="N404" s="2517"/>
      <c r="O404" s="2517"/>
      <c r="P404" s="2517"/>
      <c r="Q404" s="2517"/>
      <c r="R404" s="2517"/>
      <c r="S404" s="2517"/>
      <c r="T404" s="2517"/>
      <c r="U404" s="2517"/>
      <c r="V404" s="2517"/>
      <c r="W404" s="2517"/>
      <c r="X404" s="2517"/>
      <c r="Y404" s="2517"/>
      <c r="Z404" s="2517"/>
      <c r="AA404" s="2517"/>
      <c r="AB404" s="2517"/>
      <c r="AC404" s="2517"/>
      <c r="AD404" s="2517"/>
      <c r="AE404" s="2517"/>
      <c r="AF404" s="251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3" t="s">
        <v>592</v>
      </c>
      <c r="D407" s="247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4" t="s">
        <v>1463</v>
      </c>
      <c r="AG407" s="2514"/>
      <c r="AH407" s="2514"/>
      <c r="AI407" s="2514"/>
      <c r="AJ407" s="2514"/>
      <c r="AK407" s="2514"/>
      <c r="AL407" s="251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3" t="s">
        <v>592</v>
      </c>
      <c r="D409" s="247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4" t="s">
        <v>1475</v>
      </c>
      <c r="AG409" s="2514"/>
      <c r="AH409" s="2514"/>
      <c r="AI409" s="2514"/>
      <c r="AJ409" s="2514"/>
      <c r="AK409" s="2514"/>
      <c r="AL409" s="251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3" t="s">
        <v>592</v>
      </c>
      <c r="D412" s="2470"/>
      <c r="E412" s="715" t="s">
        <v>1476</v>
      </c>
      <c r="F412" s="2516" t="s">
        <v>1477</v>
      </c>
      <c r="G412" s="2516"/>
      <c r="H412" s="2516"/>
      <c r="I412" s="2516"/>
      <c r="J412" s="2516"/>
      <c r="K412" s="2516"/>
      <c r="L412" s="2516"/>
      <c r="M412" s="2516"/>
      <c r="N412" s="2516"/>
      <c r="O412" s="2516"/>
      <c r="P412" s="2516"/>
      <c r="Q412" s="2516"/>
      <c r="R412" s="2516"/>
      <c r="S412" s="2516"/>
      <c r="T412" s="2516"/>
      <c r="U412" s="2516"/>
      <c r="V412" s="2516"/>
      <c r="W412" s="2516"/>
      <c r="X412" s="2516"/>
      <c r="Y412" s="2516"/>
      <c r="Z412" s="2516"/>
      <c r="AA412" s="2516"/>
      <c r="AB412" s="2516"/>
      <c r="AC412" s="2516"/>
      <c r="AD412" s="2516"/>
      <c r="AE412" s="251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7"/>
      <c r="G413" s="2517"/>
      <c r="H413" s="2517"/>
      <c r="I413" s="2517"/>
      <c r="J413" s="2517"/>
      <c r="K413" s="2517"/>
      <c r="L413" s="2517"/>
      <c r="M413" s="2517"/>
      <c r="N413" s="2517"/>
      <c r="O413" s="2517"/>
      <c r="P413" s="2517"/>
      <c r="Q413" s="2517"/>
      <c r="R413" s="2517"/>
      <c r="S413" s="2517"/>
      <c r="T413" s="2517"/>
      <c r="U413" s="2517"/>
      <c r="V413" s="2517"/>
      <c r="W413" s="2517"/>
      <c r="X413" s="2517"/>
      <c r="Y413" s="2517"/>
      <c r="Z413" s="2517"/>
      <c r="AA413" s="2517"/>
      <c r="AB413" s="2517"/>
      <c r="AC413" s="2517"/>
      <c r="AD413" s="2517"/>
      <c r="AE413" s="2517"/>
      <c r="AF413" s="2438" t="s">
        <v>1463</v>
      </c>
      <c r="AG413" s="2438"/>
      <c r="AH413" s="2438"/>
      <c r="AI413" s="2438"/>
      <c r="AJ413" s="2438"/>
      <c r="AK413" s="2438"/>
      <c r="AL413" s="2518"/>
      <c r="AM413" s="570"/>
      <c r="AN413" s="597"/>
      <c r="BS413" s="570"/>
      <c r="BT413" s="570"/>
      <c r="BY413" s="570"/>
      <c r="BZ413" s="570"/>
      <c r="CA413" s="570"/>
      <c r="CB413" s="570"/>
      <c r="CC413" s="570"/>
    </row>
    <row r="414" spans="1:81" s="550" customFormat="1" ht="12.75" customHeight="1">
      <c r="A414" s="536"/>
      <c r="B414" s="14"/>
      <c r="C414" s="731"/>
      <c r="D414" s="14"/>
      <c r="E414" s="691"/>
      <c r="F414" s="2517"/>
      <c r="G414" s="2517"/>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C414" s="2517"/>
      <c r="AD414" s="2517"/>
      <c r="AE414" s="251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6"/>
      <c r="G415" s="2536"/>
      <c r="H415" s="2536"/>
      <c r="I415" s="2536"/>
      <c r="J415" s="2536"/>
      <c r="K415" s="2536"/>
      <c r="L415" s="2536"/>
      <c r="M415" s="2536"/>
      <c r="N415" s="2536"/>
      <c r="O415" s="2536"/>
      <c r="P415" s="2536"/>
      <c r="Q415" s="2536"/>
      <c r="R415" s="2536"/>
      <c r="S415" s="2536"/>
      <c r="T415" s="2536"/>
      <c r="U415" s="2536"/>
      <c r="V415" s="2536"/>
      <c r="W415" s="2536"/>
      <c r="X415" s="2536"/>
      <c r="Y415" s="2536"/>
      <c r="Z415" s="2536"/>
      <c r="AA415" s="2536"/>
      <c r="AB415" s="2536"/>
      <c r="AC415" s="2536"/>
      <c r="AD415" s="2536"/>
      <c r="AE415" s="25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6" t="s">
        <v>1479</v>
      </c>
      <c r="G417" s="2516"/>
      <c r="H417" s="2516"/>
      <c r="I417" s="2516"/>
      <c r="J417" s="2516"/>
      <c r="K417" s="2516"/>
      <c r="L417" s="2516"/>
      <c r="M417" s="2516"/>
      <c r="N417" s="2516"/>
      <c r="O417" s="2516"/>
      <c r="P417" s="2516"/>
      <c r="Q417" s="2516"/>
      <c r="R417" s="2516"/>
      <c r="S417" s="2516"/>
      <c r="T417" s="2516"/>
      <c r="U417" s="2516"/>
      <c r="V417" s="2516"/>
      <c r="W417" s="2516"/>
      <c r="X417" s="2516"/>
      <c r="Y417" s="2516"/>
      <c r="Z417" s="2516"/>
      <c r="AA417" s="2516"/>
      <c r="AB417" s="2516"/>
      <c r="AC417" s="2516"/>
      <c r="AD417" s="2516"/>
      <c r="AE417" s="2516"/>
      <c r="AF417" s="747"/>
      <c r="AG417" s="747"/>
      <c r="AH417" s="747"/>
      <c r="AI417" s="747"/>
      <c r="AJ417" s="747"/>
      <c r="AK417" s="747"/>
      <c r="AL417" s="748"/>
      <c r="AM417" s="570"/>
    </row>
    <row r="418" spans="1:55">
      <c r="A418" s="536"/>
      <c r="C418" s="731"/>
      <c r="E418" s="691"/>
      <c r="F418" s="2517"/>
      <c r="G418" s="2517"/>
      <c r="H418" s="2517"/>
      <c r="I418" s="2517"/>
      <c r="J418" s="2517"/>
      <c r="K418" s="2517"/>
      <c r="L418" s="2517"/>
      <c r="M418" s="2517"/>
      <c r="N418" s="2517"/>
      <c r="O418" s="2517"/>
      <c r="P418" s="2517"/>
      <c r="Q418" s="2517"/>
      <c r="R418" s="2517"/>
      <c r="S418" s="2517"/>
      <c r="T418" s="2517"/>
      <c r="U418" s="2517"/>
      <c r="V418" s="2517"/>
      <c r="W418" s="2517"/>
      <c r="X418" s="2517"/>
      <c r="Y418" s="2517"/>
      <c r="Z418" s="2517"/>
      <c r="AA418" s="2517"/>
      <c r="AB418" s="2517"/>
      <c r="AC418" s="2517"/>
      <c r="AD418" s="2517"/>
      <c r="AE418" s="2517"/>
      <c r="AF418" s="539"/>
      <c r="AG418" s="536"/>
      <c r="AH418" s="550"/>
      <c r="AI418" s="550"/>
      <c r="AJ418" s="550"/>
      <c r="AK418" s="550"/>
      <c r="AL418" s="732"/>
      <c r="AM418" s="570"/>
    </row>
    <row r="419" spans="1:55" s="550" customFormat="1" ht="12.75" customHeight="1">
      <c r="A419" s="536"/>
      <c r="B419" s="14"/>
      <c r="C419" s="731"/>
      <c r="D419" s="14"/>
      <c r="E419" s="691"/>
      <c r="F419" s="2517"/>
      <c r="G419" s="2517"/>
      <c r="H419" s="2517"/>
      <c r="I419" s="2517"/>
      <c r="J419" s="2517"/>
      <c r="K419" s="2517"/>
      <c r="L419" s="2517"/>
      <c r="M419" s="2517"/>
      <c r="N419" s="2517"/>
      <c r="O419" s="2517"/>
      <c r="P419" s="2517"/>
      <c r="Q419" s="2517"/>
      <c r="R419" s="2517"/>
      <c r="S419" s="2517"/>
      <c r="T419" s="2517"/>
      <c r="U419" s="2517"/>
      <c r="V419" s="2517"/>
      <c r="W419" s="2517"/>
      <c r="X419" s="2517"/>
      <c r="Y419" s="2517"/>
      <c r="Z419" s="2517"/>
      <c r="AA419" s="2517"/>
      <c r="AB419" s="2517"/>
      <c r="AC419" s="2517"/>
      <c r="AD419" s="2517"/>
      <c r="AE419" s="2517"/>
      <c r="AL419" s="732"/>
      <c r="AM419" s="570"/>
      <c r="AN419" s="597"/>
    </row>
    <row r="420" spans="1:55" s="550" customFormat="1" ht="12.75" customHeight="1">
      <c r="A420" s="536"/>
      <c r="B420" s="14"/>
      <c r="C420" s="739"/>
      <c r="F420" s="2517"/>
      <c r="G420" s="2517"/>
      <c r="H420" s="2517"/>
      <c r="I420" s="2517"/>
      <c r="J420" s="2517"/>
      <c r="K420" s="2517"/>
      <c r="L420" s="2517"/>
      <c r="M420" s="2517"/>
      <c r="N420" s="2517"/>
      <c r="O420" s="2517"/>
      <c r="P420" s="2517"/>
      <c r="Q420" s="2517"/>
      <c r="R420" s="2517"/>
      <c r="S420" s="2517"/>
      <c r="T420" s="2517"/>
      <c r="U420" s="2517"/>
      <c r="V420" s="2517"/>
      <c r="W420" s="2517"/>
      <c r="X420" s="2517"/>
      <c r="Y420" s="2517"/>
      <c r="Z420" s="2517"/>
      <c r="AA420" s="2517"/>
      <c r="AB420" s="2517"/>
      <c r="AC420" s="2517"/>
      <c r="AD420" s="2517"/>
      <c r="AE420" s="2517"/>
      <c r="AL420" s="732"/>
      <c r="AM420" s="570"/>
      <c r="AN420" s="597"/>
    </row>
    <row r="421" spans="1:55" s="550" customFormat="1" ht="12.75" customHeight="1">
      <c r="A421" s="536"/>
      <c r="B421" s="14"/>
      <c r="C421" s="2513" t="s">
        <v>592</v>
      </c>
      <c r="D421" s="247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8" t="s">
        <v>1463</v>
      </c>
      <c r="AG421" s="2438"/>
      <c r="AH421" s="2438"/>
      <c r="AI421" s="2438"/>
      <c r="AJ421" s="2438"/>
      <c r="AK421" s="2438"/>
      <c r="AL421" s="2518"/>
      <c r="AM421" s="570"/>
      <c r="AN421" s="597"/>
    </row>
    <row r="422" spans="1:55" s="550" customFormat="1" ht="12.75" customHeight="1">
      <c r="A422" s="536"/>
      <c r="B422" s="14"/>
      <c r="C422" s="739"/>
      <c r="AL422" s="732"/>
      <c r="AM422" s="570"/>
      <c r="AN422" s="597"/>
    </row>
    <row r="423" spans="1:55" s="550" customFormat="1" ht="12.75" customHeight="1">
      <c r="A423" s="536"/>
      <c r="B423" s="14"/>
      <c r="C423" s="2513" t="s">
        <v>592</v>
      </c>
      <c r="D423" s="247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8" t="s">
        <v>1475</v>
      </c>
      <c r="AG423" s="2438"/>
      <c r="AH423" s="2438"/>
      <c r="AI423" s="2438"/>
      <c r="AJ423" s="2438"/>
      <c r="AK423" s="2438"/>
      <c r="AL423" s="251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6" t="s">
        <v>1483</v>
      </c>
      <c r="G427" s="2516"/>
      <c r="H427" s="2516"/>
      <c r="I427" s="2516"/>
      <c r="J427" s="2516"/>
      <c r="K427" s="2516"/>
      <c r="L427" s="2516"/>
      <c r="M427" s="2516"/>
      <c r="N427" s="2516"/>
      <c r="O427" s="2516"/>
      <c r="P427" s="2516"/>
      <c r="Q427" s="2516"/>
      <c r="R427" s="2516"/>
      <c r="S427" s="2516"/>
      <c r="T427" s="2516"/>
      <c r="U427" s="2516"/>
      <c r="V427" s="2516"/>
      <c r="W427" s="2516"/>
      <c r="X427" s="2516"/>
      <c r="Y427" s="2516"/>
      <c r="Z427" s="2516"/>
      <c r="AA427" s="2516"/>
      <c r="AB427" s="2516"/>
      <c r="AC427" s="2516"/>
      <c r="AD427" s="2516"/>
      <c r="AE427" s="2516"/>
      <c r="AF427" s="714"/>
      <c r="AG427" s="714"/>
      <c r="AH427" s="714"/>
      <c r="AI427" s="714"/>
      <c r="AJ427" s="714"/>
      <c r="AK427" s="714"/>
      <c r="AL427" s="745"/>
      <c r="AM427" s="570"/>
      <c r="AN427" s="597"/>
    </row>
    <row r="428" spans="1:55" s="550" customFormat="1" ht="12.75" customHeight="1">
      <c r="A428" s="536"/>
      <c r="B428" s="14"/>
      <c r="C428" s="731"/>
      <c r="D428" s="14"/>
      <c r="E428" s="691"/>
      <c r="F428" s="2517"/>
      <c r="G428" s="2517"/>
      <c r="H428" s="2517"/>
      <c r="I428" s="2517"/>
      <c r="J428" s="2517"/>
      <c r="K428" s="2517"/>
      <c r="L428" s="2517"/>
      <c r="M428" s="2517"/>
      <c r="N428" s="2517"/>
      <c r="O428" s="2517"/>
      <c r="P428" s="2517"/>
      <c r="Q428" s="2517"/>
      <c r="R428" s="2517"/>
      <c r="S428" s="2517"/>
      <c r="T428" s="2517"/>
      <c r="U428" s="2517"/>
      <c r="V428" s="2517"/>
      <c r="W428" s="2517"/>
      <c r="X428" s="2517"/>
      <c r="Y428" s="2517"/>
      <c r="Z428" s="2517"/>
      <c r="AA428" s="2517"/>
      <c r="AB428" s="2517"/>
      <c r="AC428" s="2517"/>
      <c r="AD428" s="2517"/>
      <c r="AE428" s="2517"/>
      <c r="AF428" s="539"/>
      <c r="AG428" s="536"/>
      <c r="AL428" s="732"/>
      <c r="AM428" s="570"/>
      <c r="AN428" s="597"/>
    </row>
    <row r="429" spans="1:55" s="550" customFormat="1" ht="12.4" customHeight="1">
      <c r="A429" s="536"/>
      <c r="B429" s="14"/>
      <c r="C429" s="731"/>
      <c r="D429" s="14"/>
      <c r="E429" s="691"/>
      <c r="F429" s="2517"/>
      <c r="G429" s="2517"/>
      <c r="H429" s="2517"/>
      <c r="I429" s="2517"/>
      <c r="J429" s="2517"/>
      <c r="K429" s="2517"/>
      <c r="L429" s="2517"/>
      <c r="M429" s="2517"/>
      <c r="N429" s="2517"/>
      <c r="O429" s="2517"/>
      <c r="P429" s="2517"/>
      <c r="Q429" s="2517"/>
      <c r="R429" s="2517"/>
      <c r="S429" s="2517"/>
      <c r="T429" s="2517"/>
      <c r="U429" s="2517"/>
      <c r="V429" s="2517"/>
      <c r="W429" s="2517"/>
      <c r="X429" s="2517"/>
      <c r="Y429" s="2517"/>
      <c r="Z429" s="2517"/>
      <c r="AA429" s="2517"/>
      <c r="AB429" s="2517"/>
      <c r="AC429" s="2517"/>
      <c r="AD429" s="2517"/>
      <c r="AE429" s="2517"/>
      <c r="AL429" s="732"/>
      <c r="AM429" s="570"/>
      <c r="AN429" s="597"/>
    </row>
    <row r="430" spans="1:55" s="550" customFormat="1" ht="12.75" customHeight="1">
      <c r="A430" s="536"/>
      <c r="B430" s="14"/>
      <c r="C430" s="2513" t="s">
        <v>592</v>
      </c>
      <c r="D430" s="247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8" t="s">
        <v>1463</v>
      </c>
      <c r="AG430" s="2438"/>
      <c r="AH430" s="2438"/>
      <c r="AI430" s="2438"/>
      <c r="AJ430" s="2438"/>
      <c r="AK430" s="2438"/>
      <c r="AL430" s="251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6" t="s">
        <v>1486</v>
      </c>
      <c r="G433" s="2516"/>
      <c r="H433" s="2516"/>
      <c r="I433" s="2516"/>
      <c r="J433" s="2516"/>
      <c r="K433" s="2516"/>
      <c r="L433" s="2516"/>
      <c r="M433" s="2516"/>
      <c r="N433" s="2516"/>
      <c r="O433" s="2516"/>
      <c r="P433" s="2516"/>
      <c r="Q433" s="2516"/>
      <c r="R433" s="2516"/>
      <c r="S433" s="2516"/>
      <c r="T433" s="2516"/>
      <c r="U433" s="2516"/>
      <c r="V433" s="2516"/>
      <c r="W433" s="2516"/>
      <c r="X433" s="2516"/>
      <c r="Y433" s="2516"/>
      <c r="Z433" s="2516"/>
      <c r="AA433" s="2516"/>
      <c r="AB433" s="2516"/>
      <c r="AC433" s="2516"/>
      <c r="AD433" s="2516"/>
      <c r="AE433" s="2516"/>
      <c r="AF433" s="747"/>
      <c r="AG433" s="747"/>
      <c r="AH433" s="747"/>
      <c r="AI433" s="747"/>
      <c r="AJ433" s="747"/>
      <c r="AK433" s="747"/>
      <c r="AL433" s="748"/>
      <c r="AM433" s="570"/>
      <c r="AO433" s="550"/>
      <c r="AP433" s="550"/>
      <c r="BD433" s="14"/>
      <c r="BE433" s="14"/>
      <c r="BF433" s="14"/>
      <c r="BG433" s="14"/>
      <c r="BH433" s="14"/>
    </row>
    <row r="434" spans="1:60">
      <c r="A434" s="536"/>
      <c r="C434" s="731"/>
      <c r="E434" s="691"/>
      <c r="F434" s="2517"/>
      <c r="G434" s="2517"/>
      <c r="H434" s="2517"/>
      <c r="I434" s="2517"/>
      <c r="J434" s="2517"/>
      <c r="K434" s="2517"/>
      <c r="L434" s="2517"/>
      <c r="M434" s="2517"/>
      <c r="N434" s="2517"/>
      <c r="O434" s="2517"/>
      <c r="P434" s="2517"/>
      <c r="Q434" s="2517"/>
      <c r="R434" s="2517"/>
      <c r="S434" s="2517"/>
      <c r="T434" s="2517"/>
      <c r="U434" s="2517"/>
      <c r="V434" s="2517"/>
      <c r="W434" s="2517"/>
      <c r="X434" s="2517"/>
      <c r="Y434" s="2517"/>
      <c r="Z434" s="2517"/>
      <c r="AA434" s="2517"/>
      <c r="AB434" s="2517"/>
      <c r="AC434" s="2517"/>
      <c r="AD434" s="2517"/>
      <c r="AE434" s="2517"/>
      <c r="AF434" s="594"/>
      <c r="AG434" s="594"/>
      <c r="AH434" s="594"/>
      <c r="AI434" s="594"/>
      <c r="AJ434" s="594"/>
      <c r="AK434" s="594"/>
      <c r="AL434" s="750"/>
      <c r="AM434" s="570"/>
      <c r="AO434" s="550"/>
      <c r="AP434" s="550"/>
    </row>
    <row r="435" spans="1:60" s="550" customFormat="1" ht="12.75" customHeight="1">
      <c r="A435" s="536"/>
      <c r="B435" s="14"/>
      <c r="C435" s="731"/>
      <c r="D435" s="14"/>
      <c r="E435" s="691"/>
      <c r="F435" s="2517"/>
      <c r="G435" s="2517"/>
      <c r="H435" s="2517"/>
      <c r="I435" s="2517"/>
      <c r="J435" s="2517"/>
      <c r="K435" s="2517"/>
      <c r="L435" s="2517"/>
      <c r="M435" s="2517"/>
      <c r="N435" s="2517"/>
      <c r="O435" s="2517"/>
      <c r="P435" s="2517"/>
      <c r="Q435" s="2517"/>
      <c r="R435" s="2517"/>
      <c r="S435" s="2517"/>
      <c r="T435" s="2517"/>
      <c r="U435" s="2517"/>
      <c r="V435" s="2517"/>
      <c r="W435" s="2517"/>
      <c r="X435" s="2517"/>
      <c r="Y435" s="2517"/>
      <c r="Z435" s="2517"/>
      <c r="AA435" s="2517"/>
      <c r="AB435" s="2517"/>
      <c r="AC435" s="2517"/>
      <c r="AD435" s="2517"/>
      <c r="AE435" s="2517"/>
      <c r="AF435" s="594"/>
      <c r="AG435" s="594"/>
      <c r="AH435" s="594"/>
      <c r="AI435" s="594"/>
      <c r="AJ435" s="594"/>
      <c r="AK435" s="594"/>
      <c r="AL435" s="750"/>
      <c r="AM435" s="570"/>
      <c r="AN435" s="597"/>
    </row>
    <row r="436" spans="1:60" s="550" customFormat="1" ht="12.75" customHeight="1">
      <c r="A436" s="536"/>
      <c r="B436" s="14"/>
      <c r="C436" s="751"/>
      <c r="D436" s="730"/>
      <c r="E436" s="719"/>
      <c r="F436" s="2517"/>
      <c r="G436" s="2517"/>
      <c r="H436" s="2517"/>
      <c r="I436" s="2517"/>
      <c r="J436" s="2517"/>
      <c r="K436" s="2517"/>
      <c r="L436" s="2517"/>
      <c r="M436" s="2517"/>
      <c r="N436" s="2517"/>
      <c r="O436" s="2517"/>
      <c r="P436" s="2517"/>
      <c r="Q436" s="2517"/>
      <c r="R436" s="2517"/>
      <c r="S436" s="2517"/>
      <c r="T436" s="2517"/>
      <c r="U436" s="2517"/>
      <c r="V436" s="2517"/>
      <c r="W436" s="2517"/>
      <c r="X436" s="2517"/>
      <c r="Y436" s="2517"/>
      <c r="Z436" s="2517"/>
      <c r="AA436" s="2517"/>
      <c r="AB436" s="2517"/>
      <c r="AC436" s="2517"/>
      <c r="AD436" s="2517"/>
      <c r="AE436" s="251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7"/>
      <c r="G437" s="2517"/>
      <c r="H437" s="2517"/>
      <c r="I437" s="2517"/>
      <c r="J437" s="2517"/>
      <c r="K437" s="2517"/>
      <c r="L437" s="2517"/>
      <c r="M437" s="2517"/>
      <c r="N437" s="2517"/>
      <c r="O437" s="2517"/>
      <c r="P437" s="2517"/>
      <c r="Q437" s="2517"/>
      <c r="R437" s="2517"/>
      <c r="S437" s="2517"/>
      <c r="T437" s="2517"/>
      <c r="U437" s="2517"/>
      <c r="V437" s="2517"/>
      <c r="W437" s="2517"/>
      <c r="X437" s="2517"/>
      <c r="Y437" s="2517"/>
      <c r="Z437" s="2517"/>
      <c r="AA437" s="2517"/>
      <c r="AB437" s="2517"/>
      <c r="AC437" s="2517"/>
      <c r="AD437" s="2517"/>
      <c r="AE437" s="2517"/>
      <c r="AF437" s="594"/>
      <c r="AG437" s="594"/>
      <c r="AH437" s="594"/>
      <c r="AI437" s="594"/>
      <c r="AJ437" s="594"/>
      <c r="AK437" s="594"/>
      <c r="AL437" s="750"/>
      <c r="AM437" s="570"/>
      <c r="AN437" s="597"/>
    </row>
    <row r="438" spans="1:60" s="550" customFormat="1" ht="12.75" customHeight="1">
      <c r="A438" s="536"/>
      <c r="B438" s="14"/>
      <c r="C438" s="751"/>
      <c r="D438" s="730"/>
      <c r="E438" s="719"/>
      <c r="F438" s="2517"/>
      <c r="G438" s="2517"/>
      <c r="H438" s="2517"/>
      <c r="I438" s="2517"/>
      <c r="J438" s="2517"/>
      <c r="K438" s="2517"/>
      <c r="L438" s="2517"/>
      <c r="M438" s="2517"/>
      <c r="N438" s="2517"/>
      <c r="O438" s="2517"/>
      <c r="P438" s="2517"/>
      <c r="Q438" s="2517"/>
      <c r="R438" s="2517"/>
      <c r="S438" s="2517"/>
      <c r="T438" s="2517"/>
      <c r="U438" s="2517"/>
      <c r="V438" s="2517"/>
      <c r="W438" s="2517"/>
      <c r="X438" s="2517"/>
      <c r="Y438" s="2517"/>
      <c r="Z438" s="2517"/>
      <c r="AA438" s="2517"/>
      <c r="AB438" s="2517"/>
      <c r="AC438" s="2517"/>
      <c r="AD438" s="2517"/>
      <c r="AE438" s="2517"/>
      <c r="AF438" s="594"/>
      <c r="AG438" s="594"/>
      <c r="AH438" s="594"/>
      <c r="AI438" s="594"/>
      <c r="AJ438" s="594"/>
      <c r="AK438" s="594"/>
      <c r="AL438" s="750"/>
      <c r="AM438" s="570"/>
      <c r="AN438" s="597"/>
    </row>
    <row r="439" spans="1:60" s="550" customFormat="1" ht="12.75" customHeight="1">
      <c r="A439" s="536"/>
      <c r="B439" s="14"/>
      <c r="C439" s="751"/>
      <c r="D439" s="730"/>
      <c r="E439" s="719"/>
      <c r="F439" s="2517"/>
      <c r="G439" s="2517"/>
      <c r="H439" s="2517"/>
      <c r="I439" s="2517"/>
      <c r="J439" s="2517"/>
      <c r="K439" s="2517"/>
      <c r="L439" s="2517"/>
      <c r="M439" s="2517"/>
      <c r="N439" s="2517"/>
      <c r="O439" s="2517"/>
      <c r="P439" s="2517"/>
      <c r="Q439" s="2517"/>
      <c r="R439" s="2517"/>
      <c r="S439" s="2517"/>
      <c r="T439" s="2517"/>
      <c r="U439" s="2517"/>
      <c r="V439" s="2517"/>
      <c r="W439" s="2517"/>
      <c r="X439" s="2517"/>
      <c r="Y439" s="2517"/>
      <c r="Z439" s="2517"/>
      <c r="AA439" s="2517"/>
      <c r="AB439" s="2517"/>
      <c r="AC439" s="2517"/>
      <c r="AD439" s="2517"/>
      <c r="AE439" s="2517"/>
      <c r="AF439" s="594"/>
      <c r="AG439" s="594"/>
      <c r="AH439" s="594"/>
      <c r="AI439" s="594"/>
      <c r="AJ439" s="594"/>
      <c r="AK439" s="594"/>
      <c r="AL439" s="750"/>
      <c r="AM439" s="570"/>
      <c r="AN439" s="597"/>
    </row>
    <row r="440" spans="1:60" s="550" customFormat="1" ht="12.75" customHeight="1">
      <c r="A440" s="536"/>
      <c r="B440" s="14"/>
      <c r="C440" s="751"/>
      <c r="D440" s="730"/>
      <c r="E440" s="719"/>
      <c r="F440" s="2517"/>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594"/>
      <c r="AG440" s="594"/>
      <c r="AH440" s="594"/>
      <c r="AI440" s="594"/>
      <c r="AJ440" s="594"/>
      <c r="AK440" s="594"/>
      <c r="AL440" s="750"/>
      <c r="AM440" s="570"/>
      <c r="AN440" s="597"/>
    </row>
    <row r="441" spans="1:60" s="550" customFormat="1" ht="17.25" customHeight="1">
      <c r="A441" s="536"/>
      <c r="B441" s="14"/>
      <c r="C441" s="751"/>
      <c r="D441" s="730"/>
      <c r="E441" s="719"/>
      <c r="F441" s="2517"/>
      <c r="G441" s="2517"/>
      <c r="H441" s="2517"/>
      <c r="I441" s="2517"/>
      <c r="J441" s="2517"/>
      <c r="K441" s="2517"/>
      <c r="L441" s="2517"/>
      <c r="M441" s="2517"/>
      <c r="N441" s="2517"/>
      <c r="O441" s="2517"/>
      <c r="P441" s="2517"/>
      <c r="Q441" s="2517"/>
      <c r="R441" s="2517"/>
      <c r="S441" s="2517"/>
      <c r="T441" s="2517"/>
      <c r="U441" s="2517"/>
      <c r="V441" s="2517"/>
      <c r="W441" s="2517"/>
      <c r="X441" s="2517"/>
      <c r="Y441" s="2517"/>
      <c r="Z441" s="2517"/>
      <c r="AA441" s="2517"/>
      <c r="AB441" s="2517"/>
      <c r="AC441" s="2517"/>
      <c r="AD441" s="2517"/>
      <c r="AE441" s="2517"/>
      <c r="AL441" s="732"/>
      <c r="AM441" s="570"/>
      <c r="AN441" s="597"/>
    </row>
    <row r="442" spans="1:60" s="550" customFormat="1" ht="12.75" customHeight="1">
      <c r="A442" s="536"/>
      <c r="B442" s="14"/>
      <c r="C442" s="2513" t="s">
        <v>592</v>
      </c>
      <c r="D442" s="247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8" t="s">
        <v>1463</v>
      </c>
      <c r="AG442" s="2438"/>
      <c r="AH442" s="2438"/>
      <c r="AI442" s="2438"/>
      <c r="AJ442" s="2438"/>
      <c r="AK442" s="2438"/>
      <c r="AL442" s="251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6" t="s">
        <v>1489</v>
      </c>
      <c r="G445" s="2516"/>
      <c r="H445" s="2516"/>
      <c r="I445" s="2516"/>
      <c r="J445" s="2516"/>
      <c r="K445" s="2516"/>
      <c r="L445" s="2516"/>
      <c r="M445" s="2516"/>
      <c r="N445" s="2516"/>
      <c r="O445" s="2516"/>
      <c r="P445" s="2516"/>
      <c r="Q445" s="2516"/>
      <c r="R445" s="2516"/>
      <c r="S445" s="2516"/>
      <c r="T445" s="2516"/>
      <c r="U445" s="2516"/>
      <c r="V445" s="2516"/>
      <c r="W445" s="2516"/>
      <c r="X445" s="2516"/>
      <c r="Y445" s="2516"/>
      <c r="Z445" s="2516"/>
      <c r="AA445" s="2516"/>
      <c r="AB445" s="2516"/>
      <c r="AC445" s="2516"/>
      <c r="AD445" s="2516"/>
      <c r="AE445" s="2516"/>
      <c r="AF445" s="714"/>
      <c r="AG445" s="714"/>
      <c r="AH445" s="714"/>
      <c r="AI445" s="714"/>
      <c r="AJ445" s="714"/>
      <c r="AK445" s="714"/>
      <c r="AL445" s="745"/>
      <c r="AM445" s="570"/>
      <c r="AN445" s="597"/>
    </row>
    <row r="446" spans="1:60" s="550" customFormat="1" ht="12.75" customHeight="1">
      <c r="A446" s="536"/>
      <c r="B446" s="14"/>
      <c r="C446" s="751"/>
      <c r="D446" s="730"/>
      <c r="E446" s="719"/>
      <c r="F446" s="2517"/>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591"/>
      <c r="AG446" s="591"/>
      <c r="AH446" s="591"/>
      <c r="AI446" s="591"/>
      <c r="AJ446" s="591"/>
      <c r="AK446" s="591"/>
      <c r="AL446" s="720"/>
      <c r="AM446" s="570"/>
      <c r="AN446" s="597"/>
    </row>
    <row r="447" spans="1:60" s="550" customFormat="1" ht="12.75" customHeight="1">
      <c r="A447" s="536"/>
      <c r="B447" s="14"/>
      <c r="C447" s="751"/>
      <c r="D447" s="730"/>
      <c r="E447" s="719"/>
      <c r="F447" s="2517"/>
      <c r="G447" s="2517"/>
      <c r="H447" s="2517"/>
      <c r="I447" s="2517"/>
      <c r="J447" s="2517"/>
      <c r="K447" s="2517"/>
      <c r="L447" s="2517"/>
      <c r="M447" s="2517"/>
      <c r="N447" s="2517"/>
      <c r="O447" s="2517"/>
      <c r="P447" s="2517"/>
      <c r="Q447" s="2517"/>
      <c r="R447" s="2517"/>
      <c r="S447" s="2517"/>
      <c r="T447" s="2517"/>
      <c r="U447" s="2517"/>
      <c r="V447" s="2517"/>
      <c r="W447" s="2517"/>
      <c r="X447" s="2517"/>
      <c r="Y447" s="2517"/>
      <c r="Z447" s="2517"/>
      <c r="AA447" s="2517"/>
      <c r="AB447" s="2517"/>
      <c r="AC447" s="2517"/>
      <c r="AD447" s="2517"/>
      <c r="AE447" s="2517"/>
      <c r="AF447" s="591"/>
      <c r="AG447" s="591"/>
      <c r="AH447" s="591"/>
      <c r="AI447" s="591"/>
      <c r="AJ447" s="591"/>
      <c r="AK447" s="591"/>
      <c r="AL447" s="720"/>
      <c r="AM447" s="570"/>
      <c r="AN447" s="597"/>
    </row>
    <row r="448" spans="1:60" s="550" customFormat="1" ht="12.75" customHeight="1">
      <c r="A448" s="536"/>
      <c r="B448" s="14"/>
      <c r="C448" s="751"/>
      <c r="D448" s="730"/>
      <c r="E448" s="719"/>
      <c r="F448" s="2517"/>
      <c r="G448" s="2517"/>
      <c r="H448" s="2517"/>
      <c r="I448" s="2517"/>
      <c r="J448" s="2517"/>
      <c r="K448" s="2517"/>
      <c r="L448" s="2517"/>
      <c r="M448" s="2517"/>
      <c r="N448" s="2517"/>
      <c r="O448" s="2517"/>
      <c r="P448" s="2517"/>
      <c r="Q448" s="2517"/>
      <c r="R448" s="2517"/>
      <c r="S448" s="2517"/>
      <c r="T448" s="2517"/>
      <c r="U448" s="2517"/>
      <c r="V448" s="2517"/>
      <c r="W448" s="2517"/>
      <c r="X448" s="2517"/>
      <c r="Y448" s="2517"/>
      <c r="Z448" s="2517"/>
      <c r="AA448" s="2517"/>
      <c r="AB448" s="2517"/>
      <c r="AC448" s="2517"/>
      <c r="AD448" s="2517"/>
      <c r="AE448" s="2517"/>
      <c r="AL448" s="732"/>
      <c r="AM448" s="570"/>
      <c r="AN448" s="597"/>
    </row>
    <row r="449" spans="1:40" s="550" customFormat="1" ht="12.75" customHeight="1">
      <c r="A449" s="536"/>
      <c r="B449" s="14"/>
      <c r="C449" s="2513" t="s">
        <v>592</v>
      </c>
      <c r="D449" s="247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8" t="s">
        <v>1463</v>
      </c>
      <c r="AG449" s="2438"/>
      <c r="AH449" s="2438"/>
      <c r="AI449" s="2438"/>
      <c r="AJ449" s="2438"/>
      <c r="AK449" s="2438"/>
      <c r="AL449" s="251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9" t="s">
        <v>592</v>
      </c>
      <c r="D453" s="2520"/>
      <c r="E453" s="715" t="s">
        <v>1498</v>
      </c>
      <c r="F453" s="2516" t="s">
        <v>1499</v>
      </c>
      <c r="G453" s="2516"/>
      <c r="H453" s="2516"/>
      <c r="I453" s="2516"/>
      <c r="J453" s="2516"/>
      <c r="K453" s="2516"/>
      <c r="L453" s="2516"/>
      <c r="M453" s="2516"/>
      <c r="N453" s="2516"/>
      <c r="O453" s="2516"/>
      <c r="P453" s="2516"/>
      <c r="Q453" s="2516"/>
      <c r="R453" s="2516"/>
      <c r="S453" s="2516"/>
      <c r="T453" s="2516"/>
      <c r="U453" s="2516"/>
      <c r="V453" s="2516"/>
      <c r="W453" s="2516"/>
      <c r="X453" s="2516"/>
      <c r="Y453" s="2516"/>
      <c r="Z453" s="2516"/>
      <c r="AA453" s="2516"/>
      <c r="AB453" s="2516"/>
      <c r="AC453" s="2516"/>
      <c r="AD453" s="2516"/>
      <c r="AE453" s="2516"/>
      <c r="AF453" s="2537" t="s">
        <v>1463</v>
      </c>
      <c r="AG453" s="2537"/>
      <c r="AH453" s="2537"/>
      <c r="AI453" s="2537"/>
      <c r="AJ453" s="2537"/>
      <c r="AK453" s="2537"/>
      <c r="AL453" s="2538"/>
      <c r="AM453" s="570"/>
      <c r="AN453" s="753"/>
    </row>
    <row r="454" spans="1:40" s="550" customFormat="1" ht="12.75" customHeight="1">
      <c r="A454" s="536"/>
      <c r="B454" s="14"/>
      <c r="C454" s="751"/>
      <c r="D454" s="730"/>
      <c r="E454" s="719"/>
      <c r="F454" s="2517"/>
      <c r="G454" s="2517"/>
      <c r="H454" s="2517"/>
      <c r="I454" s="2517"/>
      <c r="J454" s="2517"/>
      <c r="K454" s="2517"/>
      <c r="L454" s="2517"/>
      <c r="M454" s="2517"/>
      <c r="N454" s="2517"/>
      <c r="O454" s="2517"/>
      <c r="P454" s="2517"/>
      <c r="Q454" s="2517"/>
      <c r="R454" s="2517"/>
      <c r="S454" s="2517"/>
      <c r="T454" s="2517"/>
      <c r="U454" s="2517"/>
      <c r="V454" s="2517"/>
      <c r="W454" s="2517"/>
      <c r="X454" s="2517"/>
      <c r="Y454" s="2517"/>
      <c r="Z454" s="2517"/>
      <c r="AA454" s="2517"/>
      <c r="AB454" s="2517"/>
      <c r="AC454" s="2517"/>
      <c r="AD454" s="2517"/>
      <c r="AE454" s="2517"/>
      <c r="AF454" s="591"/>
      <c r="AG454" s="591"/>
      <c r="AH454" s="591"/>
      <c r="AI454" s="591"/>
      <c r="AJ454" s="591"/>
      <c r="AK454" s="591"/>
      <c r="AL454" s="720"/>
      <c r="AM454" s="570"/>
      <c r="AN454" s="754"/>
    </row>
    <row r="455" spans="1:40" s="550" customFormat="1" ht="17.649999999999999" customHeight="1">
      <c r="A455" s="536"/>
      <c r="B455" s="14"/>
      <c r="C455" s="756"/>
      <c r="D455" s="723"/>
      <c r="E455" s="724"/>
      <c r="F455" s="2536"/>
      <c r="G455" s="2536"/>
      <c r="H455" s="2536"/>
      <c r="I455" s="2536"/>
      <c r="J455" s="2536"/>
      <c r="K455" s="2536"/>
      <c r="L455" s="2536"/>
      <c r="M455" s="2536"/>
      <c r="N455" s="2536"/>
      <c r="O455" s="2536"/>
      <c r="P455" s="2536"/>
      <c r="Q455" s="2536"/>
      <c r="R455" s="2536"/>
      <c r="S455" s="2536"/>
      <c r="T455" s="2536"/>
      <c r="U455" s="2536"/>
      <c r="V455" s="2536"/>
      <c r="W455" s="2536"/>
      <c r="X455" s="2536"/>
      <c r="Y455" s="2536"/>
      <c r="Z455" s="2536"/>
      <c r="AA455" s="2536"/>
      <c r="AB455" s="2536"/>
      <c r="AC455" s="2536"/>
      <c r="AD455" s="2536"/>
      <c r="AE455" s="25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3" t="s">
        <v>592</v>
      </c>
      <c r="D457" s="2470"/>
      <c r="E457" s="715" t="s">
        <v>1504</v>
      </c>
      <c r="F457" s="2516" t="s">
        <v>1505</v>
      </c>
      <c r="G457" s="2516"/>
      <c r="H457" s="2516"/>
      <c r="I457" s="2516"/>
      <c r="J457" s="2516"/>
      <c r="K457" s="2516"/>
      <c r="L457" s="2516"/>
      <c r="M457" s="2516"/>
      <c r="N457" s="2516"/>
      <c r="O457" s="2516"/>
      <c r="P457" s="2516"/>
      <c r="Q457" s="2516"/>
      <c r="R457" s="2516"/>
      <c r="S457" s="2516"/>
      <c r="T457" s="2516"/>
      <c r="U457" s="2516"/>
      <c r="V457" s="2516"/>
      <c r="W457" s="2516"/>
      <c r="X457" s="2516"/>
      <c r="Y457" s="2516"/>
      <c r="Z457" s="2516"/>
      <c r="AA457" s="2516"/>
      <c r="AB457" s="2516"/>
      <c r="AC457" s="2516"/>
      <c r="AD457" s="2516"/>
      <c r="AE457" s="2516"/>
      <c r="AF457" s="2537" t="s">
        <v>1463</v>
      </c>
      <c r="AG457" s="2537"/>
      <c r="AH457" s="2537"/>
      <c r="AI457" s="2537"/>
      <c r="AJ457" s="2537"/>
      <c r="AK457" s="2537"/>
      <c r="AL457" s="2538"/>
      <c r="AM457" s="570"/>
      <c r="AN457" s="535"/>
    </row>
    <row r="458" spans="1:40" s="550" customFormat="1" ht="12.75" customHeight="1">
      <c r="A458" s="536"/>
      <c r="B458" s="14"/>
      <c r="C458" s="731"/>
      <c r="D458" s="14"/>
      <c r="E458" s="691"/>
      <c r="F458" s="2517"/>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539"/>
      <c r="AG458" s="536"/>
      <c r="AL458" s="732"/>
      <c r="AM458" s="570"/>
      <c r="AN458" s="535"/>
    </row>
    <row r="459" spans="1:40" s="550" customFormat="1" ht="12.75" customHeight="1">
      <c r="A459" s="536"/>
      <c r="B459" s="14"/>
      <c r="C459" s="731"/>
      <c r="D459" s="14"/>
      <c r="E459" s="691"/>
      <c r="F459" s="2517"/>
      <c r="G459" s="2517"/>
      <c r="H459" s="2517"/>
      <c r="I459" s="2517"/>
      <c r="J459" s="2517"/>
      <c r="K459" s="2517"/>
      <c r="L459" s="2517"/>
      <c r="M459" s="2517"/>
      <c r="N459" s="2517"/>
      <c r="O459" s="2517"/>
      <c r="P459" s="2517"/>
      <c r="Q459" s="2517"/>
      <c r="R459" s="2517"/>
      <c r="S459" s="2517"/>
      <c r="T459" s="2517"/>
      <c r="U459" s="2517"/>
      <c r="V459" s="2517"/>
      <c r="W459" s="2517"/>
      <c r="X459" s="2517"/>
      <c r="Y459" s="2517"/>
      <c r="Z459" s="2517"/>
      <c r="AA459" s="2517"/>
      <c r="AB459" s="2517"/>
      <c r="AC459" s="2517"/>
      <c r="AD459" s="2517"/>
      <c r="AE459" s="2517"/>
      <c r="AF459" s="539"/>
      <c r="AG459" s="536"/>
      <c r="AL459" s="732"/>
      <c r="AM459" s="570"/>
      <c r="AN459" s="535"/>
    </row>
    <row r="460" spans="1:40" s="550" customFormat="1" ht="12.75" customHeight="1">
      <c r="A460" s="536"/>
      <c r="B460" s="14"/>
      <c r="C460" s="756"/>
      <c r="D460" s="723"/>
      <c r="E460" s="724"/>
      <c r="F460" s="2536"/>
      <c r="G460" s="2536"/>
      <c r="H460" s="2536"/>
      <c r="I460" s="2536"/>
      <c r="J460" s="2536"/>
      <c r="K460" s="2536"/>
      <c r="L460" s="2536"/>
      <c r="M460" s="2536"/>
      <c r="N460" s="2536"/>
      <c r="O460" s="2536"/>
      <c r="P460" s="2536"/>
      <c r="Q460" s="2536"/>
      <c r="R460" s="2536"/>
      <c r="S460" s="2536"/>
      <c r="T460" s="2536"/>
      <c r="U460" s="2536"/>
      <c r="V460" s="2536"/>
      <c r="W460" s="2536"/>
      <c r="X460" s="2536"/>
      <c r="Y460" s="2536"/>
      <c r="Z460" s="2536"/>
      <c r="AA460" s="2536"/>
      <c r="AB460" s="2536"/>
      <c r="AC460" s="2536"/>
      <c r="AD460" s="2536"/>
      <c r="AE460" s="25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6" t="s">
        <v>1508</v>
      </c>
      <c r="G462" s="2516"/>
      <c r="H462" s="2516"/>
      <c r="I462" s="2516"/>
      <c r="J462" s="2516"/>
      <c r="K462" s="2516"/>
      <c r="L462" s="2516"/>
      <c r="M462" s="2516"/>
      <c r="N462" s="2516"/>
      <c r="O462" s="2516"/>
      <c r="P462" s="2516"/>
      <c r="Q462" s="2516"/>
      <c r="R462" s="2516"/>
      <c r="S462" s="2516"/>
      <c r="T462" s="2516"/>
      <c r="U462" s="2516"/>
      <c r="V462" s="2516"/>
      <c r="W462" s="2516"/>
      <c r="X462" s="2516"/>
      <c r="Y462" s="2516"/>
      <c r="Z462" s="2516"/>
      <c r="AA462" s="2516"/>
      <c r="AB462" s="2516"/>
      <c r="AC462" s="2516"/>
      <c r="AD462" s="2516"/>
      <c r="AE462" s="2516"/>
      <c r="AF462" s="2516"/>
      <c r="AG462" s="744"/>
      <c r="AH462" s="714"/>
      <c r="AI462" s="714"/>
      <c r="AJ462" s="714"/>
      <c r="AK462" s="714"/>
      <c r="AL462" s="745"/>
      <c r="AM462" s="570"/>
      <c r="AN462" s="597"/>
    </row>
    <row r="463" spans="1:40" s="550" customFormat="1" ht="12.75" customHeight="1">
      <c r="A463" s="536"/>
      <c r="B463" s="14"/>
      <c r="C463" s="731"/>
      <c r="D463" s="14"/>
      <c r="E463" s="691"/>
      <c r="F463" s="2517"/>
      <c r="G463" s="2517"/>
      <c r="H463" s="2517"/>
      <c r="I463" s="2517"/>
      <c r="J463" s="2517"/>
      <c r="K463" s="2517"/>
      <c r="L463" s="2517"/>
      <c r="M463" s="2517"/>
      <c r="N463" s="2517"/>
      <c r="O463" s="2517"/>
      <c r="P463" s="2517"/>
      <c r="Q463" s="2517"/>
      <c r="R463" s="2517"/>
      <c r="S463" s="2517"/>
      <c r="T463" s="2517"/>
      <c r="U463" s="2517"/>
      <c r="V463" s="2517"/>
      <c r="W463" s="2517"/>
      <c r="X463" s="2517"/>
      <c r="Y463" s="2517"/>
      <c r="Z463" s="2517"/>
      <c r="AA463" s="2517"/>
      <c r="AB463" s="2517"/>
      <c r="AC463" s="2517"/>
      <c r="AD463" s="2517"/>
      <c r="AE463" s="2517"/>
      <c r="AF463" s="2517"/>
      <c r="AL463" s="732"/>
      <c r="AM463" s="570"/>
      <c r="AN463" s="597"/>
    </row>
    <row r="464" spans="1:40" s="550" customFormat="1" ht="12.75" customHeight="1">
      <c r="A464" s="536"/>
      <c r="B464" s="14"/>
      <c r="C464" s="739"/>
      <c r="F464" s="2517"/>
      <c r="G464" s="2517"/>
      <c r="H464" s="2517"/>
      <c r="I464" s="2517"/>
      <c r="J464" s="2517"/>
      <c r="K464" s="2517"/>
      <c r="L464" s="2517"/>
      <c r="M464" s="2517"/>
      <c r="N464" s="2517"/>
      <c r="O464" s="2517"/>
      <c r="P464" s="2517"/>
      <c r="Q464" s="2517"/>
      <c r="R464" s="2517"/>
      <c r="S464" s="2517"/>
      <c r="T464" s="2517"/>
      <c r="U464" s="2517"/>
      <c r="V464" s="2517"/>
      <c r="W464" s="2517"/>
      <c r="X464" s="2517"/>
      <c r="Y464" s="2517"/>
      <c r="Z464" s="2517"/>
      <c r="AA464" s="2517"/>
      <c r="AB464" s="2517"/>
      <c r="AC464" s="2517"/>
      <c r="AD464" s="2517"/>
      <c r="AE464" s="2517"/>
      <c r="AF464" s="2517"/>
      <c r="AL464" s="732"/>
      <c r="AM464" s="570"/>
      <c r="AN464" s="597"/>
    </row>
    <row r="465" spans="1:58" s="550" customFormat="1" ht="12.75" customHeight="1">
      <c r="A465" s="536"/>
      <c r="B465" s="14"/>
      <c r="C465" s="739"/>
      <c r="F465" s="2517"/>
      <c r="G465" s="2517"/>
      <c r="H465" s="2517"/>
      <c r="I465" s="2517"/>
      <c r="J465" s="2517"/>
      <c r="K465" s="2517"/>
      <c r="L465" s="2517"/>
      <c r="M465" s="2517"/>
      <c r="N465" s="2517"/>
      <c r="O465" s="2517"/>
      <c r="P465" s="2517"/>
      <c r="Q465" s="2517"/>
      <c r="R465" s="2517"/>
      <c r="S465" s="2517"/>
      <c r="T465" s="2517"/>
      <c r="U465" s="2517"/>
      <c r="V465" s="2517"/>
      <c r="W465" s="2517"/>
      <c r="X465" s="2517"/>
      <c r="Y465" s="2517"/>
      <c r="Z465" s="2517"/>
      <c r="AA465" s="2517"/>
      <c r="AB465" s="2517"/>
      <c r="AC465" s="2517"/>
      <c r="AD465" s="2517"/>
      <c r="AE465" s="2517"/>
      <c r="AF465" s="2517"/>
      <c r="AL465" s="732"/>
      <c r="AM465" s="570"/>
      <c r="AN465" s="597"/>
    </row>
    <row r="466" spans="1:58" s="550" customFormat="1" ht="12.75" customHeight="1">
      <c r="A466" s="536"/>
      <c r="B466" s="14"/>
      <c r="C466" s="2513" t="s">
        <v>592</v>
      </c>
      <c r="D466" s="247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4" t="s">
        <v>1463</v>
      </c>
      <c r="AG466" s="2514"/>
      <c r="AH466" s="2514"/>
      <c r="AI466" s="2514"/>
      <c r="AJ466" s="2514"/>
      <c r="AK466" s="2514"/>
      <c r="AL466" s="251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3">
        <f>IF(Application!D214="N/A",AS358,AS360)</f>
        <v>10</v>
      </c>
      <c r="AL469" s="2474"/>
      <c r="AM469" s="247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4" t="s">
        <v>1512</v>
      </c>
      <c r="AF472" s="2514"/>
      <c r="AG472" s="2514"/>
      <c r="AH472" s="2514"/>
      <c r="AI472" s="2514"/>
      <c r="AJ472" s="2514"/>
      <c r="AK472" s="251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9" t="s">
        <v>592</v>
      </c>
      <c r="D478" s="2540"/>
      <c r="E478" s="761" t="s">
        <v>508</v>
      </c>
      <c r="F478" s="2541" t="s">
        <v>1518</v>
      </c>
      <c r="G478" s="2541"/>
      <c r="H478" s="2541"/>
      <c r="I478" s="2541"/>
      <c r="J478" s="2541"/>
      <c r="K478" s="2541"/>
      <c r="L478" s="2541"/>
      <c r="M478" s="2541"/>
      <c r="N478" s="2541"/>
      <c r="O478" s="2541"/>
      <c r="P478" s="2541"/>
      <c r="Q478" s="2541"/>
      <c r="R478" s="2541"/>
      <c r="S478" s="2541"/>
      <c r="T478" s="2541"/>
      <c r="U478" s="2541"/>
      <c r="V478" s="2541"/>
      <c r="W478" s="2541"/>
      <c r="X478" s="2541"/>
      <c r="Y478" s="2541"/>
      <c r="Z478" s="2541"/>
      <c r="AA478" s="2541"/>
      <c r="AB478" s="2541"/>
      <c r="AC478" s="2541"/>
      <c r="AD478" s="2541"/>
      <c r="AE478" s="2541"/>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2"/>
      <c r="G479" s="2542"/>
      <c r="H479" s="2542"/>
      <c r="I479" s="2542"/>
      <c r="J479" s="2542"/>
      <c r="K479" s="2542"/>
      <c r="L479" s="2542"/>
      <c r="M479" s="2542"/>
      <c r="N479" s="2542"/>
      <c r="O479" s="2542"/>
      <c r="P479" s="2542"/>
      <c r="Q479" s="2542"/>
      <c r="R479" s="2542"/>
      <c r="S479" s="2542"/>
      <c r="T479" s="2542"/>
      <c r="U479" s="2542"/>
      <c r="V479" s="2542"/>
      <c r="W479" s="2542"/>
      <c r="X479" s="2542"/>
      <c r="Y479" s="2542"/>
      <c r="Z479" s="2542"/>
      <c r="AA479" s="2542"/>
      <c r="AB479" s="2542"/>
      <c r="AC479" s="2542"/>
      <c r="AD479" s="2542"/>
      <c r="AE479" s="2542"/>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5" t="s">
        <v>592</v>
      </c>
      <c r="G480" s="2615"/>
      <c r="H480" s="2615"/>
      <c r="I480" s="2615"/>
      <c r="J480" s="2615"/>
      <c r="K480" s="2615"/>
      <c r="L480" s="2615"/>
      <c r="M480" s="2615"/>
      <c r="N480" s="2615"/>
      <c r="O480" s="2615"/>
      <c r="P480" s="2615"/>
      <c r="Q480" s="2615"/>
      <c r="R480" s="2615"/>
      <c r="S480" s="2615"/>
      <c r="T480" s="2615"/>
      <c r="U480" s="2615"/>
      <c r="V480" s="2615"/>
      <c r="W480" s="2615"/>
      <c r="X480" s="2615"/>
      <c r="Y480" s="2615"/>
      <c r="Z480" s="261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6" t="s">
        <v>546</v>
      </c>
      <c r="D482" s="261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4" t="s">
        <v>592</v>
      </c>
      <c r="W485" s="2614"/>
      <c r="X485" s="261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4" t="s">
        <v>592</v>
      </c>
      <c r="W487" s="2614"/>
      <c r="X487" s="261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4" t="s">
        <v>592</v>
      </c>
      <c r="W492" s="2614"/>
      <c r="X492" s="261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4"/>
      <c r="E495" s="260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4" t="s">
        <v>592</v>
      </c>
      <c r="W496" s="2614"/>
      <c r="X496" s="261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4" t="s">
        <v>592</v>
      </c>
      <c r="W498" s="2614"/>
      <c r="X498" s="261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9" t="s">
        <v>592</v>
      </c>
      <c r="D501" s="2540"/>
      <c r="E501" s="761" t="s">
        <v>508</v>
      </c>
      <c r="F501" s="2541" t="s">
        <v>1518</v>
      </c>
      <c r="G501" s="2541"/>
      <c r="H501" s="2541"/>
      <c r="I501" s="2541"/>
      <c r="J501" s="2541"/>
      <c r="K501" s="2541"/>
      <c r="L501" s="2541"/>
      <c r="M501" s="2541"/>
      <c r="N501" s="2541"/>
      <c r="O501" s="2541"/>
      <c r="P501" s="2541"/>
      <c r="Q501" s="2541"/>
      <c r="R501" s="2541"/>
      <c r="S501" s="2541"/>
      <c r="T501" s="2541"/>
      <c r="U501" s="2541"/>
      <c r="V501" s="2541"/>
      <c r="W501" s="2541"/>
      <c r="X501" s="2541"/>
      <c r="Y501" s="2541"/>
      <c r="Z501" s="2541"/>
      <c r="AA501" s="2541"/>
      <c r="AB501" s="2541"/>
      <c r="AC501" s="2541"/>
      <c r="AD501" s="2541"/>
      <c r="AE501" s="254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2"/>
      <c r="G502" s="2542"/>
      <c r="H502" s="2542"/>
      <c r="I502" s="2542"/>
      <c r="J502" s="2542"/>
      <c r="K502" s="2542"/>
      <c r="L502" s="2542"/>
      <c r="M502" s="2542"/>
      <c r="N502" s="2542"/>
      <c r="O502" s="2542"/>
      <c r="P502" s="2542"/>
      <c r="Q502" s="2542"/>
      <c r="R502" s="2542"/>
      <c r="S502" s="2542"/>
      <c r="T502" s="2542"/>
      <c r="U502" s="2542"/>
      <c r="V502" s="2542"/>
      <c r="W502" s="2542"/>
      <c r="X502" s="2542"/>
      <c r="Y502" s="2542"/>
      <c r="Z502" s="2542"/>
      <c r="AA502" s="2542"/>
      <c r="AB502" s="2542"/>
      <c r="AC502" s="2542"/>
      <c r="AD502" s="2542"/>
      <c r="AE502" s="254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0" t="s">
        <v>592</v>
      </c>
      <c r="G503" s="2610"/>
      <c r="H503" s="2610"/>
      <c r="I503" s="2610"/>
      <c r="J503" s="2610"/>
      <c r="K503" s="2610"/>
      <c r="L503" s="2610"/>
      <c r="M503" s="2610"/>
      <c r="N503" s="2610"/>
      <c r="O503" s="2610"/>
      <c r="P503" s="2610"/>
      <c r="Q503" s="2610"/>
      <c r="R503" s="2610"/>
      <c r="S503" s="2610"/>
      <c r="T503" s="2610"/>
      <c r="U503" s="2610"/>
      <c r="V503" s="2610"/>
      <c r="W503" s="2610"/>
      <c r="X503" s="2610"/>
      <c r="Y503" s="2610"/>
      <c r="Z503" s="261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9" t="s">
        <v>592</v>
      </c>
      <c r="D505" s="2540"/>
      <c r="E505" s="761" t="s">
        <v>758</v>
      </c>
      <c r="F505" s="2611" t="s">
        <v>1540</v>
      </c>
      <c r="G505" s="2611"/>
      <c r="H505" s="2611"/>
      <c r="I505" s="2611"/>
      <c r="J505" s="2611"/>
      <c r="K505" s="2611"/>
      <c r="L505" s="2611"/>
      <c r="M505" s="2611"/>
      <c r="N505" s="2611"/>
      <c r="O505" s="2611"/>
      <c r="P505" s="2611"/>
      <c r="Q505" s="2611"/>
      <c r="R505" s="2611"/>
      <c r="S505" s="2611"/>
      <c r="T505" s="2611"/>
      <c r="U505" s="2611"/>
      <c r="V505" s="2611"/>
      <c r="W505" s="2611"/>
      <c r="X505" s="2611"/>
      <c r="Y505" s="2611"/>
      <c r="Z505" s="2611"/>
      <c r="AA505" s="2611"/>
      <c r="AB505" s="2611"/>
      <c r="AC505" s="2611"/>
      <c r="AD505" s="2611"/>
      <c r="AE505" s="261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2"/>
      <c r="G506" s="2612"/>
      <c r="H506" s="2612"/>
      <c r="I506" s="2612"/>
      <c r="J506" s="2612"/>
      <c r="K506" s="2612"/>
      <c r="L506" s="2612"/>
      <c r="M506" s="2612"/>
      <c r="N506" s="2612"/>
      <c r="O506" s="2612"/>
      <c r="P506" s="2612"/>
      <c r="Q506" s="2612"/>
      <c r="R506" s="2612"/>
      <c r="S506" s="2612"/>
      <c r="T506" s="2612"/>
      <c r="U506" s="2612"/>
      <c r="V506" s="2612"/>
      <c r="W506" s="2612"/>
      <c r="X506" s="2612"/>
      <c r="Y506" s="2612"/>
      <c r="Z506" s="2612"/>
      <c r="AA506" s="2612"/>
      <c r="AB506" s="2612"/>
      <c r="AC506" s="2612"/>
      <c r="AD506" s="2612"/>
      <c r="AE506" s="261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3" t="s">
        <v>592</v>
      </c>
      <c r="G508" s="2613"/>
      <c r="H508" s="261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39" t="s">
        <v>592</v>
      </c>
      <c r="D510" s="254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3"/>
      <c r="D512" s="260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5" t="s">
        <v>592</v>
      </c>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260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3" t="s">
        <v>592</v>
      </c>
      <c r="D515" s="254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3" t="s">
        <v>592</v>
      </c>
      <c r="D519" s="2544"/>
      <c r="F519" s="795" t="s">
        <v>1548</v>
      </c>
      <c r="G519" s="2517" t="s">
        <v>1549</v>
      </c>
      <c r="H519" s="2517"/>
      <c r="I519" s="2517"/>
      <c r="J519" s="2517"/>
      <c r="K519" s="2517"/>
      <c r="L519" s="2517"/>
      <c r="M519" s="2517"/>
      <c r="N519" s="2517"/>
      <c r="O519" s="2517"/>
      <c r="P519" s="2517"/>
      <c r="Q519" s="2517"/>
      <c r="R519" s="2517"/>
      <c r="S519" s="2517"/>
      <c r="T519" s="2517"/>
      <c r="U519" s="2517"/>
      <c r="V519" s="2517"/>
      <c r="W519" s="2517"/>
      <c r="X519" s="2517"/>
      <c r="Y519" s="2517"/>
      <c r="Z519" s="2517"/>
      <c r="AA519" s="2517"/>
      <c r="AB519" s="2517"/>
      <c r="AC519" s="2517"/>
      <c r="AD519" s="2517"/>
      <c r="AE519" s="2517"/>
      <c r="AF519" s="251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6"/>
      <c r="H520" s="2536"/>
      <c r="I520" s="2536"/>
      <c r="J520" s="2536"/>
      <c r="K520" s="2536"/>
      <c r="L520" s="2536"/>
      <c r="M520" s="2536"/>
      <c r="N520" s="2536"/>
      <c r="O520" s="2536"/>
      <c r="P520" s="2536"/>
      <c r="Q520" s="2536"/>
      <c r="R520" s="2536"/>
      <c r="S520" s="2536"/>
      <c r="T520" s="2536"/>
      <c r="U520" s="2536"/>
      <c r="V520" s="2536"/>
      <c r="W520" s="2536"/>
      <c r="X520" s="2536"/>
      <c r="Y520" s="2536"/>
      <c r="Z520" s="2536"/>
      <c r="AA520" s="2536"/>
      <c r="AB520" s="2536"/>
      <c r="AC520" s="2536"/>
      <c r="AD520" s="2536"/>
      <c r="AE520" s="2536"/>
      <c r="AF520" s="25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5" t="s">
        <v>592</v>
      </c>
      <c r="D523" s="254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7" t="s">
        <v>592</v>
      </c>
      <c r="G524" s="2547"/>
      <c r="H524" s="2547"/>
      <c r="I524" s="2547"/>
      <c r="J524" s="2547"/>
      <c r="K524" s="2547"/>
      <c r="L524" s="2547"/>
      <c r="M524" s="2547"/>
      <c r="N524" s="2547"/>
      <c r="O524" s="2547"/>
      <c r="P524" s="2547"/>
      <c r="Q524" s="2547"/>
      <c r="R524" s="2547"/>
      <c r="S524" s="2547"/>
      <c r="T524" s="2547"/>
      <c r="U524" s="2547"/>
      <c r="V524" s="2547"/>
      <c r="W524" s="2547"/>
      <c r="X524" s="2547"/>
      <c r="Y524" s="2547"/>
      <c r="Z524" s="2547"/>
      <c r="AA524" s="2547"/>
      <c r="AB524" s="2547"/>
      <c r="AC524" s="2547"/>
      <c r="AD524" s="2547"/>
      <c r="AE524" s="2547"/>
      <c r="AF524" s="254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8"/>
      <c r="G525" s="2548"/>
      <c r="H525" s="2548"/>
      <c r="I525" s="2548"/>
      <c r="J525" s="2548"/>
      <c r="K525" s="2548"/>
      <c r="L525" s="2548"/>
      <c r="M525" s="2548"/>
      <c r="N525" s="2548"/>
      <c r="O525" s="2548"/>
      <c r="P525" s="2548"/>
      <c r="Q525" s="2548"/>
      <c r="R525" s="2548"/>
      <c r="S525" s="2548"/>
      <c r="T525" s="2548"/>
      <c r="U525" s="2548"/>
      <c r="V525" s="2548"/>
      <c r="W525" s="2548"/>
      <c r="X525" s="2548"/>
      <c r="Y525" s="2548"/>
      <c r="Z525" s="2548"/>
      <c r="AA525" s="2548"/>
      <c r="AB525" s="2548"/>
      <c r="AC525" s="2548"/>
      <c r="AD525" s="2548"/>
      <c r="AE525" s="2548"/>
      <c r="AF525" s="254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3">
        <f>SUM(AG479:AG524)</f>
        <v>0</v>
      </c>
      <c r="AL535" s="2474"/>
      <c r="AM535" s="247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3" t="s">
        <v>1561</v>
      </c>
      <c r="AF538" s="2403"/>
      <c r="AG538" s="2403"/>
      <c r="AH538" s="2403"/>
      <c r="AI538" s="2403"/>
      <c r="AJ538" s="2403"/>
      <c r="AK538" s="2403"/>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0" t="s">
        <v>546</v>
      </c>
      <c r="D541" s="2470"/>
      <c r="E541" s="551"/>
      <c r="F541" s="2597" t="s">
        <v>1562</v>
      </c>
      <c r="G541" s="2598"/>
      <c r="H541" s="2598"/>
      <c r="I541" s="2598"/>
      <c r="J541" s="2598"/>
      <c r="K541" s="2598"/>
      <c r="L541" s="2598"/>
      <c r="M541" s="2598"/>
      <c r="N541" s="2598"/>
      <c r="O541" s="2598"/>
      <c r="P541" s="2598"/>
      <c r="Q541" s="2598"/>
      <c r="R541" s="2598"/>
      <c r="S541" s="2598"/>
      <c r="T541" s="2598"/>
      <c r="U541" s="2598"/>
      <c r="V541" s="2598"/>
      <c r="W541" s="2598"/>
      <c r="X541" s="2598"/>
      <c r="Y541" s="2598"/>
      <c r="Z541" s="2598"/>
      <c r="AA541" s="2598"/>
      <c r="AB541" s="2598"/>
      <c r="AC541" s="2598"/>
      <c r="AD541" s="2598"/>
      <c r="AE541" s="2598"/>
      <c r="AF541" s="2598"/>
      <c r="AG541" s="2598"/>
      <c r="AH541" s="2598"/>
      <c r="AI541" s="2598"/>
      <c r="AJ541" s="2598"/>
      <c r="AK541" s="2598"/>
      <c r="AL541" s="2599"/>
      <c r="AM541" s="595"/>
      <c r="AN541" s="597"/>
    </row>
    <row r="542" spans="1:81" s="550" customFormat="1" ht="12.75" customHeight="1">
      <c r="A542" s="539"/>
      <c r="B542" s="539"/>
      <c r="C542" s="551"/>
      <c r="D542" s="551"/>
      <c r="E542" s="551"/>
      <c r="F542" s="2600"/>
      <c r="G542" s="2601"/>
      <c r="H542" s="2601"/>
      <c r="I542" s="2601"/>
      <c r="J542" s="2601"/>
      <c r="K542" s="2601"/>
      <c r="L542" s="2601"/>
      <c r="M542" s="2601"/>
      <c r="N542" s="2601"/>
      <c r="O542" s="2601"/>
      <c r="P542" s="2601"/>
      <c r="Q542" s="2601"/>
      <c r="R542" s="2601"/>
      <c r="S542" s="2601"/>
      <c r="T542" s="2601"/>
      <c r="U542" s="2601"/>
      <c r="V542" s="2601"/>
      <c r="W542" s="2601"/>
      <c r="X542" s="2601"/>
      <c r="Y542" s="2601"/>
      <c r="Z542" s="2601"/>
      <c r="AA542" s="2601"/>
      <c r="AB542" s="2601"/>
      <c r="AC542" s="2601"/>
      <c r="AD542" s="2601"/>
      <c r="AE542" s="2601"/>
      <c r="AF542" s="2601"/>
      <c r="AG542" s="2601"/>
      <c r="AH542" s="2601"/>
      <c r="AI542" s="2601"/>
      <c r="AJ542" s="2601"/>
      <c r="AK542" s="2601"/>
      <c r="AL542" s="260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0" t="s">
        <v>592</v>
      </c>
      <c r="D544" s="247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2" t="s">
        <v>1564</v>
      </c>
      <c r="G545" s="2493"/>
      <c r="H545" s="2493"/>
      <c r="I545" s="2493"/>
      <c r="J545" s="2493"/>
      <c r="K545" s="2493"/>
      <c r="L545" s="2493"/>
      <c r="M545" s="2493"/>
      <c r="N545" s="2493"/>
      <c r="O545" s="2493"/>
      <c r="P545" s="2493"/>
      <c r="Q545" s="2493"/>
      <c r="R545" s="2493"/>
      <c r="S545" s="2493"/>
      <c r="T545" s="2493"/>
      <c r="U545" s="2493"/>
      <c r="V545" s="2493"/>
      <c r="W545" s="2493"/>
      <c r="X545" s="2493"/>
      <c r="Y545" s="2493"/>
      <c r="Z545" s="2493"/>
      <c r="AA545" s="2493"/>
      <c r="AB545" s="2493"/>
      <c r="AC545" s="2493"/>
      <c r="AD545" s="2493"/>
      <c r="AE545" s="2493"/>
      <c r="AF545" s="2493"/>
      <c r="AG545" s="2493"/>
      <c r="AH545" s="2493"/>
      <c r="AI545" s="2493"/>
      <c r="AJ545" s="2493"/>
      <c r="AK545" s="2493"/>
      <c r="AL545" s="2494"/>
      <c r="AM545" s="595"/>
      <c r="AN545" s="597"/>
      <c r="AS545" s="870"/>
      <c r="AT545" s="870"/>
      <c r="AU545" s="870"/>
      <c r="AV545" s="870"/>
      <c r="AW545" s="870"/>
    </row>
    <row r="546" spans="1:49" s="550" customFormat="1" ht="12.75" customHeight="1">
      <c r="B546" s="806"/>
      <c r="C546" s="806"/>
      <c r="D546" s="806"/>
      <c r="E546" s="806"/>
      <c r="F546" s="2492"/>
      <c r="G546" s="2493"/>
      <c r="H546" s="2493"/>
      <c r="I546" s="2493"/>
      <c r="J546" s="2493"/>
      <c r="K546" s="2493"/>
      <c r="L546" s="2493"/>
      <c r="M546" s="2493"/>
      <c r="N546" s="2493"/>
      <c r="O546" s="2493"/>
      <c r="P546" s="2493"/>
      <c r="Q546" s="2493"/>
      <c r="R546" s="2493"/>
      <c r="S546" s="2493"/>
      <c r="T546" s="2493"/>
      <c r="U546" s="2493"/>
      <c r="V546" s="2493"/>
      <c r="W546" s="2493"/>
      <c r="X546" s="2493"/>
      <c r="Y546" s="2493"/>
      <c r="Z546" s="2493"/>
      <c r="AA546" s="2493"/>
      <c r="AB546" s="2493"/>
      <c r="AC546" s="2493"/>
      <c r="AD546" s="2493"/>
      <c r="AE546" s="2493"/>
      <c r="AF546" s="2493"/>
      <c r="AG546" s="2493"/>
      <c r="AH546" s="2493"/>
      <c r="AI546" s="2493"/>
      <c r="AJ546" s="2493"/>
      <c r="AK546" s="2493"/>
      <c r="AL546" s="2494"/>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2" t="s">
        <v>1565</v>
      </c>
      <c r="G548" s="2493"/>
      <c r="H548" s="2493"/>
      <c r="I548" s="2493"/>
      <c r="J548" s="2493"/>
      <c r="K548" s="2493"/>
      <c r="L548" s="2493"/>
      <c r="M548" s="2493"/>
      <c r="N548" s="2493"/>
      <c r="O548" s="2493"/>
      <c r="P548" s="2493"/>
      <c r="Q548" s="2493"/>
      <c r="R548" s="2493"/>
      <c r="S548" s="2493"/>
      <c r="T548" s="2493"/>
      <c r="U548" s="2493"/>
      <c r="V548" s="2493"/>
      <c r="W548" s="2493"/>
      <c r="X548" s="2493"/>
      <c r="Y548" s="2493"/>
      <c r="Z548" s="2493"/>
      <c r="AA548" s="2493"/>
      <c r="AB548" s="2493"/>
      <c r="AC548" s="2493"/>
      <c r="AD548" s="2493"/>
      <c r="AE548" s="2493"/>
      <c r="AF548" s="2493"/>
      <c r="AG548" s="2493"/>
      <c r="AH548" s="2493"/>
      <c r="AI548" s="2493"/>
      <c r="AJ548" s="2493"/>
      <c r="AK548" s="2493"/>
      <c r="AL548" s="813"/>
      <c r="AM548" s="595"/>
      <c r="AN548" s="597"/>
    </row>
    <row r="549" spans="1:49" s="550" customFormat="1" ht="12.75" customHeight="1">
      <c r="B549" s="806"/>
      <c r="C549" s="806"/>
      <c r="D549" s="806"/>
      <c r="E549" s="806"/>
      <c r="F549" s="2495"/>
      <c r="G549" s="2496"/>
      <c r="H549" s="2496"/>
      <c r="I549" s="2496"/>
      <c r="J549" s="2496"/>
      <c r="K549" s="2496"/>
      <c r="L549" s="2496"/>
      <c r="M549" s="2496"/>
      <c r="N549" s="2496"/>
      <c r="O549" s="2496"/>
      <c r="P549" s="2496"/>
      <c r="Q549" s="2496"/>
      <c r="R549" s="2496"/>
      <c r="S549" s="2496"/>
      <c r="T549" s="2496"/>
      <c r="U549" s="2496"/>
      <c r="V549" s="2496"/>
      <c r="W549" s="2496"/>
      <c r="X549" s="2496"/>
      <c r="Y549" s="2496"/>
      <c r="Z549" s="2496"/>
      <c r="AA549" s="2496"/>
      <c r="AB549" s="2496"/>
      <c r="AC549" s="2496"/>
      <c r="AD549" s="2496"/>
      <c r="AE549" s="2496"/>
      <c r="AF549" s="2496"/>
      <c r="AG549" s="2496"/>
      <c r="AH549" s="2496"/>
      <c r="AI549" s="2496"/>
      <c r="AJ549" s="2496"/>
      <c r="AK549" s="249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9">
        <f>Application!AJ992</f>
        <v>18437728</v>
      </c>
      <c r="AQ550" s="2619"/>
      <c r="AR550" s="26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6">
        <f>'Sources and Uses Budget'!S107+'Sources and Uses Budget'!T107</f>
        <v>23102510</v>
      </c>
      <c r="AG551" s="2476"/>
      <c r="AH551" s="2476"/>
      <c r="AI551" s="2476"/>
      <c r="AJ551" s="247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4">
        <f>IFERROR(AP559,0)</f>
        <v>40772173</v>
      </c>
      <c r="AG552" s="2624"/>
      <c r="AH552" s="2624"/>
      <c r="AI552" s="2624"/>
      <c r="AJ552" s="2624"/>
      <c r="AK552" s="595"/>
      <c r="AL552" s="595"/>
      <c r="AM552" s="595"/>
      <c r="AN552" s="597"/>
      <c r="AP552" s="2619">
        <f>Application!AJ1045</f>
        <v>7928223.04</v>
      </c>
      <c r="AQ552" s="2619"/>
      <c r="AR552" s="26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5">
        <f>IFERROR(ROUNDDOWN(IF(C544="YES",((1-(AF551/AF552))*2),(1-(AF551/AF552))),2),0)</f>
        <v>0.43</v>
      </c>
      <c r="AG553" s="2625"/>
      <c r="AH553" s="2625"/>
      <c r="AI553" s="2625"/>
      <c r="AJ553" s="2625"/>
      <c r="AK553" s="595"/>
      <c r="AL553" s="595"/>
      <c r="AM553" s="595"/>
      <c r="AN553" s="597"/>
      <c r="AP553" s="2622">
        <f>Application!AJ1049</f>
        <v>20650255.360000003</v>
      </c>
      <c r="AQ553" s="2622"/>
      <c r="AR553" s="2622"/>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8">
        <f>IF(((AP552+AP553)/AP550)&gt;0.8,0.8,((AP552+AP553)/AP550))</f>
        <v>0.8</v>
      </c>
      <c r="AQ554" s="2618"/>
      <c r="AR554" s="2618"/>
      <c r="AS554" s="550" t="s">
        <v>2172</v>
      </c>
    </row>
    <row r="555" spans="1:49" s="550" customFormat="1" ht="12.75" customHeight="1">
      <c r="A555" s="624"/>
      <c r="B555" s="2555" t="s">
        <v>2032</v>
      </c>
      <c r="C555" s="2556"/>
      <c r="D555" s="2556"/>
      <c r="E555" s="2556"/>
      <c r="F555" s="2556"/>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7"/>
      <c r="AK555" s="595"/>
      <c r="AL555" s="595"/>
      <c r="AM555" s="595"/>
      <c r="AN555" s="597"/>
    </row>
    <row r="556" spans="1:49" s="550" customFormat="1" ht="12.75" customHeight="1">
      <c r="A556" s="624"/>
      <c r="B556" s="2558"/>
      <c r="C556" s="2559"/>
      <c r="D556" s="2559"/>
      <c r="E556" s="2559"/>
      <c r="F556" s="2559"/>
      <c r="G556" s="2559"/>
      <c r="H556" s="2559"/>
      <c r="I556" s="2559"/>
      <c r="J556" s="2559"/>
      <c r="K556" s="2559"/>
      <c r="L556" s="2559"/>
      <c r="M556" s="2559"/>
      <c r="N556" s="2559"/>
      <c r="O556" s="2559"/>
      <c r="P556" s="2559"/>
      <c r="Q556" s="2559"/>
      <c r="R556" s="2559"/>
      <c r="S556" s="2559"/>
      <c r="T556" s="2559"/>
      <c r="U556" s="2559"/>
      <c r="V556" s="2559"/>
      <c r="W556" s="2559"/>
      <c r="X556" s="2559"/>
      <c r="Y556" s="2559"/>
      <c r="Z556" s="2559"/>
      <c r="AA556" s="2559"/>
      <c r="AB556" s="2559"/>
      <c r="AC556" s="2559"/>
      <c r="AD556" s="2559"/>
      <c r="AE556" s="2559"/>
      <c r="AF556" s="2559"/>
      <c r="AG556" s="2559"/>
      <c r="AH556" s="2559"/>
      <c r="AI556" s="2559"/>
      <c r="AJ556" s="2560"/>
      <c r="AK556" s="595"/>
      <c r="AL556" s="595"/>
      <c r="AM556" s="595"/>
      <c r="AN556" s="597"/>
      <c r="AP556" s="2619">
        <f>AP557-AP552-AP553</f>
        <v>26021990.599999998</v>
      </c>
      <c r="AQ556" s="2528"/>
      <c r="AR556" s="2528"/>
      <c r="AS556" s="550" t="s">
        <v>2174</v>
      </c>
    </row>
    <row r="557" spans="1:49" s="550" customFormat="1" ht="12.75" customHeight="1">
      <c r="A557" s="624"/>
      <c r="B557" s="2561"/>
      <c r="C557" s="2562"/>
      <c r="D557" s="2562"/>
      <c r="E557" s="2562"/>
      <c r="F557" s="2562"/>
      <c r="G557" s="2562"/>
      <c r="H557" s="2562"/>
      <c r="I557" s="2562"/>
      <c r="J557" s="2562"/>
      <c r="K557" s="2562"/>
      <c r="L557" s="2562"/>
      <c r="M557" s="2562"/>
      <c r="N557" s="2562"/>
      <c r="O557" s="2562"/>
      <c r="P557" s="2562"/>
      <c r="Q557" s="2562"/>
      <c r="R557" s="2562"/>
      <c r="S557" s="2562"/>
      <c r="T557" s="2562"/>
      <c r="U557" s="2562"/>
      <c r="V557" s="2562"/>
      <c r="W557" s="2562"/>
      <c r="X557" s="2562"/>
      <c r="Y557" s="2562"/>
      <c r="Z557" s="2562"/>
      <c r="AA557" s="2562"/>
      <c r="AB557" s="2562"/>
      <c r="AC557" s="2562"/>
      <c r="AD557" s="2562"/>
      <c r="AE557" s="2562"/>
      <c r="AF557" s="2562"/>
      <c r="AG557" s="2562"/>
      <c r="AH557" s="2562"/>
      <c r="AI557" s="2562"/>
      <c r="AJ557" s="2563"/>
      <c r="AK557" s="595"/>
      <c r="AL557" s="595"/>
      <c r="AM557" s="595"/>
      <c r="AN557" s="597"/>
      <c r="AP557" s="2619">
        <f>Application!AJ1053</f>
        <v>54600469</v>
      </c>
      <c r="AQ557" s="2619"/>
      <c r="AR557" s="26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4">
        <f>IFERROR(IF(AND(C541="N/A",C544="N/A"),0,IF(AF553=0,0,IF((AF553*100)&gt;12,12,(AF553*100)))),0)</f>
        <v>12</v>
      </c>
      <c r="AL559" s="2564"/>
      <c r="AM559" s="2565"/>
      <c r="AN559" s="597"/>
      <c r="AP559" s="2636">
        <f>AP556+(AP550*AP554)</f>
        <v>40772173</v>
      </c>
      <c r="AQ559" s="2637"/>
      <c r="AR559" s="263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3" t="s">
        <v>1315</v>
      </c>
      <c r="AF562" s="2403"/>
      <c r="AG562" s="2403"/>
      <c r="AH562" s="2403"/>
      <c r="AI562" s="2403"/>
      <c r="AJ562" s="2403"/>
      <c r="AK562" s="240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3" t="s">
        <v>2023</v>
      </c>
      <c r="C564" s="2493"/>
      <c r="D564" s="2493"/>
      <c r="E564" s="2493"/>
      <c r="F564" s="2493"/>
      <c r="G564" s="2493"/>
      <c r="H564" s="2493"/>
      <c r="I564" s="2493"/>
      <c r="J564" s="2493"/>
      <c r="K564" s="2493"/>
      <c r="L564" s="2493"/>
      <c r="M564" s="2493"/>
      <c r="N564" s="2493"/>
      <c r="O564" s="2493"/>
      <c r="P564" s="2493"/>
      <c r="Q564" s="2493"/>
      <c r="R564" s="2493"/>
      <c r="S564" s="2493"/>
      <c r="T564" s="2493"/>
      <c r="U564" s="2493"/>
      <c r="V564" s="2493"/>
      <c r="W564" s="2493"/>
      <c r="X564" s="2493"/>
      <c r="Y564" s="2493"/>
      <c r="Z564" s="2493"/>
      <c r="AA564" s="2493"/>
      <c r="AB564" s="2493"/>
      <c r="AC564" s="2493"/>
      <c r="AD564" s="2493"/>
      <c r="AE564" s="2493"/>
      <c r="AF564" s="2493"/>
      <c r="AG564" s="2493"/>
      <c r="AH564" s="2493"/>
      <c r="AI564" s="2493"/>
      <c r="AJ564" s="2493"/>
      <c r="AK564" s="642"/>
      <c r="AL564" s="573"/>
      <c r="AM564" s="603"/>
      <c r="AN564" s="597"/>
    </row>
    <row r="565" spans="1:42" s="550" customFormat="1" ht="12.75" customHeight="1">
      <c r="A565" s="603"/>
      <c r="B565" s="2493"/>
      <c r="C565" s="2493"/>
      <c r="D565" s="2493"/>
      <c r="E565" s="2493"/>
      <c r="F565" s="2493"/>
      <c r="G565" s="2493"/>
      <c r="H565" s="2493"/>
      <c r="I565" s="2493"/>
      <c r="J565" s="2493"/>
      <c r="K565" s="2493"/>
      <c r="L565" s="2493"/>
      <c r="M565" s="2493"/>
      <c r="N565" s="2493"/>
      <c r="O565" s="2493"/>
      <c r="P565" s="2493"/>
      <c r="Q565" s="2493"/>
      <c r="R565" s="2493"/>
      <c r="S565" s="2493"/>
      <c r="T565" s="2493"/>
      <c r="U565" s="2493"/>
      <c r="V565" s="2493"/>
      <c r="W565" s="2493"/>
      <c r="X565" s="2493"/>
      <c r="Y565" s="2493"/>
      <c r="Z565" s="2493"/>
      <c r="AA565" s="2493"/>
      <c r="AB565" s="2493"/>
      <c r="AC565" s="2493"/>
      <c r="AD565" s="2493"/>
      <c r="AE565" s="2493"/>
      <c r="AF565" s="2493"/>
      <c r="AG565" s="2493"/>
      <c r="AH565" s="2493"/>
      <c r="AI565" s="2493"/>
      <c r="AJ565" s="2493"/>
      <c r="AK565" s="642"/>
      <c r="AL565" s="573"/>
      <c r="AM565" s="603"/>
      <c r="AN565" s="597"/>
    </row>
    <row r="566" spans="1:42" s="550" customFormat="1" ht="12.75" customHeight="1">
      <c r="A566" s="603"/>
      <c r="B566" s="2493"/>
      <c r="C566" s="2493"/>
      <c r="D566" s="2493"/>
      <c r="E566" s="2493"/>
      <c r="F566" s="2493"/>
      <c r="G566" s="2493"/>
      <c r="H566" s="2493"/>
      <c r="I566" s="2493"/>
      <c r="J566" s="2493"/>
      <c r="K566" s="2493"/>
      <c r="L566" s="2493"/>
      <c r="M566" s="2493"/>
      <c r="N566" s="2493"/>
      <c r="O566" s="2493"/>
      <c r="P566" s="2493"/>
      <c r="Q566" s="2493"/>
      <c r="R566" s="2493"/>
      <c r="S566" s="2493"/>
      <c r="T566" s="2493"/>
      <c r="U566" s="2493"/>
      <c r="V566" s="2493"/>
      <c r="W566" s="2493"/>
      <c r="X566" s="2493"/>
      <c r="Y566" s="2493"/>
      <c r="Z566" s="2493"/>
      <c r="AA566" s="2493"/>
      <c r="AB566" s="2493"/>
      <c r="AC566" s="2493"/>
      <c r="AD566" s="2493"/>
      <c r="AE566" s="2493"/>
      <c r="AF566" s="2493"/>
      <c r="AG566" s="2493"/>
      <c r="AH566" s="2493"/>
      <c r="AI566" s="2493"/>
      <c r="AJ566" s="2493"/>
      <c r="AK566" s="642"/>
      <c r="AL566" s="573"/>
      <c r="AM566" s="603"/>
      <c r="AN566" s="597"/>
    </row>
    <row r="567" spans="1:42" s="550" customFormat="1" ht="12.75" customHeight="1">
      <c r="A567" s="603"/>
      <c r="B567" s="2493"/>
      <c r="C567" s="2493"/>
      <c r="D567" s="2493"/>
      <c r="E567" s="2493"/>
      <c r="F567" s="2493"/>
      <c r="G567" s="2493"/>
      <c r="H567" s="2493"/>
      <c r="I567" s="2493"/>
      <c r="J567" s="2493"/>
      <c r="K567" s="2493"/>
      <c r="L567" s="2493"/>
      <c r="M567" s="2493"/>
      <c r="N567" s="2493"/>
      <c r="O567" s="2493"/>
      <c r="P567" s="2493"/>
      <c r="Q567" s="2493"/>
      <c r="R567" s="2493"/>
      <c r="S567" s="2493"/>
      <c r="T567" s="2493"/>
      <c r="U567" s="2493"/>
      <c r="V567" s="2493"/>
      <c r="W567" s="2493"/>
      <c r="X567" s="2493"/>
      <c r="Y567" s="2493"/>
      <c r="Z567" s="2493"/>
      <c r="AA567" s="2493"/>
      <c r="AB567" s="2493"/>
      <c r="AC567" s="2493"/>
      <c r="AD567" s="2493"/>
      <c r="AE567" s="2493"/>
      <c r="AF567" s="2493"/>
      <c r="AG567" s="2493"/>
      <c r="AH567" s="2493"/>
      <c r="AI567" s="2493"/>
      <c r="AJ567" s="2493"/>
      <c r="AK567" s="642"/>
      <c r="AL567" s="573"/>
      <c r="AM567" s="603"/>
      <c r="AN567" s="597"/>
    </row>
    <row r="568" spans="1:42" s="550" customFormat="1" ht="12.75" customHeight="1">
      <c r="A568" s="603"/>
      <c r="B568" s="2493"/>
      <c r="C568" s="2493"/>
      <c r="D568" s="2493"/>
      <c r="E568" s="2493"/>
      <c r="F568" s="2493"/>
      <c r="G568" s="2493"/>
      <c r="H568" s="2493"/>
      <c r="I568" s="2493"/>
      <c r="J568" s="2493"/>
      <c r="K568" s="2493"/>
      <c r="L568" s="2493"/>
      <c r="M568" s="2493"/>
      <c r="N568" s="2493"/>
      <c r="O568" s="2493"/>
      <c r="P568" s="2493"/>
      <c r="Q568" s="2493"/>
      <c r="R568" s="2493"/>
      <c r="S568" s="2493"/>
      <c r="T568" s="2493"/>
      <c r="U568" s="2493"/>
      <c r="V568" s="2493"/>
      <c r="W568" s="2493"/>
      <c r="X568" s="2493"/>
      <c r="Y568" s="2493"/>
      <c r="Z568" s="2493"/>
      <c r="AA568" s="2493"/>
      <c r="AB568" s="2493"/>
      <c r="AC568" s="2493"/>
      <c r="AD568" s="2493"/>
      <c r="AE568" s="2493"/>
      <c r="AF568" s="2493"/>
      <c r="AG568" s="2493"/>
      <c r="AH568" s="2493"/>
      <c r="AI568" s="2493"/>
      <c r="AJ568" s="2493"/>
      <c r="AK568" s="642"/>
      <c r="AL568" s="573"/>
      <c r="AM568" s="603"/>
      <c r="AN568" s="597"/>
    </row>
    <row r="569" spans="1:42" s="550" customFormat="1" ht="12.75" customHeight="1">
      <c r="A569" s="603"/>
      <c r="B569" s="2493"/>
      <c r="C569" s="2493"/>
      <c r="D569" s="2493"/>
      <c r="E569" s="2493"/>
      <c r="F569" s="2493"/>
      <c r="G569" s="2493"/>
      <c r="H569" s="2493"/>
      <c r="I569" s="2493"/>
      <c r="J569" s="2493"/>
      <c r="K569" s="2493"/>
      <c r="L569" s="2493"/>
      <c r="M569" s="2493"/>
      <c r="N569" s="2493"/>
      <c r="O569" s="2493"/>
      <c r="P569" s="2493"/>
      <c r="Q569" s="2493"/>
      <c r="R569" s="2493"/>
      <c r="S569" s="2493"/>
      <c r="T569" s="2493"/>
      <c r="U569" s="2493"/>
      <c r="V569" s="2493"/>
      <c r="W569" s="2493"/>
      <c r="X569" s="2493"/>
      <c r="Y569" s="2493"/>
      <c r="Z569" s="2493"/>
      <c r="AA569" s="2493"/>
      <c r="AB569" s="2493"/>
      <c r="AC569" s="2493"/>
      <c r="AD569" s="2493"/>
      <c r="AE569" s="2493"/>
      <c r="AF569" s="2493"/>
      <c r="AG569" s="2493"/>
      <c r="AH569" s="2493"/>
      <c r="AI569" s="2493"/>
      <c r="AJ569" s="2493"/>
      <c r="AK569" s="642"/>
      <c r="AL569" s="573"/>
      <c r="AM569" s="603"/>
      <c r="AN569" s="597"/>
    </row>
    <row r="570" spans="1:42" s="550" customFormat="1" ht="12.75" customHeight="1">
      <c r="A570" s="603"/>
      <c r="B570" s="2493"/>
      <c r="C570" s="2493"/>
      <c r="D570" s="2493"/>
      <c r="E570" s="2493"/>
      <c r="F570" s="2493"/>
      <c r="G570" s="2493"/>
      <c r="H570" s="2493"/>
      <c r="I570" s="2493"/>
      <c r="J570" s="2493"/>
      <c r="K570" s="2493"/>
      <c r="L570" s="2493"/>
      <c r="M570" s="2493"/>
      <c r="N570" s="2493"/>
      <c r="O570" s="2493"/>
      <c r="P570" s="2493"/>
      <c r="Q570" s="2493"/>
      <c r="R570" s="2493"/>
      <c r="S570" s="2493"/>
      <c r="T570" s="2493"/>
      <c r="U570" s="2493"/>
      <c r="V570" s="2493"/>
      <c r="W570" s="2493"/>
      <c r="X570" s="2493"/>
      <c r="Y570" s="2493"/>
      <c r="Z570" s="2493"/>
      <c r="AA570" s="2493"/>
      <c r="AB570" s="2493"/>
      <c r="AC570" s="2493"/>
      <c r="AD570" s="2493"/>
      <c r="AE570" s="2493"/>
      <c r="AF570" s="2493"/>
      <c r="AG570" s="2493"/>
      <c r="AH570" s="2493"/>
      <c r="AI570" s="2493"/>
      <c r="AJ570" s="2493"/>
      <c r="AK570" s="642"/>
      <c r="AL570" s="573"/>
      <c r="AM570" s="603"/>
      <c r="AN570" s="597"/>
    </row>
    <row r="571" spans="1:42" ht="12.75" customHeight="1">
      <c r="A571" s="603"/>
      <c r="B571" s="2493"/>
      <c r="C571" s="2493"/>
      <c r="D571" s="2493"/>
      <c r="E571" s="2493"/>
      <c r="F571" s="2493"/>
      <c r="G571" s="2493"/>
      <c r="H571" s="2493"/>
      <c r="I571" s="2493"/>
      <c r="J571" s="2493"/>
      <c r="K571" s="2493"/>
      <c r="L571" s="2493"/>
      <c r="M571" s="2493"/>
      <c r="N571" s="2493"/>
      <c r="O571" s="2493"/>
      <c r="P571" s="2493"/>
      <c r="Q571" s="2493"/>
      <c r="R571" s="2493"/>
      <c r="S571" s="2493"/>
      <c r="T571" s="2493"/>
      <c r="U571" s="2493"/>
      <c r="V571" s="2493"/>
      <c r="W571" s="2493"/>
      <c r="X571" s="2493"/>
      <c r="Y571" s="2493"/>
      <c r="Z571" s="2493"/>
      <c r="AA571" s="2493"/>
      <c r="AB571" s="2493"/>
      <c r="AC571" s="2493"/>
      <c r="AD571" s="2493"/>
      <c r="AE571" s="2493"/>
      <c r="AF571" s="2493"/>
      <c r="AG571" s="2493"/>
      <c r="AH571" s="2493"/>
      <c r="AI571" s="2493"/>
      <c r="AJ571" s="2493"/>
      <c r="AK571" s="642"/>
      <c r="AL571" s="573"/>
      <c r="AM571" s="603"/>
    </row>
    <row r="572" spans="1:42" s="550" customFormat="1" ht="12.75" customHeight="1">
      <c r="B572" s="2493"/>
      <c r="C572" s="2493"/>
      <c r="D572" s="2493"/>
      <c r="E572" s="2493"/>
      <c r="F572" s="2493"/>
      <c r="G572" s="2493"/>
      <c r="H572" s="2493"/>
      <c r="I572" s="2493"/>
      <c r="J572" s="2493"/>
      <c r="K572" s="2493"/>
      <c r="L572" s="2493"/>
      <c r="M572" s="2493"/>
      <c r="N572" s="2493"/>
      <c r="O572" s="2493"/>
      <c r="P572" s="2493"/>
      <c r="Q572" s="2493"/>
      <c r="R572" s="2493"/>
      <c r="S572" s="2493"/>
      <c r="T572" s="2493"/>
      <c r="U572" s="2493"/>
      <c r="V572" s="2493"/>
      <c r="W572" s="2493"/>
      <c r="X572" s="2493"/>
      <c r="Y572" s="2493"/>
      <c r="Z572" s="2493"/>
      <c r="AA572" s="2493"/>
      <c r="AB572" s="2493"/>
      <c r="AC572" s="2493"/>
      <c r="AD572" s="2493"/>
      <c r="AE572" s="2493"/>
      <c r="AF572" s="2493"/>
      <c r="AG572" s="2493"/>
      <c r="AH572" s="2493"/>
      <c r="AI572" s="2493"/>
      <c r="AJ572" s="249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8" t="s">
        <v>1339</v>
      </c>
      <c r="AG578" s="2438"/>
      <c r="AH578" s="2438"/>
      <c r="AI578" s="2438"/>
      <c r="AJ578" s="2438"/>
      <c r="AK578" s="2438"/>
      <c r="AL578" s="2438"/>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8" t="s">
        <v>1397</v>
      </c>
      <c r="AG585" s="2438"/>
      <c r="AH585" s="2438"/>
      <c r="AI585" s="2438"/>
      <c r="AJ585" s="2438"/>
      <c r="AK585" s="2438"/>
      <c r="AL585" s="2438"/>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8" t="s">
        <v>1379</v>
      </c>
      <c r="AG591" s="2438"/>
      <c r="AH591" s="2438"/>
      <c r="AI591" s="2438"/>
      <c r="AJ591" s="2438"/>
      <c r="AK591" s="2438"/>
      <c r="AL591" s="2438"/>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8" t="s">
        <v>1400</v>
      </c>
      <c r="AG597" s="2438"/>
      <c r="AH597" s="2438"/>
      <c r="AI597" s="2438"/>
      <c r="AJ597" s="2438"/>
      <c r="AK597" s="2438"/>
      <c r="AL597" s="2438"/>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4" t="s">
        <v>1185</v>
      </c>
      <c r="P601" s="2524"/>
      <c r="Q601" s="2524"/>
      <c r="R601" s="2524"/>
      <c r="S601" s="2524"/>
      <c r="T601" s="2524"/>
      <c r="U601" s="2524"/>
      <c r="V601" s="2524"/>
      <c r="W601" s="2524"/>
      <c r="X601" s="2524"/>
      <c r="Y601" s="2524"/>
      <c r="Z601" s="2524"/>
      <c r="AA601" s="2524"/>
      <c r="AB601" s="252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8" t="s">
        <v>1353</v>
      </c>
      <c r="AG603" s="2438"/>
      <c r="AH603" s="2438"/>
      <c r="AI603" s="2438"/>
      <c r="AJ603" s="2438"/>
      <c r="AK603" s="2438"/>
      <c r="AL603" s="2438"/>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2" t="s">
        <v>592</v>
      </c>
      <c r="I606" s="2522"/>
      <c r="J606" s="936"/>
      <c r="K606" s="936"/>
      <c r="L606" s="936"/>
      <c r="N606" s="22"/>
      <c r="O606" s="22"/>
      <c r="P606" s="22"/>
      <c r="Q606" s="1151" t="s">
        <v>2177</v>
      </c>
      <c r="R606" s="2525"/>
      <c r="S606" s="2525"/>
      <c r="T606" s="2525"/>
      <c r="U606" s="2525"/>
      <c r="V606" s="2525"/>
      <c r="W606" s="2525"/>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6" t="str">
        <f>IF(AND(H606="(i)",NOT(AP582)),AO599,IF(AND(H606="(iv)",OR(R606=AO595,R606=AO594),NOT(AP583)),AO600,""))</f>
        <v/>
      </c>
      <c r="Z607" s="2526"/>
      <c r="AA607" s="2526"/>
      <c r="AB607" s="2526"/>
      <c r="AC607" s="2526"/>
      <c r="AD607" s="2526"/>
      <c r="AE607" s="2526"/>
      <c r="AF607" s="2526"/>
      <c r="AG607" s="2526"/>
      <c r="AH607" s="2526"/>
      <c r="AI607" s="2526"/>
      <c r="AJ607" s="2526"/>
      <c r="AK607" s="2526"/>
      <c r="AL607" s="2526"/>
      <c r="AM607" s="2527"/>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6"/>
      <c r="Z608" s="2526"/>
      <c r="AA608" s="2526"/>
      <c r="AB608" s="2526"/>
      <c r="AC608" s="2526"/>
      <c r="AD608" s="2526"/>
      <c r="AE608" s="2526"/>
      <c r="AF608" s="2526"/>
      <c r="AG608" s="2526"/>
      <c r="AH608" s="2526"/>
      <c r="AI608" s="2526"/>
      <c r="AJ608" s="2526"/>
      <c r="AK608" s="2526"/>
      <c r="AL608" s="2526"/>
      <c r="AM608" s="2527"/>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3" t="s">
        <v>592</v>
      </c>
      <c r="J614" s="2523"/>
      <c r="K614" s="2523"/>
      <c r="L614" s="2523"/>
      <c r="M614" s="2523"/>
      <c r="N614" s="2523"/>
      <c r="O614" s="2523"/>
      <c r="P614" s="2523"/>
      <c r="Q614" s="2523"/>
      <c r="R614" s="2523"/>
      <c r="S614" s="2523"/>
      <c r="T614" s="2523"/>
      <c r="U614" s="2523"/>
      <c r="V614" s="2523"/>
      <c r="W614" s="2523"/>
      <c r="X614" s="2523"/>
      <c r="Y614" s="2523"/>
      <c r="Z614" s="2523"/>
      <c r="AA614" s="2523"/>
      <c r="AB614" s="2523"/>
      <c r="AC614" s="2523"/>
      <c r="AD614" s="2523"/>
      <c r="AE614" s="2523"/>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6" t="s">
        <v>592</v>
      </c>
      <c r="C616" s="2466"/>
      <c r="D616" s="642"/>
      <c r="E616" s="2493" t="s">
        <v>1404</v>
      </c>
      <c r="F616" s="2493"/>
      <c r="G616" s="2493"/>
      <c r="H616" s="2493"/>
      <c r="I616" s="2493"/>
      <c r="J616" s="2493"/>
      <c r="K616" s="2493"/>
      <c r="L616" s="2493"/>
      <c r="M616" s="2493"/>
      <c r="N616" s="2493"/>
      <c r="O616" s="2493"/>
      <c r="P616" s="2493"/>
      <c r="Q616" s="2493"/>
      <c r="R616" s="2493"/>
      <c r="S616" s="2493"/>
      <c r="T616" s="2493"/>
      <c r="U616" s="2493"/>
      <c r="V616" s="2493"/>
      <c r="W616" s="2493"/>
      <c r="X616" s="2493"/>
      <c r="Y616" s="2493"/>
      <c r="Z616" s="2493"/>
      <c r="AA616" s="2493"/>
      <c r="AB616" s="2493"/>
      <c r="AC616" s="2493"/>
      <c r="AD616" s="2493"/>
      <c r="AE616" s="2493"/>
      <c r="AF616" s="2493"/>
      <c r="AG616" s="2493"/>
      <c r="AH616" s="642"/>
      <c r="AI616" s="642"/>
      <c r="AJ616" s="642"/>
      <c r="AK616" s="642"/>
      <c r="AL616" s="642"/>
      <c r="AN616" s="597"/>
    </row>
    <row r="617" spans="1:42" s="550" customFormat="1" ht="12.75" customHeight="1">
      <c r="B617" s="536"/>
      <c r="C617" s="933"/>
      <c r="D617" s="642"/>
      <c r="E617" s="2493"/>
      <c r="F617" s="2493"/>
      <c r="G617" s="2493"/>
      <c r="H617" s="2493"/>
      <c r="I617" s="2493"/>
      <c r="J617" s="2493"/>
      <c r="K617" s="2493"/>
      <c r="L617" s="2493"/>
      <c r="M617" s="2493"/>
      <c r="N617" s="2493"/>
      <c r="O617" s="2493"/>
      <c r="P617" s="2493"/>
      <c r="Q617" s="2493"/>
      <c r="R617" s="2493"/>
      <c r="S617" s="2493"/>
      <c r="T617" s="2493"/>
      <c r="U617" s="2493"/>
      <c r="V617" s="2493"/>
      <c r="W617" s="2493"/>
      <c r="X617" s="2493"/>
      <c r="Y617" s="2493"/>
      <c r="Z617" s="2493"/>
      <c r="AA617" s="2493"/>
      <c r="AB617" s="2493"/>
      <c r="AC617" s="2493"/>
      <c r="AD617" s="2493"/>
      <c r="AE617" s="2493"/>
      <c r="AF617" s="2493"/>
      <c r="AG617" s="2493"/>
      <c r="AH617" s="642"/>
      <c r="AI617" s="642"/>
      <c r="AJ617" s="642"/>
      <c r="AK617" s="642"/>
      <c r="AL617" s="642"/>
      <c r="AN617" s="597"/>
    </row>
    <row r="618" spans="1:42" s="550" customFormat="1" ht="12.75" customHeight="1">
      <c r="B618" s="536"/>
      <c r="C618" s="933"/>
      <c r="D618" s="642"/>
      <c r="E618" s="2493"/>
      <c r="F618" s="2493"/>
      <c r="G618" s="2493"/>
      <c r="H618" s="2493"/>
      <c r="I618" s="2493"/>
      <c r="J618" s="2493"/>
      <c r="K618" s="2493"/>
      <c r="L618" s="2493"/>
      <c r="M618" s="2493"/>
      <c r="N618" s="2493"/>
      <c r="O618" s="2493"/>
      <c r="P618" s="2493"/>
      <c r="Q618" s="2493"/>
      <c r="R618" s="2493"/>
      <c r="S618" s="2493"/>
      <c r="T618" s="2493"/>
      <c r="U618" s="2493"/>
      <c r="V618" s="2493"/>
      <c r="W618" s="2493"/>
      <c r="X618" s="2493"/>
      <c r="Y618" s="2493"/>
      <c r="Z618" s="2493"/>
      <c r="AA618" s="2493"/>
      <c r="AB618" s="2493"/>
      <c r="AC618" s="2493"/>
      <c r="AD618" s="2493"/>
      <c r="AE618" s="2493"/>
      <c r="AF618" s="2493"/>
      <c r="AG618" s="2493"/>
      <c r="AH618" s="642"/>
      <c r="AI618" s="642"/>
      <c r="AJ618" s="642"/>
      <c r="AK618" s="642"/>
      <c r="AL618" s="642"/>
      <c r="AN618" s="597"/>
    </row>
    <row r="619" spans="1:42" s="550" customFormat="1" ht="12.75" customHeight="1">
      <c r="B619" s="536"/>
      <c r="C619" s="933"/>
      <c r="D619" s="642"/>
      <c r="E619" s="2493"/>
      <c r="F619" s="2493"/>
      <c r="G619" s="2493"/>
      <c r="H619" s="2493"/>
      <c r="I619" s="2493"/>
      <c r="J619" s="2493"/>
      <c r="K619" s="2493"/>
      <c r="L619" s="2493"/>
      <c r="M619" s="2493"/>
      <c r="N619" s="2493"/>
      <c r="O619" s="2493"/>
      <c r="P619" s="2493"/>
      <c r="Q619" s="2493"/>
      <c r="R619" s="2493"/>
      <c r="S619" s="2493"/>
      <c r="T619" s="2493"/>
      <c r="U619" s="2493"/>
      <c r="V619" s="2493"/>
      <c r="W619" s="2493"/>
      <c r="X619" s="2493"/>
      <c r="Y619" s="2493"/>
      <c r="Z619" s="2493"/>
      <c r="AA619" s="2493"/>
      <c r="AB619" s="2493"/>
      <c r="AC619" s="2493"/>
      <c r="AD619" s="2493"/>
      <c r="AE619" s="2493"/>
      <c r="AF619" s="2493"/>
      <c r="AG619" s="249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3">
        <f>VLOOKUP($H$606,$AO$586:$AP$591,2,FALSE)+IF(R606=AO594,0,VLOOKUP($I$614,$AO$613:$AP$615,2,FALSE))</f>
        <v>0</v>
      </c>
      <c r="AK621" s="247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1" t="s">
        <v>1695</v>
      </c>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c r="AA625" s="2521"/>
      <c r="AB625" s="2521"/>
      <c r="AC625" s="2521"/>
      <c r="AD625" s="2521"/>
      <c r="AE625" s="539"/>
      <c r="AF625" s="2438" t="s">
        <v>1353</v>
      </c>
      <c r="AG625" s="2438"/>
      <c r="AH625" s="2438"/>
      <c r="AI625" s="2438"/>
      <c r="AJ625" s="2438"/>
      <c r="AK625" s="2438"/>
      <c r="AL625" s="2438"/>
      <c r="AM625" s="550"/>
      <c r="AN625" s="678"/>
    </row>
    <row r="626" spans="1:42" s="550" customFormat="1" ht="12.75" customHeight="1">
      <c r="A626" s="679"/>
      <c r="B626" s="536"/>
      <c r="C626" s="933"/>
      <c r="D626" s="663"/>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1"/>
      <c r="AE626" s="536"/>
      <c r="AF626" s="536"/>
      <c r="AG626" s="536"/>
      <c r="AH626" s="536"/>
      <c r="AI626" s="536"/>
      <c r="AJ626" s="536"/>
      <c r="AK626" s="536"/>
      <c r="AL626" s="536"/>
      <c r="AN626" s="597"/>
    </row>
    <row r="627" spans="1:42" s="550" customFormat="1" ht="12.75" customHeight="1">
      <c r="B627" s="536"/>
      <c r="C627" s="931"/>
      <c r="D627" s="663"/>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c r="AA627" s="2521"/>
      <c r="AB627" s="2521"/>
      <c r="AC627" s="2521"/>
      <c r="AD627" s="2521"/>
      <c r="AE627" s="536"/>
      <c r="AF627" s="536"/>
      <c r="AG627" s="536"/>
      <c r="AH627" s="536"/>
      <c r="AI627" s="536"/>
      <c r="AJ627" s="536"/>
      <c r="AK627" s="536"/>
      <c r="AL627" s="536"/>
      <c r="AN627" s="597"/>
    </row>
    <row r="628" spans="1:42" s="550" customFormat="1" ht="12.75" customHeight="1">
      <c r="B628" s="536"/>
      <c r="C628" s="931"/>
      <c r="D628" s="663"/>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1"/>
      <c r="AE628" s="536"/>
      <c r="AF628" s="536"/>
      <c r="AG628" s="536"/>
      <c r="AH628" s="536"/>
      <c r="AI628" s="536"/>
      <c r="AJ628" s="536"/>
      <c r="AK628" s="536"/>
      <c r="AL628" s="536"/>
      <c r="AN628" s="597"/>
    </row>
    <row r="629" spans="1:42" s="550" customFormat="1" ht="12.75" customHeight="1">
      <c r="B629" s="536"/>
      <c r="C629" s="931"/>
      <c r="D629" s="663"/>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c r="AA629" s="2521"/>
      <c r="AB629" s="2521"/>
      <c r="AC629" s="2521"/>
      <c r="AD629" s="2521"/>
      <c r="AE629" s="536"/>
      <c r="AF629" s="536"/>
      <c r="AG629" s="536"/>
      <c r="AH629" s="536"/>
      <c r="AI629" s="536"/>
      <c r="AJ629" s="536"/>
      <c r="AK629" s="536"/>
      <c r="AL629" s="536"/>
      <c r="AN629" s="597"/>
    </row>
    <row r="630" spans="1:42" s="550" customFormat="1" ht="12.75" customHeight="1">
      <c r="B630" s="536"/>
      <c r="C630" s="931"/>
      <c r="D630" s="663"/>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536"/>
      <c r="AF630" s="536"/>
      <c r="AG630" s="536"/>
      <c r="AH630" s="536"/>
      <c r="AI630" s="536"/>
      <c r="AJ630" s="536"/>
      <c r="AK630" s="536"/>
      <c r="AL630" s="536"/>
      <c r="AN630" s="597"/>
    </row>
    <row r="631" spans="1:42" s="550" customFormat="1" ht="12.75" customHeight="1">
      <c r="A631" s="637"/>
      <c r="B631" s="616"/>
      <c r="C631" s="940"/>
      <c r="D631" s="663"/>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616"/>
      <c r="AF631" s="616"/>
      <c r="AG631" s="616"/>
      <c r="AH631" s="616"/>
      <c r="AI631" s="616"/>
      <c r="AJ631" s="616"/>
      <c r="AK631" s="536"/>
      <c r="AL631" s="536"/>
      <c r="AN631" s="597"/>
    </row>
    <row r="632" spans="1:42" s="550" customFormat="1" ht="12.75" customHeight="1">
      <c r="B632" s="616"/>
      <c r="C632" s="940"/>
      <c r="D632" s="663"/>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6" t="s">
        <v>592</v>
      </c>
      <c r="Y634" s="246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8" t="s">
        <v>1409</v>
      </c>
      <c r="AG636" s="2438"/>
      <c r="AH636" s="2438"/>
      <c r="AI636" s="2438"/>
      <c r="AJ636" s="2438"/>
      <c r="AK636" s="2438"/>
      <c r="AL636" s="243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2" t="s">
        <v>688</v>
      </c>
      <c r="I638" s="252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3">
        <f>VLOOKUP($H$638,$AO$605:$AP$607,2,FALSE)</f>
        <v>3</v>
      </c>
      <c r="AK640" s="247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3" t="s">
        <v>2098</v>
      </c>
      <c r="F644" s="2493"/>
      <c r="G644" s="2493"/>
      <c r="H644" s="2493"/>
      <c r="I644" s="2493"/>
      <c r="J644" s="2493"/>
      <c r="K644" s="2493"/>
      <c r="L644" s="2493"/>
      <c r="M644" s="2493"/>
      <c r="N644" s="2493"/>
      <c r="O644" s="2493"/>
      <c r="P644" s="2493"/>
      <c r="Q644" s="2493"/>
      <c r="R644" s="2493"/>
      <c r="S644" s="2493"/>
      <c r="T644" s="2493"/>
      <c r="U644" s="2493"/>
      <c r="V644" s="2493"/>
      <c r="W644" s="2493"/>
      <c r="X644" s="2493"/>
      <c r="Y644" s="2493"/>
      <c r="Z644" s="2493"/>
      <c r="AA644" s="2493"/>
      <c r="AB644" s="2493"/>
      <c r="AC644" s="2493"/>
      <c r="AD644" s="2493"/>
      <c r="AE644" s="536"/>
      <c r="AF644" s="2438" t="s">
        <v>1353</v>
      </c>
      <c r="AG644" s="2438"/>
      <c r="AH644" s="2438"/>
      <c r="AI644" s="2438"/>
      <c r="AJ644" s="2438"/>
      <c r="AK644" s="2438"/>
      <c r="AL644" s="2438"/>
      <c r="AN644" s="597"/>
    </row>
    <row r="645" spans="1:42" s="550" customFormat="1" ht="12.75" customHeight="1">
      <c r="B645" s="536"/>
      <c r="C645" s="536"/>
      <c r="D645" s="663"/>
      <c r="E645" s="2493"/>
      <c r="F645" s="2493"/>
      <c r="G645" s="2493"/>
      <c r="H645" s="2493"/>
      <c r="I645" s="2493"/>
      <c r="J645" s="2493"/>
      <c r="K645" s="2493"/>
      <c r="L645" s="2493"/>
      <c r="M645" s="2493"/>
      <c r="N645" s="2493"/>
      <c r="O645" s="2493"/>
      <c r="P645" s="2493"/>
      <c r="Q645" s="2493"/>
      <c r="R645" s="2493"/>
      <c r="S645" s="2493"/>
      <c r="T645" s="2493"/>
      <c r="U645" s="2493"/>
      <c r="V645" s="2493"/>
      <c r="W645" s="2493"/>
      <c r="X645" s="2493"/>
      <c r="Y645" s="2493"/>
      <c r="Z645" s="2493"/>
      <c r="AA645" s="2493"/>
      <c r="AB645" s="2493"/>
      <c r="AC645" s="2493"/>
      <c r="AD645" s="249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8" t="s">
        <v>1409</v>
      </c>
      <c r="AG647" s="2438"/>
      <c r="AH647" s="2438"/>
      <c r="AI647" s="2438"/>
      <c r="AJ647" s="2438"/>
      <c r="AK647" s="2438"/>
      <c r="AL647" s="2438"/>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2" t="s">
        <v>510</v>
      </c>
      <c r="I650" s="252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3">
        <f>VLOOKUP(H650,AT605:AU607,2,FALSE)</f>
        <v>2</v>
      </c>
      <c r="AK652" s="247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3" t="s">
        <v>1419</v>
      </c>
      <c r="F657" s="2493"/>
      <c r="G657" s="2493"/>
      <c r="H657" s="2493"/>
      <c r="I657" s="2493"/>
      <c r="J657" s="2493"/>
      <c r="K657" s="2493"/>
      <c r="L657" s="2493"/>
      <c r="M657" s="2493"/>
      <c r="N657" s="2493"/>
      <c r="O657" s="2493"/>
      <c r="P657" s="2493"/>
      <c r="Q657" s="2493"/>
      <c r="R657" s="2493"/>
      <c r="S657" s="2493"/>
      <c r="T657" s="2493"/>
      <c r="U657" s="2493"/>
      <c r="V657" s="2493"/>
      <c r="W657" s="2493"/>
      <c r="X657" s="2493"/>
      <c r="Y657" s="2493"/>
      <c r="Z657" s="2493"/>
      <c r="AA657" s="2493"/>
      <c r="AB657" s="2493"/>
      <c r="AC657" s="2493"/>
      <c r="AD657" s="536"/>
      <c r="AE657" s="536"/>
      <c r="AF657" s="2438" t="s">
        <v>1379</v>
      </c>
      <c r="AG657" s="2438"/>
      <c r="AH657" s="2438"/>
      <c r="AI657" s="2438"/>
      <c r="AJ657" s="2438"/>
      <c r="AK657" s="2438"/>
      <c r="AL657" s="2438"/>
      <c r="AN657" s="597"/>
    </row>
    <row r="658" spans="1:42" s="550" customFormat="1" ht="12.75" customHeight="1">
      <c r="B658" s="536"/>
      <c r="C658" s="539"/>
      <c r="D658" s="536"/>
      <c r="E658" s="2493"/>
      <c r="F658" s="2493"/>
      <c r="G658" s="2493"/>
      <c r="H658" s="2493"/>
      <c r="I658" s="2493"/>
      <c r="J658" s="2493"/>
      <c r="K658" s="2493"/>
      <c r="L658" s="2493"/>
      <c r="M658" s="2493"/>
      <c r="N658" s="2493"/>
      <c r="O658" s="2493"/>
      <c r="P658" s="2493"/>
      <c r="Q658" s="2493"/>
      <c r="R658" s="2493"/>
      <c r="S658" s="2493"/>
      <c r="T658" s="2493"/>
      <c r="U658" s="2493"/>
      <c r="V658" s="2493"/>
      <c r="W658" s="2493"/>
      <c r="X658" s="2493"/>
      <c r="Y658" s="2493"/>
      <c r="Z658" s="2493"/>
      <c r="AA658" s="2493"/>
      <c r="AB658" s="2493"/>
      <c r="AC658" s="2493"/>
      <c r="AD658" s="536"/>
      <c r="AE658" s="536"/>
      <c r="AF658" s="536"/>
      <c r="AG658" s="536"/>
      <c r="AH658" s="536"/>
      <c r="AI658" s="536"/>
      <c r="AJ658" s="536"/>
      <c r="AK658" s="536"/>
      <c r="AL658" s="536"/>
      <c r="AN658" s="597"/>
    </row>
    <row r="659" spans="1:42" s="550" customFormat="1" ht="12.75" customHeight="1">
      <c r="B659" s="536"/>
      <c r="C659" s="539"/>
      <c r="D659" s="663"/>
      <c r="E659" s="2493"/>
      <c r="F659" s="2493"/>
      <c r="G659" s="2493"/>
      <c r="H659" s="2493"/>
      <c r="I659" s="2493"/>
      <c r="J659" s="2493"/>
      <c r="K659" s="2493"/>
      <c r="L659" s="2493"/>
      <c r="M659" s="2493"/>
      <c r="N659" s="2493"/>
      <c r="O659" s="2493"/>
      <c r="P659" s="2493"/>
      <c r="Q659" s="2493"/>
      <c r="R659" s="2493"/>
      <c r="S659" s="2493"/>
      <c r="T659" s="2493"/>
      <c r="U659" s="2493"/>
      <c r="V659" s="2493"/>
      <c r="W659" s="2493"/>
      <c r="X659" s="2493"/>
      <c r="Y659" s="2493"/>
      <c r="Z659" s="2493"/>
      <c r="AA659" s="2493"/>
      <c r="AB659" s="2493"/>
      <c r="AC659" s="249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3" t="s">
        <v>1420</v>
      </c>
      <c r="F661" s="2493"/>
      <c r="G661" s="2493"/>
      <c r="H661" s="2493"/>
      <c r="I661" s="2493"/>
      <c r="J661" s="2493"/>
      <c r="K661" s="2493"/>
      <c r="L661" s="2493"/>
      <c r="M661" s="2493"/>
      <c r="N661" s="2493"/>
      <c r="O661" s="2493"/>
      <c r="P661" s="2493"/>
      <c r="Q661" s="2493"/>
      <c r="R661" s="2493"/>
      <c r="S661" s="2493"/>
      <c r="T661" s="2493"/>
      <c r="U661" s="2493"/>
      <c r="V661" s="2493"/>
      <c r="W661" s="2493"/>
      <c r="X661" s="2493"/>
      <c r="Y661" s="2493"/>
      <c r="Z661" s="2493"/>
      <c r="AA661" s="2493"/>
      <c r="AB661" s="2493"/>
      <c r="AC661" s="2493"/>
      <c r="AD661" s="536"/>
      <c r="AE661" s="536"/>
      <c r="AF661" s="2438" t="s">
        <v>1400</v>
      </c>
      <c r="AG661" s="2438"/>
      <c r="AH661" s="2438"/>
      <c r="AI661" s="2438"/>
      <c r="AJ661" s="2438"/>
      <c r="AK661" s="2438"/>
      <c r="AL661" s="2438"/>
      <c r="AN661" s="597"/>
    </row>
    <row r="662" spans="1:42" s="550" customFormat="1" ht="12.75" customHeight="1">
      <c r="B662" s="536"/>
      <c r="C662" s="539"/>
      <c r="D662" s="536"/>
      <c r="E662" s="2493"/>
      <c r="F662" s="2493"/>
      <c r="G662" s="2493"/>
      <c r="H662" s="2493"/>
      <c r="I662" s="2493"/>
      <c r="J662" s="2493"/>
      <c r="K662" s="2493"/>
      <c r="L662" s="2493"/>
      <c r="M662" s="2493"/>
      <c r="N662" s="2493"/>
      <c r="O662" s="2493"/>
      <c r="P662" s="2493"/>
      <c r="Q662" s="2493"/>
      <c r="R662" s="2493"/>
      <c r="S662" s="2493"/>
      <c r="T662" s="2493"/>
      <c r="U662" s="2493"/>
      <c r="V662" s="2493"/>
      <c r="W662" s="2493"/>
      <c r="X662" s="2493"/>
      <c r="Y662" s="2493"/>
      <c r="Z662" s="2493"/>
      <c r="AA662" s="2493"/>
      <c r="AB662" s="2493"/>
      <c r="AC662" s="2493"/>
      <c r="AD662" s="536"/>
      <c r="AE662" s="536"/>
      <c r="AF662" s="536"/>
      <c r="AG662" s="536"/>
      <c r="AH662" s="536"/>
      <c r="AI662" s="536"/>
      <c r="AJ662" s="536"/>
      <c r="AK662" s="536"/>
      <c r="AL662" s="536"/>
      <c r="AN662" s="597"/>
    </row>
    <row r="663" spans="1:42" s="550" customFormat="1" ht="15" customHeight="1">
      <c r="B663" s="536"/>
      <c r="C663" s="539"/>
      <c r="D663" s="663"/>
      <c r="E663" s="2493"/>
      <c r="F663" s="2493"/>
      <c r="G663" s="2493"/>
      <c r="H663" s="2493"/>
      <c r="I663" s="2493"/>
      <c r="J663" s="2493"/>
      <c r="K663" s="2493"/>
      <c r="L663" s="2493"/>
      <c r="M663" s="2493"/>
      <c r="N663" s="2493"/>
      <c r="O663" s="2493"/>
      <c r="P663" s="2493"/>
      <c r="Q663" s="2493"/>
      <c r="R663" s="2493"/>
      <c r="S663" s="2493"/>
      <c r="T663" s="2493"/>
      <c r="U663" s="2493"/>
      <c r="V663" s="2493"/>
      <c r="W663" s="2493"/>
      <c r="X663" s="2493"/>
      <c r="Y663" s="2493"/>
      <c r="Z663" s="2493"/>
      <c r="AA663" s="2493"/>
      <c r="AB663" s="2493"/>
      <c r="AC663" s="249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3" t="s">
        <v>1421</v>
      </c>
      <c r="F665" s="2493"/>
      <c r="G665" s="2493"/>
      <c r="H665" s="2493"/>
      <c r="I665" s="2493"/>
      <c r="J665" s="2493"/>
      <c r="K665" s="2493"/>
      <c r="L665" s="2493"/>
      <c r="M665" s="2493"/>
      <c r="N665" s="2493"/>
      <c r="O665" s="2493"/>
      <c r="P665" s="2493"/>
      <c r="Q665" s="2493"/>
      <c r="R665" s="2493"/>
      <c r="S665" s="2493"/>
      <c r="T665" s="2493"/>
      <c r="U665" s="2493"/>
      <c r="V665" s="2493"/>
      <c r="W665" s="2493"/>
      <c r="X665" s="2493"/>
      <c r="Y665" s="2493"/>
      <c r="Z665" s="2493"/>
      <c r="AA665" s="2493"/>
      <c r="AB665" s="2493"/>
      <c r="AC665" s="2493"/>
      <c r="AD665" s="536"/>
      <c r="AE665" s="536"/>
      <c r="AF665" s="2438" t="s">
        <v>1353</v>
      </c>
      <c r="AG665" s="2438"/>
      <c r="AH665" s="2438"/>
      <c r="AI665" s="2438"/>
      <c r="AJ665" s="2438"/>
      <c r="AK665" s="2438"/>
      <c r="AL665" s="2438"/>
      <c r="AN665" s="597"/>
    </row>
    <row r="666" spans="1:42" s="550" customFormat="1" ht="12.75" customHeight="1">
      <c r="B666" s="536"/>
      <c r="C666" s="931"/>
      <c r="D666" s="536"/>
      <c r="E666" s="2493"/>
      <c r="F666" s="2493"/>
      <c r="G666" s="2493"/>
      <c r="H666" s="2493"/>
      <c r="I666" s="2493"/>
      <c r="J666" s="2493"/>
      <c r="K666" s="2493"/>
      <c r="L666" s="2493"/>
      <c r="M666" s="2493"/>
      <c r="N666" s="2493"/>
      <c r="O666" s="2493"/>
      <c r="P666" s="2493"/>
      <c r="Q666" s="2493"/>
      <c r="R666" s="2493"/>
      <c r="S666" s="2493"/>
      <c r="T666" s="2493"/>
      <c r="U666" s="2493"/>
      <c r="V666" s="2493"/>
      <c r="W666" s="2493"/>
      <c r="X666" s="2493"/>
      <c r="Y666" s="2493"/>
      <c r="Z666" s="2493"/>
      <c r="AA666" s="2493"/>
      <c r="AB666" s="2493"/>
      <c r="AC666" s="2493"/>
      <c r="AD666" s="536"/>
      <c r="AE666" s="2438"/>
      <c r="AF666" s="2438"/>
      <c r="AG666" s="2438"/>
      <c r="AH666" s="2438"/>
      <c r="AI666" s="2438"/>
      <c r="AJ666" s="2438"/>
      <c r="AK666" s="2438"/>
      <c r="AL666" s="594"/>
      <c r="AN666" s="597"/>
      <c r="AO666" s="550" t="s">
        <v>592</v>
      </c>
      <c r="AP666" s="673">
        <v>0</v>
      </c>
    </row>
    <row r="667" spans="1:42" s="550" customFormat="1" ht="12.75" customHeight="1">
      <c r="A667" s="679"/>
      <c r="B667" s="536"/>
      <c r="C667" s="536"/>
      <c r="D667" s="663"/>
      <c r="E667" s="2493"/>
      <c r="F667" s="2493"/>
      <c r="G667" s="2493"/>
      <c r="H667" s="2493"/>
      <c r="I667" s="2493"/>
      <c r="J667" s="2493"/>
      <c r="K667" s="2493"/>
      <c r="L667" s="2493"/>
      <c r="M667" s="2493"/>
      <c r="N667" s="2493"/>
      <c r="O667" s="2493"/>
      <c r="P667" s="2493"/>
      <c r="Q667" s="2493"/>
      <c r="R667" s="2493"/>
      <c r="S667" s="2493"/>
      <c r="T667" s="2493"/>
      <c r="U667" s="2493"/>
      <c r="V667" s="2493"/>
      <c r="W667" s="2493"/>
      <c r="X667" s="2493"/>
      <c r="Y667" s="2493"/>
      <c r="Z667" s="2493"/>
      <c r="AA667" s="2493"/>
      <c r="AB667" s="2493"/>
      <c r="AC667" s="249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3" t="s">
        <v>1422</v>
      </c>
      <c r="F669" s="2493"/>
      <c r="G669" s="2493"/>
      <c r="H669" s="2493"/>
      <c r="I669" s="2493"/>
      <c r="J669" s="2493"/>
      <c r="K669" s="2493"/>
      <c r="L669" s="2493"/>
      <c r="M669" s="2493"/>
      <c r="N669" s="2493"/>
      <c r="O669" s="2493"/>
      <c r="P669" s="2493"/>
      <c r="Q669" s="2493"/>
      <c r="R669" s="2493"/>
      <c r="S669" s="2493"/>
      <c r="T669" s="2493"/>
      <c r="U669" s="2493"/>
      <c r="V669" s="2493"/>
      <c r="W669" s="2493"/>
      <c r="X669" s="2493"/>
      <c r="Y669" s="2493"/>
      <c r="Z669" s="2493"/>
      <c r="AA669" s="2493"/>
      <c r="AB669" s="2493"/>
      <c r="AC669" s="2493"/>
      <c r="AD669" s="536"/>
      <c r="AE669" s="536"/>
      <c r="AF669" s="2438" t="s">
        <v>1400</v>
      </c>
      <c r="AG669" s="2438"/>
      <c r="AH669" s="2438"/>
      <c r="AI669" s="2438"/>
      <c r="AJ669" s="2438"/>
      <c r="AK669" s="2438"/>
      <c r="AL669" s="2438"/>
      <c r="AN669" s="597"/>
    </row>
    <row r="670" spans="1:42" s="550" customFormat="1" ht="12.75" customHeight="1">
      <c r="A670" s="670"/>
      <c r="B670" s="536"/>
      <c r="C670" s="947"/>
      <c r="D670" s="663"/>
      <c r="E670" s="2493"/>
      <c r="F670" s="2493"/>
      <c r="G670" s="2493"/>
      <c r="H670" s="2493"/>
      <c r="I670" s="2493"/>
      <c r="J670" s="2493"/>
      <c r="K670" s="2493"/>
      <c r="L670" s="2493"/>
      <c r="M670" s="2493"/>
      <c r="N670" s="2493"/>
      <c r="O670" s="2493"/>
      <c r="P670" s="2493"/>
      <c r="Q670" s="2493"/>
      <c r="R670" s="2493"/>
      <c r="S670" s="2493"/>
      <c r="T670" s="2493"/>
      <c r="U670" s="2493"/>
      <c r="V670" s="2493"/>
      <c r="W670" s="2493"/>
      <c r="X670" s="2493"/>
      <c r="Y670" s="2493"/>
      <c r="Z670" s="2493"/>
      <c r="AA670" s="2493"/>
      <c r="AB670" s="2493"/>
      <c r="AC670" s="249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3"/>
      <c r="F671" s="2493"/>
      <c r="G671" s="2493"/>
      <c r="H671" s="2493"/>
      <c r="I671" s="2493"/>
      <c r="J671" s="2493"/>
      <c r="K671" s="2493"/>
      <c r="L671" s="2493"/>
      <c r="M671" s="2493"/>
      <c r="N671" s="2493"/>
      <c r="O671" s="2493"/>
      <c r="P671" s="2493"/>
      <c r="Q671" s="2493"/>
      <c r="R671" s="2493"/>
      <c r="S671" s="2493"/>
      <c r="T671" s="2493"/>
      <c r="U671" s="2493"/>
      <c r="V671" s="2493"/>
      <c r="W671" s="2493"/>
      <c r="X671" s="2493"/>
      <c r="Y671" s="2493"/>
      <c r="Z671" s="2493"/>
      <c r="AA671" s="2493"/>
      <c r="AB671" s="2493"/>
      <c r="AC671" s="249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3" t="s">
        <v>1423</v>
      </c>
      <c r="F673" s="2493"/>
      <c r="G673" s="2493"/>
      <c r="H673" s="2493"/>
      <c r="I673" s="2493"/>
      <c r="J673" s="2493"/>
      <c r="K673" s="2493"/>
      <c r="L673" s="2493"/>
      <c r="M673" s="2493"/>
      <c r="N673" s="2493"/>
      <c r="O673" s="2493"/>
      <c r="P673" s="2493"/>
      <c r="Q673" s="2493"/>
      <c r="R673" s="2493"/>
      <c r="S673" s="2493"/>
      <c r="T673" s="2493"/>
      <c r="U673" s="2493"/>
      <c r="V673" s="2493"/>
      <c r="W673" s="2493"/>
      <c r="X673" s="2493"/>
      <c r="Y673" s="2493"/>
      <c r="Z673" s="2493"/>
      <c r="AA673" s="2493"/>
      <c r="AB673" s="2493"/>
      <c r="AC673" s="2493"/>
      <c r="AD673" s="536"/>
      <c r="AE673" s="536"/>
      <c r="AF673" s="2438" t="s">
        <v>1353</v>
      </c>
      <c r="AG673" s="2438"/>
      <c r="AH673" s="2438"/>
      <c r="AI673" s="2438"/>
      <c r="AJ673" s="2438"/>
      <c r="AK673" s="2438"/>
      <c r="AL673" s="2438"/>
      <c r="AM673" s="596"/>
      <c r="AN673" s="597"/>
    </row>
    <row r="674" spans="1:42" s="550" customFormat="1" ht="12.75" customHeight="1">
      <c r="B674" s="536"/>
      <c r="C674" s="931"/>
      <c r="D674" s="663"/>
      <c r="E674" s="2493"/>
      <c r="F674" s="2493"/>
      <c r="G674" s="2493"/>
      <c r="H674" s="2493"/>
      <c r="I674" s="2493"/>
      <c r="J674" s="2493"/>
      <c r="K674" s="2493"/>
      <c r="L674" s="2493"/>
      <c r="M674" s="2493"/>
      <c r="N674" s="2493"/>
      <c r="O674" s="2493"/>
      <c r="P674" s="2493"/>
      <c r="Q674" s="2493"/>
      <c r="R674" s="2493"/>
      <c r="S674" s="2493"/>
      <c r="T674" s="2493"/>
      <c r="U674" s="2493"/>
      <c r="V674" s="2493"/>
      <c r="W674" s="2493"/>
      <c r="X674" s="2493"/>
      <c r="Y674" s="2493"/>
      <c r="Z674" s="2493"/>
      <c r="AA674" s="2493"/>
      <c r="AB674" s="2493"/>
      <c r="AC674" s="2493"/>
      <c r="AD674" s="536"/>
      <c r="AE674" s="536"/>
      <c r="AF674" s="536"/>
      <c r="AG674" s="536"/>
      <c r="AH674" s="536"/>
      <c r="AI674" s="536"/>
      <c r="AJ674" s="536"/>
      <c r="AK674" s="536"/>
      <c r="AL674" s="536"/>
      <c r="AM674" s="596"/>
      <c r="AN674" s="597"/>
    </row>
    <row r="675" spans="1:42" s="550" customFormat="1" ht="12.75" customHeight="1">
      <c r="B675" s="536"/>
      <c r="C675" s="931"/>
      <c r="D675" s="663"/>
      <c r="E675" s="2493"/>
      <c r="F675" s="2493"/>
      <c r="G675" s="2493"/>
      <c r="H675" s="2493"/>
      <c r="I675" s="2493"/>
      <c r="J675" s="2493"/>
      <c r="K675" s="2493"/>
      <c r="L675" s="2493"/>
      <c r="M675" s="2493"/>
      <c r="N675" s="2493"/>
      <c r="O675" s="2493"/>
      <c r="P675" s="2493"/>
      <c r="Q675" s="2493"/>
      <c r="R675" s="2493"/>
      <c r="S675" s="2493"/>
      <c r="T675" s="2493"/>
      <c r="U675" s="2493"/>
      <c r="V675" s="2493"/>
      <c r="W675" s="2493"/>
      <c r="X675" s="2493"/>
      <c r="Y675" s="2493"/>
      <c r="Z675" s="2493"/>
      <c r="AA675" s="2493"/>
      <c r="AB675" s="2493"/>
      <c r="AC675" s="249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3" t="s">
        <v>1424</v>
      </c>
      <c r="F677" s="2493"/>
      <c r="G677" s="2493"/>
      <c r="H677" s="2493"/>
      <c r="I677" s="2493"/>
      <c r="J677" s="2493"/>
      <c r="K677" s="2493"/>
      <c r="L677" s="2493"/>
      <c r="M677" s="2493"/>
      <c r="N677" s="2493"/>
      <c r="O677" s="2493"/>
      <c r="P677" s="2493"/>
      <c r="Q677" s="2493"/>
      <c r="R677" s="2493"/>
      <c r="S677" s="2493"/>
      <c r="T677" s="2493"/>
      <c r="U677" s="2493"/>
      <c r="V677" s="2493"/>
      <c r="W677" s="2493"/>
      <c r="X677" s="2493"/>
      <c r="Y677" s="2493"/>
      <c r="Z677" s="2493"/>
      <c r="AA677" s="2493"/>
      <c r="AB677" s="2493"/>
      <c r="AC677" s="2493"/>
      <c r="AD677" s="536"/>
      <c r="AE677" s="536"/>
      <c r="AF677" s="2438" t="s">
        <v>1409</v>
      </c>
      <c r="AG677" s="2438"/>
      <c r="AH677" s="2438"/>
      <c r="AI677" s="2438"/>
      <c r="AJ677" s="2438"/>
      <c r="AK677" s="2438"/>
      <c r="AL677" s="2438"/>
      <c r="AM677" s="596"/>
      <c r="AN677" s="597"/>
    </row>
    <row r="678" spans="1:42" s="550" customFormat="1" ht="12.75" customHeight="1">
      <c r="A678" s="679"/>
      <c r="B678" s="536"/>
      <c r="C678" s="931"/>
      <c r="D678" s="663"/>
      <c r="E678" s="2493"/>
      <c r="F678" s="2493"/>
      <c r="G678" s="2493"/>
      <c r="H678" s="2493"/>
      <c r="I678" s="2493"/>
      <c r="J678" s="2493"/>
      <c r="K678" s="2493"/>
      <c r="L678" s="2493"/>
      <c r="M678" s="2493"/>
      <c r="N678" s="2493"/>
      <c r="O678" s="2493"/>
      <c r="P678" s="2493"/>
      <c r="Q678" s="2493"/>
      <c r="R678" s="2493"/>
      <c r="S678" s="2493"/>
      <c r="T678" s="2493"/>
      <c r="U678" s="2493"/>
      <c r="V678" s="2493"/>
      <c r="W678" s="2493"/>
      <c r="X678" s="2493"/>
      <c r="Y678" s="2493"/>
      <c r="Z678" s="2493"/>
      <c r="AA678" s="2493"/>
      <c r="AB678" s="2493"/>
      <c r="AC678" s="249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3"/>
      <c r="F679" s="2493"/>
      <c r="G679" s="2493"/>
      <c r="H679" s="2493"/>
      <c r="I679" s="2493"/>
      <c r="J679" s="2493"/>
      <c r="K679" s="2493"/>
      <c r="L679" s="2493"/>
      <c r="M679" s="2493"/>
      <c r="N679" s="2493"/>
      <c r="O679" s="2493"/>
      <c r="P679" s="2493"/>
      <c r="Q679" s="2493"/>
      <c r="R679" s="2493"/>
      <c r="S679" s="2493"/>
      <c r="T679" s="2493"/>
      <c r="U679" s="2493"/>
      <c r="V679" s="2493"/>
      <c r="W679" s="2493"/>
      <c r="X679" s="2493"/>
      <c r="Y679" s="2493"/>
      <c r="Z679" s="2493"/>
      <c r="AA679" s="2493"/>
      <c r="AB679" s="2493"/>
      <c r="AC679" s="249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3" t="s">
        <v>1425</v>
      </c>
      <c r="F681" s="2493"/>
      <c r="G681" s="2493"/>
      <c r="H681" s="2493"/>
      <c r="I681" s="2493"/>
      <c r="J681" s="2493"/>
      <c r="K681" s="2493"/>
      <c r="L681" s="2493"/>
      <c r="M681" s="2493"/>
      <c r="N681" s="2493"/>
      <c r="O681" s="2493"/>
      <c r="P681" s="2493"/>
      <c r="Q681" s="2493"/>
      <c r="R681" s="2493"/>
      <c r="S681" s="2493"/>
      <c r="T681" s="2493"/>
      <c r="U681" s="2493"/>
      <c r="V681" s="2493"/>
      <c r="W681" s="2493"/>
      <c r="X681" s="2493"/>
      <c r="Y681" s="2493"/>
      <c r="Z681" s="2493"/>
      <c r="AA681" s="2493"/>
      <c r="AB681" s="2493"/>
      <c r="AC681" s="2493"/>
      <c r="AD681" s="536"/>
      <c r="AE681" s="536"/>
      <c r="AF681" s="2438" t="s">
        <v>1426</v>
      </c>
      <c r="AG681" s="2438"/>
      <c r="AH681" s="2438"/>
      <c r="AI681" s="2438"/>
      <c r="AJ681" s="2438"/>
      <c r="AK681" s="2438"/>
      <c r="AL681" s="2438"/>
      <c r="AM681" s="596"/>
      <c r="AN681" s="597"/>
      <c r="AO681" s="611" t="s">
        <v>688</v>
      </c>
      <c r="AP681" s="550">
        <v>3</v>
      </c>
    </row>
    <row r="682" spans="1:42" s="550" customFormat="1" ht="12.75" customHeight="1">
      <c r="A682" s="679"/>
      <c r="B682" s="536"/>
      <c r="C682" s="931"/>
      <c r="D682" s="663"/>
      <c r="E682" s="2493"/>
      <c r="F682" s="2493"/>
      <c r="G682" s="2493"/>
      <c r="H682" s="2493"/>
      <c r="I682" s="2493"/>
      <c r="J682" s="2493"/>
      <c r="K682" s="2493"/>
      <c r="L682" s="2493"/>
      <c r="M682" s="2493"/>
      <c r="N682" s="2493"/>
      <c r="O682" s="2493"/>
      <c r="P682" s="2493"/>
      <c r="Q682" s="2493"/>
      <c r="R682" s="2493"/>
      <c r="S682" s="2493"/>
      <c r="T682" s="2493"/>
      <c r="U682" s="2493"/>
      <c r="V682" s="2493"/>
      <c r="W682" s="2493"/>
      <c r="X682" s="2493"/>
      <c r="Y682" s="2493"/>
      <c r="Z682" s="2493"/>
      <c r="AA682" s="2493"/>
      <c r="AB682" s="2493"/>
      <c r="AC682" s="249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3"/>
      <c r="F683" s="2493"/>
      <c r="G683" s="2493"/>
      <c r="H683" s="2493"/>
      <c r="I683" s="2493"/>
      <c r="J683" s="2493"/>
      <c r="K683" s="2493"/>
      <c r="L683" s="2493"/>
      <c r="M683" s="2493"/>
      <c r="N683" s="2493"/>
      <c r="O683" s="2493"/>
      <c r="P683" s="2493"/>
      <c r="Q683" s="2493"/>
      <c r="R683" s="2493"/>
      <c r="S683" s="2493"/>
      <c r="T683" s="2493"/>
      <c r="U683" s="2493"/>
      <c r="V683" s="2493"/>
      <c r="W683" s="2493"/>
      <c r="X683" s="2493"/>
      <c r="Y683" s="2493"/>
      <c r="Z683" s="2493"/>
      <c r="AA683" s="2493"/>
      <c r="AB683" s="2493"/>
      <c r="AC683" s="249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2" t="s">
        <v>1398</v>
      </c>
      <c r="I685" s="252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3">
        <f>VLOOKUP($H$685,$AO$633:$AP$640,2,FALSE)</f>
        <v>4</v>
      </c>
      <c r="AK687" s="247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32</v>
      </c>
    </row>
    <row r="691" spans="1:51" s="550" customFormat="1" ht="12.75" customHeight="1">
      <c r="A691" s="679"/>
      <c r="B691" s="536"/>
      <c r="C691" s="948"/>
      <c r="D691" s="663" t="s">
        <v>688</v>
      </c>
      <c r="E691" s="2529" t="s">
        <v>2190</v>
      </c>
      <c r="F691" s="2529"/>
      <c r="G691" s="2529"/>
      <c r="H691" s="2529"/>
      <c r="I691" s="2529"/>
      <c r="J691" s="2529"/>
      <c r="K691" s="2529"/>
      <c r="L691" s="2529"/>
      <c r="M691" s="2529"/>
      <c r="N691" s="2529"/>
      <c r="O691" s="2529"/>
      <c r="P691" s="2529"/>
      <c r="Q691" s="2529"/>
      <c r="R691" s="2529"/>
      <c r="S691" s="2529"/>
      <c r="T691" s="2529"/>
      <c r="U691" s="2529"/>
      <c r="V691" s="2529"/>
      <c r="W691" s="2529"/>
      <c r="X691" s="2529"/>
      <c r="Y691" s="2529"/>
      <c r="Z691" s="2529"/>
      <c r="AA691" s="2529"/>
      <c r="AB691" s="2529"/>
      <c r="AC691" s="536"/>
      <c r="AD691" s="536"/>
      <c r="AE691" s="536"/>
      <c r="AF691" s="2438" t="s">
        <v>1353</v>
      </c>
      <c r="AG691" s="2438"/>
      <c r="AH691" s="2438"/>
      <c r="AI691" s="2438"/>
      <c r="AJ691" s="2438"/>
      <c r="AK691" s="2438"/>
      <c r="AL691" s="2438"/>
      <c r="AN691" s="597"/>
      <c r="AW691" s="22" t="s">
        <v>2185</v>
      </c>
      <c r="AX691" s="550">
        <f>Application!DE753</f>
        <v>9</v>
      </c>
    </row>
    <row r="692" spans="1:51" s="550" customFormat="1" ht="12.75" customHeight="1">
      <c r="A692" s="679"/>
      <c r="B692" s="536"/>
      <c r="C692" s="948"/>
      <c r="D692" s="663"/>
      <c r="E692" s="2529"/>
      <c r="F692" s="2529"/>
      <c r="G692" s="2529"/>
      <c r="H692" s="2529"/>
      <c r="I692" s="2529"/>
      <c r="J692" s="2529"/>
      <c r="K692" s="2529"/>
      <c r="L692" s="2529"/>
      <c r="M692" s="2529"/>
      <c r="N692" s="2529"/>
      <c r="O692" s="2529"/>
      <c r="P692" s="2529"/>
      <c r="Q692" s="2529"/>
      <c r="R692" s="2529"/>
      <c r="S692" s="2529"/>
      <c r="T692" s="2529"/>
      <c r="U692" s="2529"/>
      <c r="V692" s="2529"/>
      <c r="W692" s="2529"/>
      <c r="X692" s="2529"/>
      <c r="Y692" s="2529"/>
      <c r="Z692" s="2529"/>
      <c r="AA692" s="2529"/>
      <c r="AB692" s="252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3" t="s">
        <v>2134</v>
      </c>
      <c r="F694" s="2493"/>
      <c r="G694" s="2493"/>
      <c r="H694" s="2493"/>
      <c r="I694" s="2493"/>
      <c r="J694" s="2493"/>
      <c r="K694" s="2493"/>
      <c r="L694" s="2493"/>
      <c r="M694" s="2493"/>
      <c r="N694" s="2493"/>
      <c r="O694" s="2493"/>
      <c r="P694" s="2493"/>
      <c r="Q694" s="2493"/>
      <c r="R694" s="2493"/>
      <c r="S694" s="2493"/>
      <c r="T694" s="2493"/>
      <c r="U694" s="2493"/>
      <c r="V694" s="2493"/>
      <c r="W694" s="2493"/>
      <c r="X694" s="2493"/>
      <c r="Y694" s="2493"/>
      <c r="Z694" s="2493"/>
      <c r="AA694" s="2493"/>
      <c r="AB694" s="2493"/>
      <c r="AC694" s="536"/>
      <c r="AD694" s="536"/>
      <c r="AE694" s="536"/>
      <c r="AF694" s="2438" t="s">
        <v>1353</v>
      </c>
      <c r="AG694" s="2438"/>
      <c r="AH694" s="2438"/>
      <c r="AI694" s="2438"/>
      <c r="AJ694" s="2438"/>
      <c r="AK694" s="2438"/>
      <c r="AL694" s="2438"/>
      <c r="AN694" s="597"/>
      <c r="AW694" s="22" t="s">
        <v>2188</v>
      </c>
      <c r="AX694" s="550">
        <f>AX691+AX692+AX693</f>
        <v>9</v>
      </c>
    </row>
    <row r="695" spans="1:51" s="550" customFormat="1" ht="12.75" customHeight="1">
      <c r="B695" s="536"/>
      <c r="C695" s="940"/>
      <c r="D695" s="663"/>
      <c r="E695" s="2493"/>
      <c r="F695" s="2493"/>
      <c r="G695" s="2493"/>
      <c r="H695" s="2493"/>
      <c r="I695" s="2493"/>
      <c r="J695" s="2493"/>
      <c r="K695" s="2493"/>
      <c r="L695" s="2493"/>
      <c r="M695" s="2493"/>
      <c r="N695" s="2493"/>
      <c r="O695" s="2493"/>
      <c r="P695" s="2493"/>
      <c r="Q695" s="2493"/>
      <c r="R695" s="2493"/>
      <c r="S695" s="2493"/>
      <c r="T695" s="2493"/>
      <c r="U695" s="2493"/>
      <c r="V695" s="2493"/>
      <c r="W695" s="2493"/>
      <c r="X695" s="2493"/>
      <c r="Y695" s="2493"/>
      <c r="Z695" s="2493"/>
      <c r="AA695" s="2493"/>
      <c r="AB695" s="2493"/>
      <c r="AC695" s="536"/>
      <c r="AD695" s="536"/>
      <c r="AE695" s="616"/>
      <c r="AF695" s="536"/>
      <c r="AG695" s="536"/>
      <c r="AH695" s="536"/>
      <c r="AI695" s="536"/>
      <c r="AJ695" s="536"/>
      <c r="AK695" s="536"/>
      <c r="AL695" s="536"/>
      <c r="AN695" s="597"/>
      <c r="AO695" s="2528" t="b">
        <f>IF(Application!D211="Special Needs",IF(AY695&gt;=0.25,TRUE,FALSE),IF(AX695&gt;=0.25,TRUE,FALSE))</f>
        <v>1</v>
      </c>
      <c r="AP695" s="2528"/>
      <c r="AW695" s="22" t="s">
        <v>2189</v>
      </c>
      <c r="AX695" s="550">
        <f>IFERROR(AX694/AX690,0)</f>
        <v>0.28125</v>
      </c>
      <c r="AY695" s="550">
        <f>IFERROR(AX694/(AX690-AX689),0)</f>
        <v>0.28125</v>
      </c>
    </row>
    <row r="696" spans="1:51" s="550" customFormat="1" ht="12.75" customHeight="1">
      <c r="B696" s="536"/>
      <c r="C696" s="940"/>
      <c r="E696" s="2493"/>
      <c r="F696" s="2493"/>
      <c r="G696" s="2493"/>
      <c r="H696" s="2493"/>
      <c r="I696" s="2493"/>
      <c r="J696" s="2493"/>
      <c r="K696" s="2493"/>
      <c r="L696" s="2493"/>
      <c r="M696" s="2493"/>
      <c r="N696" s="2493"/>
      <c r="O696" s="2493"/>
      <c r="P696" s="2493"/>
      <c r="Q696" s="2493"/>
      <c r="R696" s="2493"/>
      <c r="S696" s="2493"/>
      <c r="T696" s="2493"/>
      <c r="U696" s="2493"/>
      <c r="V696" s="2493"/>
      <c r="W696" s="2493"/>
      <c r="X696" s="2493"/>
      <c r="Y696" s="2493"/>
      <c r="Z696" s="2493"/>
      <c r="AA696" s="2493"/>
      <c r="AB696" s="249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3"/>
      <c r="F697" s="2493"/>
      <c r="G697" s="2493"/>
      <c r="H697" s="2493"/>
      <c r="I697" s="2493"/>
      <c r="J697" s="2493"/>
      <c r="K697" s="2493"/>
      <c r="L697" s="2493"/>
      <c r="M697" s="2493"/>
      <c r="N697" s="2493"/>
      <c r="O697" s="2493"/>
      <c r="P697" s="2493"/>
      <c r="Q697" s="2493"/>
      <c r="R697" s="2493"/>
      <c r="S697" s="2493"/>
      <c r="T697" s="2493"/>
      <c r="U697" s="2493"/>
      <c r="V697" s="2493"/>
      <c r="W697" s="2493"/>
      <c r="X697" s="2493"/>
      <c r="Y697" s="2493"/>
      <c r="Z697" s="2493"/>
      <c r="AA697" s="2493"/>
      <c r="AB697" s="249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3" t="s">
        <v>2135</v>
      </c>
      <c r="F699" s="2493"/>
      <c r="G699" s="2493"/>
      <c r="H699" s="2493"/>
      <c r="I699" s="2493"/>
      <c r="J699" s="2493"/>
      <c r="K699" s="2493"/>
      <c r="L699" s="2493"/>
      <c r="M699" s="2493"/>
      <c r="N699" s="2493"/>
      <c r="O699" s="2493"/>
      <c r="P699" s="2493"/>
      <c r="Q699" s="2493"/>
      <c r="R699" s="2493"/>
      <c r="S699" s="2493"/>
      <c r="T699" s="2493"/>
      <c r="U699" s="2493"/>
      <c r="V699" s="2493"/>
      <c r="W699" s="2493"/>
      <c r="X699" s="2493"/>
      <c r="Y699" s="2493"/>
      <c r="Z699" s="2493"/>
      <c r="AA699" s="2493"/>
      <c r="AB699" s="2493"/>
      <c r="AC699" s="536"/>
      <c r="AD699" s="536"/>
      <c r="AE699" s="536"/>
      <c r="AF699" s="2438" t="s">
        <v>1409</v>
      </c>
      <c r="AG699" s="2438"/>
      <c r="AH699" s="2438"/>
      <c r="AI699" s="2438"/>
      <c r="AJ699" s="2438"/>
      <c r="AK699" s="2438"/>
      <c r="AL699" s="2438"/>
      <c r="AN699" s="597"/>
      <c r="AO699" s="611" t="s">
        <v>510</v>
      </c>
      <c r="AP699" s="550">
        <v>1</v>
      </c>
    </row>
    <row r="700" spans="1:51" s="550" customFormat="1" ht="12" customHeight="1">
      <c r="B700" s="536"/>
      <c r="C700" s="931"/>
      <c r="E700" s="2493"/>
      <c r="F700" s="2493"/>
      <c r="G700" s="2493"/>
      <c r="H700" s="2493"/>
      <c r="I700" s="2493"/>
      <c r="J700" s="2493"/>
      <c r="K700" s="2493"/>
      <c r="L700" s="2493"/>
      <c r="M700" s="2493"/>
      <c r="N700" s="2493"/>
      <c r="O700" s="2493"/>
      <c r="P700" s="2493"/>
      <c r="Q700" s="2493"/>
      <c r="R700" s="2493"/>
      <c r="S700" s="2493"/>
      <c r="T700" s="2493"/>
      <c r="U700" s="2493"/>
      <c r="V700" s="2493"/>
      <c r="W700" s="2493"/>
      <c r="X700" s="2493"/>
      <c r="Y700" s="2493"/>
      <c r="Z700" s="2493"/>
      <c r="AA700" s="2493"/>
      <c r="AB700" s="2493"/>
      <c r="AC700" s="536"/>
      <c r="AD700" s="536"/>
      <c r="AE700" s="616"/>
      <c r="AF700" s="536"/>
      <c r="AG700" s="536"/>
      <c r="AH700" s="536"/>
      <c r="AI700" s="536"/>
      <c r="AJ700" s="536"/>
      <c r="AK700" s="536"/>
      <c r="AL700" s="536"/>
      <c r="AN700" s="597"/>
    </row>
    <row r="701" spans="1:51" s="550" customFormat="1" ht="12" customHeight="1">
      <c r="B701" s="536"/>
      <c r="C701" s="931"/>
      <c r="D701" s="536"/>
      <c r="E701" s="2493"/>
      <c r="F701" s="2493"/>
      <c r="G701" s="2493"/>
      <c r="H701" s="2493"/>
      <c r="I701" s="2493"/>
      <c r="J701" s="2493"/>
      <c r="K701" s="2493"/>
      <c r="L701" s="2493"/>
      <c r="M701" s="2493"/>
      <c r="N701" s="2493"/>
      <c r="O701" s="2493"/>
      <c r="P701" s="2493"/>
      <c r="Q701" s="2493"/>
      <c r="R701" s="2493"/>
      <c r="S701" s="2493"/>
      <c r="T701" s="2493"/>
      <c r="U701" s="2493"/>
      <c r="V701" s="2493"/>
      <c r="W701" s="2493"/>
      <c r="X701" s="2493"/>
      <c r="Y701" s="2493"/>
      <c r="Z701" s="2493"/>
      <c r="AA701" s="2493"/>
      <c r="AB701" s="2493"/>
      <c r="AC701" s="536"/>
      <c r="AD701" s="536"/>
      <c r="AE701" s="616"/>
      <c r="AF701" s="536"/>
      <c r="AG701" s="536"/>
      <c r="AH701" s="536"/>
      <c r="AI701" s="536"/>
      <c r="AJ701" s="536"/>
      <c r="AK701" s="536"/>
      <c r="AL701" s="536"/>
      <c r="AN701" s="597"/>
    </row>
    <row r="702" spans="1:51" s="550" customFormat="1" ht="12" customHeight="1">
      <c r="B702" s="536"/>
      <c r="C702" s="931"/>
      <c r="D702" s="536"/>
      <c r="E702" s="2493"/>
      <c r="F702" s="2493"/>
      <c r="G702" s="2493"/>
      <c r="H702" s="2493"/>
      <c r="I702" s="2493"/>
      <c r="J702" s="2493"/>
      <c r="K702" s="2493"/>
      <c r="L702" s="2493"/>
      <c r="M702" s="2493"/>
      <c r="N702" s="2493"/>
      <c r="O702" s="2493"/>
      <c r="P702" s="2493"/>
      <c r="Q702" s="2493"/>
      <c r="R702" s="2493"/>
      <c r="S702" s="2493"/>
      <c r="T702" s="2493"/>
      <c r="U702" s="2493"/>
      <c r="V702" s="2493"/>
      <c r="W702" s="2493"/>
      <c r="X702" s="2493"/>
      <c r="Y702" s="2493"/>
      <c r="Z702" s="2493"/>
      <c r="AA702" s="2493"/>
      <c r="AB702" s="249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3"/>
      <c r="F703" s="2493"/>
      <c r="G703" s="2493"/>
      <c r="H703" s="2493"/>
      <c r="I703" s="2493"/>
      <c r="J703" s="2493"/>
      <c r="K703" s="2493"/>
      <c r="L703" s="2493"/>
      <c r="M703" s="2493"/>
      <c r="N703" s="2493"/>
      <c r="O703" s="2493"/>
      <c r="P703" s="2493"/>
      <c r="Q703" s="2493"/>
      <c r="R703" s="2493"/>
      <c r="S703" s="2493"/>
      <c r="T703" s="2493"/>
      <c r="U703" s="2493"/>
      <c r="V703" s="2493"/>
      <c r="W703" s="2493"/>
      <c r="X703" s="2493"/>
      <c r="Y703" s="2493"/>
      <c r="Z703" s="2493"/>
      <c r="AA703" s="2493"/>
      <c r="AB703" s="249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3" t="s">
        <v>1694</v>
      </c>
      <c r="F705" s="2493"/>
      <c r="G705" s="2493"/>
      <c r="H705" s="2493"/>
      <c r="I705" s="2493"/>
      <c r="J705" s="2493"/>
      <c r="K705" s="2493"/>
      <c r="L705" s="2493"/>
      <c r="M705" s="2493"/>
      <c r="N705" s="2493"/>
      <c r="O705" s="2493"/>
      <c r="P705" s="2493"/>
      <c r="Q705" s="2493"/>
      <c r="R705" s="2493"/>
      <c r="S705" s="2493"/>
      <c r="T705" s="2493"/>
      <c r="U705" s="2493"/>
      <c r="V705" s="2493"/>
      <c r="W705" s="2493"/>
      <c r="X705" s="2493"/>
      <c r="Y705" s="2493"/>
      <c r="Z705" s="2493"/>
      <c r="AA705" s="2493"/>
      <c r="AB705" s="249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3"/>
      <c r="F706" s="2493"/>
      <c r="G706" s="2493"/>
      <c r="H706" s="2493"/>
      <c r="I706" s="2493"/>
      <c r="J706" s="2493"/>
      <c r="K706" s="2493"/>
      <c r="L706" s="2493"/>
      <c r="M706" s="2493"/>
      <c r="N706" s="2493"/>
      <c r="O706" s="2493"/>
      <c r="P706" s="2493"/>
      <c r="Q706" s="2493"/>
      <c r="R706" s="2493"/>
      <c r="S706" s="2493"/>
      <c r="T706" s="2493"/>
      <c r="U706" s="2493"/>
      <c r="V706" s="2493"/>
      <c r="W706" s="2493"/>
      <c r="X706" s="2493"/>
      <c r="Y706" s="2493"/>
      <c r="Z706" s="2493"/>
      <c r="AA706" s="2493"/>
      <c r="AB706" s="249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3"/>
      <c r="F707" s="2493"/>
      <c r="G707" s="2493"/>
      <c r="H707" s="2493"/>
      <c r="I707" s="2493"/>
      <c r="J707" s="2493"/>
      <c r="K707" s="2493"/>
      <c r="L707" s="2493"/>
      <c r="M707" s="2493"/>
      <c r="N707" s="2493"/>
      <c r="O707" s="2493"/>
      <c r="P707" s="2493"/>
      <c r="Q707" s="2493"/>
      <c r="R707" s="2493"/>
      <c r="S707" s="2493"/>
      <c r="T707" s="2493"/>
      <c r="U707" s="2493"/>
      <c r="V707" s="2493"/>
      <c r="W707" s="2493"/>
      <c r="X707" s="2493"/>
      <c r="Y707" s="2493"/>
      <c r="Z707" s="2493"/>
      <c r="AA707" s="2493"/>
      <c r="AB707" s="249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2" t="s">
        <v>688</v>
      </c>
      <c r="I709" s="252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3">
        <f>VLOOKUP($H$709,$AO$703:$AP$706,2,FALSE)</f>
        <v>3</v>
      </c>
      <c r="AK711" s="247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0" t="s">
        <v>1696</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6"/>
      <c r="AD715" s="536"/>
      <c r="AE715" s="536"/>
      <c r="AF715" s="2438" t="s">
        <v>1353</v>
      </c>
      <c r="AG715" s="2438"/>
      <c r="AH715" s="2438"/>
      <c r="AI715" s="2438"/>
      <c r="AJ715" s="2438"/>
      <c r="AK715" s="2438"/>
      <c r="AL715" s="2438"/>
      <c r="AM715" s="550"/>
      <c r="AN715" s="684"/>
      <c r="AP715" s="570" t="s">
        <v>1433</v>
      </c>
    </row>
    <row r="716" spans="1:43" s="570" customFormat="1" ht="11.85" customHeight="1">
      <c r="A716" s="550"/>
      <c r="B716" s="536"/>
      <c r="C716" s="933"/>
      <c r="D716" s="663"/>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1" t="s">
        <v>1436</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6"/>
      <c r="AD719" s="536"/>
      <c r="AE719" s="536"/>
      <c r="AF719" s="2438" t="s">
        <v>1409</v>
      </c>
      <c r="AG719" s="2438"/>
      <c r="AH719" s="2438"/>
      <c r="AI719" s="2438"/>
      <c r="AJ719" s="2438"/>
      <c r="AK719" s="2438"/>
      <c r="AL719" s="2438"/>
      <c r="AM719" s="550"/>
      <c r="AN719" s="685"/>
    </row>
    <row r="720" spans="1:43" s="570" customFormat="1" ht="12.75" customHeight="1">
      <c r="A720" s="550"/>
      <c r="B720" s="536"/>
      <c r="C720" s="933"/>
      <c r="D720" s="536"/>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2" t="s">
        <v>592</v>
      </c>
      <c r="I723" s="252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3">
        <f>VLOOKUP($H$723,$AP$720:$AQ$722,2,FALSE)</f>
        <v>0</v>
      </c>
      <c r="AK725" s="2475"/>
      <c r="AL725" s="595"/>
      <c r="AM725" s="550"/>
      <c r="AN725" s="684"/>
      <c r="AP725" s="2473"/>
      <c r="AQ725" s="247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3" t="s">
        <v>1697</v>
      </c>
      <c r="F729" s="2493"/>
      <c r="G729" s="2493"/>
      <c r="H729" s="2493"/>
      <c r="I729" s="2493"/>
      <c r="J729" s="2493"/>
      <c r="K729" s="2493"/>
      <c r="L729" s="2493"/>
      <c r="M729" s="2493"/>
      <c r="N729" s="2493"/>
      <c r="O729" s="2493"/>
      <c r="P729" s="2493"/>
      <c r="Q729" s="2493"/>
      <c r="R729" s="2493"/>
      <c r="S729" s="2493"/>
      <c r="T729" s="2493"/>
      <c r="U729" s="2493"/>
      <c r="V729" s="2493"/>
      <c r="W729" s="2493"/>
      <c r="X729" s="2493"/>
      <c r="Y729" s="2493"/>
      <c r="Z729" s="2493"/>
      <c r="AA729" s="2493"/>
      <c r="AB729" s="2493"/>
      <c r="AC729" s="536"/>
      <c r="AD729" s="536"/>
      <c r="AE729" s="536"/>
      <c r="AF729" s="2438" t="s">
        <v>1353</v>
      </c>
      <c r="AG729" s="2438"/>
      <c r="AH729" s="2438"/>
      <c r="AI729" s="2438"/>
      <c r="AJ729" s="2438"/>
      <c r="AK729" s="2438"/>
      <c r="AL729" s="2438"/>
      <c r="AM729" s="550"/>
      <c r="AN729" s="684"/>
      <c r="AT729" s="14"/>
      <c r="AU729" s="14"/>
      <c r="AV729" s="14"/>
      <c r="AW729" s="14"/>
      <c r="AX729" s="14"/>
      <c r="AY729" s="14"/>
      <c r="AZ729" s="14"/>
    </row>
    <row r="730" spans="1:81" s="570" customFormat="1">
      <c r="A730" s="550"/>
      <c r="B730" s="536"/>
      <c r="C730" s="933"/>
      <c r="D730" s="663"/>
      <c r="E730" s="2493"/>
      <c r="F730" s="2493"/>
      <c r="G730" s="2493"/>
      <c r="H730" s="2493"/>
      <c r="I730" s="2493"/>
      <c r="J730" s="2493"/>
      <c r="K730" s="2493"/>
      <c r="L730" s="2493"/>
      <c r="M730" s="2493"/>
      <c r="N730" s="2493"/>
      <c r="O730" s="2493"/>
      <c r="P730" s="2493"/>
      <c r="Q730" s="2493"/>
      <c r="R730" s="2493"/>
      <c r="S730" s="2493"/>
      <c r="T730" s="2493"/>
      <c r="U730" s="2493"/>
      <c r="V730" s="2493"/>
      <c r="W730" s="2493"/>
      <c r="X730" s="2493"/>
      <c r="Y730" s="2493"/>
      <c r="Z730" s="2493"/>
      <c r="AA730" s="2493"/>
      <c r="AB730" s="249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3" t="s">
        <v>1440</v>
      </c>
      <c r="F732" s="2493"/>
      <c r="G732" s="2493"/>
      <c r="H732" s="2493"/>
      <c r="I732" s="2493"/>
      <c r="J732" s="2493"/>
      <c r="K732" s="2493"/>
      <c r="L732" s="2493"/>
      <c r="M732" s="2493"/>
      <c r="N732" s="2493"/>
      <c r="O732" s="2493"/>
      <c r="P732" s="2493"/>
      <c r="Q732" s="2493"/>
      <c r="R732" s="2493"/>
      <c r="S732" s="2493"/>
      <c r="T732" s="2493"/>
      <c r="U732" s="2493"/>
      <c r="V732" s="2493"/>
      <c r="W732" s="2493"/>
      <c r="X732" s="2493"/>
      <c r="Y732" s="2493"/>
      <c r="Z732" s="2493"/>
      <c r="AA732" s="2493"/>
      <c r="AB732" s="2493"/>
      <c r="AC732" s="536"/>
      <c r="AD732" s="536"/>
      <c r="AE732" s="536"/>
      <c r="AF732" s="2438" t="s">
        <v>1409</v>
      </c>
      <c r="AG732" s="2438"/>
      <c r="AH732" s="2438"/>
      <c r="AI732" s="2438"/>
      <c r="AJ732" s="2438"/>
      <c r="AK732" s="2438"/>
      <c r="AL732" s="2438"/>
      <c r="AM732" s="550"/>
      <c r="AN732" s="684"/>
      <c r="AT732" s="14"/>
      <c r="AU732" s="14"/>
      <c r="AV732" s="14"/>
      <c r="AW732" s="14"/>
      <c r="AX732" s="14"/>
      <c r="AY732" s="14"/>
      <c r="AZ732" s="14"/>
    </row>
    <row r="733" spans="1:81" s="570" customFormat="1">
      <c r="A733" s="550"/>
      <c r="B733" s="536"/>
      <c r="C733" s="933"/>
      <c r="D733" s="536"/>
      <c r="E733" s="2493"/>
      <c r="F733" s="2493"/>
      <c r="G733" s="2493"/>
      <c r="H733" s="2493"/>
      <c r="I733" s="2493"/>
      <c r="J733" s="2493"/>
      <c r="K733" s="2493"/>
      <c r="L733" s="2493"/>
      <c r="M733" s="2493"/>
      <c r="N733" s="2493"/>
      <c r="O733" s="2493"/>
      <c r="P733" s="2493"/>
      <c r="Q733" s="2493"/>
      <c r="R733" s="2493"/>
      <c r="S733" s="2493"/>
      <c r="T733" s="2493"/>
      <c r="U733" s="2493"/>
      <c r="V733" s="2493"/>
      <c r="W733" s="2493"/>
      <c r="X733" s="2493"/>
      <c r="Y733" s="2493"/>
      <c r="Z733" s="2493"/>
      <c r="AA733" s="2493"/>
      <c r="AB733" s="249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2" t="s">
        <v>592</v>
      </c>
      <c r="I735" s="252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3">
        <f>VLOOKUP($H$735,$AO$666:$AP$668,2,FALSE)</f>
        <v>0</v>
      </c>
      <c r="AK737" s="247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3" t="s">
        <v>1443</v>
      </c>
      <c r="F741" s="2493"/>
      <c r="G741" s="2493"/>
      <c r="H741" s="2493"/>
      <c r="I741" s="2493"/>
      <c r="J741" s="2493"/>
      <c r="K741" s="2493"/>
      <c r="L741" s="2493"/>
      <c r="M741" s="2493"/>
      <c r="N741" s="2493"/>
      <c r="O741" s="2493"/>
      <c r="P741" s="2493"/>
      <c r="Q741" s="2493"/>
      <c r="R741" s="2493"/>
      <c r="S741" s="2493"/>
      <c r="T741" s="2493"/>
      <c r="U741" s="2493"/>
      <c r="V741" s="2493"/>
      <c r="W741" s="2493"/>
      <c r="X741" s="2493"/>
      <c r="Y741" s="2493"/>
      <c r="Z741" s="2493"/>
      <c r="AA741" s="2493"/>
      <c r="AB741" s="2493"/>
      <c r="AC741" s="536"/>
      <c r="AD741" s="536"/>
      <c r="AE741" s="536"/>
      <c r="AF741" s="2438" t="s">
        <v>1353</v>
      </c>
      <c r="AG741" s="2438"/>
      <c r="AH741" s="2438"/>
      <c r="AI741" s="2438"/>
      <c r="AJ741" s="2438"/>
      <c r="AK741" s="2438"/>
      <c r="AL741" s="2438"/>
      <c r="AM741" s="550"/>
      <c r="AN741" s="684"/>
      <c r="AT741" s="14"/>
      <c r="AU741" s="14"/>
      <c r="AV741" s="14"/>
      <c r="AW741" s="14"/>
      <c r="AX741" s="14"/>
      <c r="AY741" s="14"/>
      <c r="AZ741" s="14"/>
    </row>
    <row r="742" spans="1:81" s="570" customFormat="1">
      <c r="A742" s="550"/>
      <c r="B742" s="536"/>
      <c r="C742" s="931"/>
      <c r="D742" s="663"/>
      <c r="E742" s="2493"/>
      <c r="F742" s="2493"/>
      <c r="G742" s="2493"/>
      <c r="H742" s="2493"/>
      <c r="I742" s="2493"/>
      <c r="J742" s="2493"/>
      <c r="K742" s="2493"/>
      <c r="L742" s="2493"/>
      <c r="M742" s="2493"/>
      <c r="N742" s="2493"/>
      <c r="O742" s="2493"/>
      <c r="P742" s="2493"/>
      <c r="Q742" s="2493"/>
      <c r="R742" s="2493"/>
      <c r="S742" s="2493"/>
      <c r="T742" s="2493"/>
      <c r="U742" s="2493"/>
      <c r="V742" s="2493"/>
      <c r="W742" s="2493"/>
      <c r="X742" s="2493"/>
      <c r="Y742" s="2493"/>
      <c r="Z742" s="2493"/>
      <c r="AA742" s="2493"/>
      <c r="AB742" s="249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3"/>
      <c r="F743" s="2493"/>
      <c r="G743" s="2493"/>
      <c r="H743" s="2493"/>
      <c r="I743" s="2493"/>
      <c r="J743" s="2493"/>
      <c r="K743" s="2493"/>
      <c r="L743" s="2493"/>
      <c r="M743" s="2493"/>
      <c r="N743" s="2493"/>
      <c r="O743" s="2493"/>
      <c r="P743" s="2493"/>
      <c r="Q743" s="2493"/>
      <c r="R743" s="2493"/>
      <c r="S743" s="2493"/>
      <c r="T743" s="2493"/>
      <c r="U743" s="2493"/>
      <c r="V743" s="2493"/>
      <c r="W743" s="2493"/>
      <c r="X743" s="2493"/>
      <c r="Y743" s="2493"/>
      <c r="Z743" s="2493"/>
      <c r="AA743" s="2493"/>
      <c r="AB743" s="249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3"/>
      <c r="F744" s="2493"/>
      <c r="G744" s="2493"/>
      <c r="H744" s="2493"/>
      <c r="I744" s="2493"/>
      <c r="J744" s="2493"/>
      <c r="K744" s="2493"/>
      <c r="L744" s="2493"/>
      <c r="M744" s="2493"/>
      <c r="N744" s="2493"/>
      <c r="O744" s="2493"/>
      <c r="P744" s="2493"/>
      <c r="Q744" s="2493"/>
      <c r="R744" s="2493"/>
      <c r="S744" s="2493"/>
      <c r="T744" s="2493"/>
      <c r="U744" s="2493"/>
      <c r="V744" s="2493"/>
      <c r="W744" s="2493"/>
      <c r="X744" s="2493"/>
      <c r="Y744" s="2493"/>
      <c r="Z744" s="2493"/>
      <c r="AA744" s="2493"/>
      <c r="AB744" s="249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3" t="s">
        <v>1444</v>
      </c>
      <c r="F746" s="2493"/>
      <c r="G746" s="2493"/>
      <c r="H746" s="2493"/>
      <c r="I746" s="2493"/>
      <c r="J746" s="2493"/>
      <c r="K746" s="2493"/>
      <c r="L746" s="2493"/>
      <c r="M746" s="2493"/>
      <c r="N746" s="2493"/>
      <c r="O746" s="2493"/>
      <c r="P746" s="2493"/>
      <c r="Q746" s="2493"/>
      <c r="R746" s="2493"/>
      <c r="S746" s="2493"/>
      <c r="T746" s="2493"/>
      <c r="U746" s="2493"/>
      <c r="V746" s="2493"/>
      <c r="W746" s="2493"/>
      <c r="X746" s="2493"/>
      <c r="Y746" s="2493"/>
      <c r="Z746" s="2493"/>
      <c r="AA746" s="2493"/>
      <c r="AB746" s="575"/>
      <c r="AC746" s="536"/>
      <c r="AD746" s="536"/>
      <c r="AE746" s="536"/>
      <c r="AF746" s="2438" t="s">
        <v>1409</v>
      </c>
      <c r="AG746" s="2438"/>
      <c r="AH746" s="2438"/>
      <c r="AI746" s="2438"/>
      <c r="AJ746" s="2438"/>
      <c r="AK746" s="2438"/>
      <c r="AL746" s="2438"/>
      <c r="AM746" s="550"/>
      <c r="AN746" s="684"/>
      <c r="AO746" s="30"/>
      <c r="AP746" s="14"/>
    </row>
    <row r="747" spans="1:81" s="570" customFormat="1">
      <c r="A747" s="550"/>
      <c r="B747" s="536"/>
      <c r="C747" s="931"/>
      <c r="D747" s="663"/>
      <c r="E747" s="2493"/>
      <c r="F747" s="2493"/>
      <c r="G747" s="2493"/>
      <c r="H747" s="2493"/>
      <c r="I747" s="2493"/>
      <c r="J747" s="2493"/>
      <c r="K747" s="2493"/>
      <c r="L747" s="2493"/>
      <c r="M747" s="2493"/>
      <c r="N747" s="2493"/>
      <c r="O747" s="2493"/>
      <c r="P747" s="2493"/>
      <c r="Q747" s="2493"/>
      <c r="R747" s="2493"/>
      <c r="S747" s="2493"/>
      <c r="T747" s="2493"/>
      <c r="U747" s="2493"/>
      <c r="V747" s="2493"/>
      <c r="W747" s="2493"/>
      <c r="X747" s="2493"/>
      <c r="Y747" s="2493"/>
      <c r="Z747" s="2493"/>
      <c r="AA747" s="249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3"/>
      <c r="F748" s="2493"/>
      <c r="G748" s="2493"/>
      <c r="H748" s="2493"/>
      <c r="I748" s="2493"/>
      <c r="J748" s="2493"/>
      <c r="K748" s="2493"/>
      <c r="L748" s="2493"/>
      <c r="M748" s="2493"/>
      <c r="N748" s="2493"/>
      <c r="O748" s="2493"/>
      <c r="P748" s="2493"/>
      <c r="Q748" s="2493"/>
      <c r="R748" s="2493"/>
      <c r="S748" s="2493"/>
      <c r="T748" s="2493"/>
      <c r="U748" s="2493"/>
      <c r="V748" s="2493"/>
      <c r="W748" s="2493"/>
      <c r="X748" s="2493"/>
      <c r="Y748" s="2493"/>
      <c r="Z748" s="2493"/>
      <c r="AA748" s="249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3"/>
      <c r="F749" s="2493"/>
      <c r="G749" s="2493"/>
      <c r="H749" s="2493"/>
      <c r="I749" s="2493"/>
      <c r="J749" s="2493"/>
      <c r="K749" s="2493"/>
      <c r="L749" s="2493"/>
      <c r="M749" s="2493"/>
      <c r="N749" s="2493"/>
      <c r="O749" s="2493"/>
      <c r="P749" s="2493"/>
      <c r="Q749" s="2493"/>
      <c r="R749" s="2493"/>
      <c r="S749" s="2493"/>
      <c r="T749" s="2493"/>
      <c r="U749" s="2493"/>
      <c r="V749" s="2493"/>
      <c r="W749" s="2493"/>
      <c r="X749" s="2493"/>
      <c r="Y749" s="2493"/>
      <c r="Z749" s="2493"/>
      <c r="AA749" s="249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2" t="s">
        <v>592</v>
      </c>
      <c r="I751" s="252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3">
        <f>VLOOKUP($H$751,$AO$680:$AP$682,2,FALSE)</f>
        <v>0</v>
      </c>
      <c r="AK753" s="247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3" t="s">
        <v>1446</v>
      </c>
      <c r="F757" s="2493"/>
      <c r="G757" s="2493"/>
      <c r="H757" s="2493"/>
      <c r="I757" s="2493"/>
      <c r="J757" s="2493"/>
      <c r="K757" s="2493"/>
      <c r="L757" s="2493"/>
      <c r="M757" s="2493"/>
      <c r="N757" s="2493"/>
      <c r="O757" s="2493"/>
      <c r="P757" s="2493"/>
      <c r="Q757" s="2493"/>
      <c r="R757" s="2493"/>
      <c r="S757" s="2493"/>
      <c r="T757" s="2493"/>
      <c r="U757" s="2493"/>
      <c r="V757" s="2493"/>
      <c r="W757" s="2493"/>
      <c r="X757" s="2493"/>
      <c r="Y757" s="2493"/>
      <c r="Z757" s="2493"/>
      <c r="AA757" s="2493"/>
      <c r="AB757" s="2493"/>
      <c r="AC757" s="536"/>
      <c r="AD757" s="536"/>
      <c r="AE757" s="536"/>
      <c r="AF757" s="2438" t="s">
        <v>1409</v>
      </c>
      <c r="AG757" s="2438"/>
      <c r="AH757" s="2438"/>
      <c r="AI757" s="2438"/>
      <c r="AJ757" s="2438"/>
      <c r="AK757" s="2438"/>
      <c r="AL757" s="243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3"/>
      <c r="F758" s="2493"/>
      <c r="G758" s="2493"/>
      <c r="H758" s="2493"/>
      <c r="I758" s="2493"/>
      <c r="J758" s="2493"/>
      <c r="K758" s="2493"/>
      <c r="L758" s="2493"/>
      <c r="M758" s="2493"/>
      <c r="N758" s="2493"/>
      <c r="O758" s="2493"/>
      <c r="P758" s="2493"/>
      <c r="Q758" s="2493"/>
      <c r="R758" s="2493"/>
      <c r="S758" s="2493"/>
      <c r="T758" s="2493"/>
      <c r="U758" s="2493"/>
      <c r="V758" s="2493"/>
      <c r="W758" s="2493"/>
      <c r="X758" s="2493"/>
      <c r="Y758" s="2493"/>
      <c r="Z758" s="2493"/>
      <c r="AA758" s="2493"/>
      <c r="AB758" s="249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3" t="s">
        <v>1447</v>
      </c>
      <c r="F760" s="2493"/>
      <c r="G760" s="2493"/>
      <c r="H760" s="2493"/>
      <c r="I760" s="2493"/>
      <c r="J760" s="2493"/>
      <c r="K760" s="2493"/>
      <c r="L760" s="2493"/>
      <c r="M760" s="2493"/>
      <c r="N760" s="2493"/>
      <c r="O760" s="2493"/>
      <c r="P760" s="2493"/>
      <c r="Q760" s="2493"/>
      <c r="R760" s="2493"/>
      <c r="S760" s="2493"/>
      <c r="T760" s="2493"/>
      <c r="U760" s="2493"/>
      <c r="V760" s="2493"/>
      <c r="W760" s="2493"/>
      <c r="X760" s="2493"/>
      <c r="Y760" s="2493"/>
      <c r="Z760" s="2493"/>
      <c r="AA760" s="2493"/>
      <c r="AB760" s="2493"/>
      <c r="AC760" s="536"/>
      <c r="AD760" s="536"/>
      <c r="AE760" s="536"/>
      <c r="AF760" s="2438" t="s">
        <v>1426</v>
      </c>
      <c r="AG760" s="2438"/>
      <c r="AH760" s="2438"/>
      <c r="AI760" s="2438"/>
      <c r="AJ760" s="2438"/>
      <c r="AK760" s="2438"/>
      <c r="AL760" s="243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3"/>
      <c r="F761" s="2493"/>
      <c r="G761" s="2493"/>
      <c r="H761" s="2493"/>
      <c r="I761" s="2493"/>
      <c r="J761" s="2493"/>
      <c r="K761" s="2493"/>
      <c r="L761" s="2493"/>
      <c r="M761" s="2493"/>
      <c r="N761" s="2493"/>
      <c r="O761" s="2493"/>
      <c r="P761" s="2493"/>
      <c r="Q761" s="2493"/>
      <c r="R761" s="2493"/>
      <c r="S761" s="2493"/>
      <c r="T761" s="2493"/>
      <c r="U761" s="2493"/>
      <c r="V761" s="2493"/>
      <c r="W761" s="2493"/>
      <c r="X761" s="2493"/>
      <c r="Y761" s="2493"/>
      <c r="Z761" s="2493"/>
      <c r="AA761" s="2493"/>
      <c r="AB761" s="249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2" t="s">
        <v>592</v>
      </c>
      <c r="I763" s="252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3">
        <f>VLOOKUP($H$763,$AO$697:$AP$699,2,FALSE)</f>
        <v>0</v>
      </c>
      <c r="AK765" s="247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3" t="s">
        <v>1693</v>
      </c>
      <c r="F769" s="2493"/>
      <c r="G769" s="2493"/>
      <c r="H769" s="2493"/>
      <c r="I769" s="2493"/>
      <c r="J769" s="2493"/>
      <c r="K769" s="2493"/>
      <c r="L769" s="2493"/>
      <c r="M769" s="2493"/>
      <c r="N769" s="2493"/>
      <c r="O769" s="2493"/>
      <c r="P769" s="2493"/>
      <c r="Q769" s="2493"/>
      <c r="R769" s="2493"/>
      <c r="S769" s="2493"/>
      <c r="T769" s="2493"/>
      <c r="U769" s="2493"/>
      <c r="V769" s="2493"/>
      <c r="W769" s="2493"/>
      <c r="X769" s="2493"/>
      <c r="Y769" s="2493"/>
      <c r="Z769" s="2493"/>
      <c r="AA769" s="2493"/>
      <c r="AB769" s="2493"/>
      <c r="AC769" s="2493"/>
      <c r="AD769" s="2493"/>
      <c r="AE769" s="536"/>
      <c r="AF769" s="2438" t="s">
        <v>1409</v>
      </c>
      <c r="AG769" s="2438"/>
      <c r="AH769" s="2438"/>
      <c r="AI769" s="2438"/>
      <c r="AJ769" s="2438"/>
      <c r="AK769" s="2438"/>
      <c r="AL769" s="2438"/>
      <c r="AM769" s="613"/>
      <c r="AN769" s="684"/>
      <c r="AO769" s="550" t="s">
        <v>592</v>
      </c>
      <c r="AP769" s="673">
        <v>0</v>
      </c>
    </row>
    <row r="770" spans="1:81" s="570" customFormat="1" ht="13.7" customHeight="1">
      <c r="A770" s="550"/>
      <c r="B770" s="616"/>
      <c r="C770" s="940"/>
      <c r="D770" s="663"/>
      <c r="E770" s="2493"/>
      <c r="F770" s="2493"/>
      <c r="G770" s="2493"/>
      <c r="H770" s="2493"/>
      <c r="I770" s="2493"/>
      <c r="J770" s="2493"/>
      <c r="K770" s="2493"/>
      <c r="L770" s="2493"/>
      <c r="M770" s="2493"/>
      <c r="N770" s="2493"/>
      <c r="O770" s="2493"/>
      <c r="P770" s="2493"/>
      <c r="Q770" s="2493"/>
      <c r="R770" s="2493"/>
      <c r="S770" s="2493"/>
      <c r="T770" s="2493"/>
      <c r="U770" s="2493"/>
      <c r="V770" s="2493"/>
      <c r="W770" s="2493"/>
      <c r="X770" s="2493"/>
      <c r="Y770" s="2493"/>
      <c r="Z770" s="2493"/>
      <c r="AA770" s="2493"/>
      <c r="AB770" s="2493"/>
      <c r="AC770" s="2493"/>
      <c r="AD770" s="249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3"/>
      <c r="F771" s="2493"/>
      <c r="G771" s="2493"/>
      <c r="H771" s="2493"/>
      <c r="I771" s="2493"/>
      <c r="J771" s="2493"/>
      <c r="K771" s="2493"/>
      <c r="L771" s="2493"/>
      <c r="M771" s="2493"/>
      <c r="N771" s="2493"/>
      <c r="O771" s="2493"/>
      <c r="P771" s="2493"/>
      <c r="Q771" s="2493"/>
      <c r="R771" s="2493"/>
      <c r="S771" s="2493"/>
      <c r="T771" s="2493"/>
      <c r="U771" s="2493"/>
      <c r="V771" s="2493"/>
      <c r="W771" s="2493"/>
      <c r="X771" s="2493"/>
      <c r="Y771" s="2493"/>
      <c r="Z771" s="2493"/>
      <c r="AA771" s="2493"/>
      <c r="AB771" s="2493"/>
      <c r="AC771" s="2493"/>
      <c r="AD771" s="249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3"/>
      <c r="F772" s="2493"/>
      <c r="G772" s="2493"/>
      <c r="H772" s="2493"/>
      <c r="I772" s="2493"/>
      <c r="J772" s="2493"/>
      <c r="K772" s="2493"/>
      <c r="L772" s="2493"/>
      <c r="M772" s="2493"/>
      <c r="N772" s="2493"/>
      <c r="O772" s="2493"/>
      <c r="P772" s="2493"/>
      <c r="Q772" s="2493"/>
      <c r="R772" s="2493"/>
      <c r="S772" s="2493"/>
      <c r="T772" s="2493"/>
      <c r="U772" s="2493"/>
      <c r="V772" s="2493"/>
      <c r="W772" s="2493"/>
      <c r="X772" s="2493"/>
      <c r="Y772" s="2493"/>
      <c r="Z772" s="2493"/>
      <c r="AA772" s="2493"/>
      <c r="AB772" s="2493"/>
      <c r="AC772" s="2493"/>
      <c r="AD772" s="249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438" t="s">
        <v>1353</v>
      </c>
      <c r="AG774" s="2438"/>
      <c r="AH774" s="2438"/>
      <c r="AI774" s="2438"/>
      <c r="AJ774" s="2438"/>
      <c r="AK774" s="2438"/>
      <c r="AL774" s="2438"/>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2" t="s">
        <v>592</v>
      </c>
      <c r="I779" s="252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3">
        <f>VLOOKUP($H$779,$AO$769:$AP$771,2,FALSE)</f>
        <v>0</v>
      </c>
      <c r="AK781" s="247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3" t="s">
        <v>2033</v>
      </c>
      <c r="F785" s="2493"/>
      <c r="G785" s="2493"/>
      <c r="H785" s="2493"/>
      <c r="I785" s="2493"/>
      <c r="J785" s="2493"/>
      <c r="K785" s="2493"/>
      <c r="L785" s="2493"/>
      <c r="M785" s="2493"/>
      <c r="N785" s="2493"/>
      <c r="O785" s="2493"/>
      <c r="P785" s="2493"/>
      <c r="Q785" s="2493"/>
      <c r="R785" s="2493"/>
      <c r="S785" s="2493"/>
      <c r="T785" s="2493"/>
      <c r="U785" s="2493"/>
      <c r="V785" s="2493"/>
      <c r="W785" s="2493"/>
      <c r="X785" s="2493"/>
      <c r="Y785" s="2493"/>
      <c r="Z785" s="2493"/>
      <c r="AA785" s="2493"/>
      <c r="AB785" s="2493"/>
      <c r="AC785" s="2493"/>
      <c r="AD785" s="2493"/>
      <c r="AE785" s="536"/>
      <c r="AF785" s="2438" t="s">
        <v>1353</v>
      </c>
      <c r="AG785" s="2438"/>
      <c r="AH785" s="2438"/>
      <c r="AI785" s="2438"/>
      <c r="AJ785" s="2438"/>
      <c r="AK785" s="2438"/>
      <c r="AL785" s="2438"/>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3"/>
      <c r="F786" s="2493"/>
      <c r="G786" s="2493"/>
      <c r="H786" s="2493"/>
      <c r="I786" s="2493"/>
      <c r="J786" s="2493"/>
      <c r="K786" s="2493"/>
      <c r="L786" s="2493"/>
      <c r="M786" s="2493"/>
      <c r="N786" s="2493"/>
      <c r="O786" s="2493"/>
      <c r="P786" s="2493"/>
      <c r="Q786" s="2493"/>
      <c r="R786" s="2493"/>
      <c r="S786" s="2493"/>
      <c r="T786" s="2493"/>
      <c r="U786" s="2493"/>
      <c r="V786" s="2493"/>
      <c r="W786" s="2493"/>
      <c r="X786" s="2493"/>
      <c r="Y786" s="2493"/>
      <c r="Z786" s="2493"/>
      <c r="AA786" s="2493"/>
      <c r="AB786" s="2493"/>
      <c r="AC786" s="2493"/>
      <c r="AD786" s="249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3"/>
      <c r="F787" s="2493"/>
      <c r="G787" s="2493"/>
      <c r="H787" s="2493"/>
      <c r="I787" s="2493"/>
      <c r="J787" s="2493"/>
      <c r="K787" s="2493"/>
      <c r="L787" s="2493"/>
      <c r="M787" s="2493"/>
      <c r="N787" s="2493"/>
      <c r="O787" s="2493"/>
      <c r="P787" s="2493"/>
      <c r="Q787" s="2493"/>
      <c r="R787" s="2493"/>
      <c r="S787" s="2493"/>
      <c r="T787" s="2493"/>
      <c r="U787" s="2493"/>
      <c r="V787" s="2493"/>
      <c r="W787" s="2493"/>
      <c r="X787" s="2493"/>
      <c r="Y787" s="2493"/>
      <c r="Z787" s="2493"/>
      <c r="AA787" s="2493"/>
      <c r="AB787" s="2493"/>
      <c r="AC787" s="2493"/>
      <c r="AD787" s="249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3"/>
      <c r="F788" s="2493"/>
      <c r="G788" s="2493"/>
      <c r="H788" s="2493"/>
      <c r="I788" s="2493"/>
      <c r="J788" s="2493"/>
      <c r="K788" s="2493"/>
      <c r="L788" s="2493"/>
      <c r="M788" s="2493"/>
      <c r="N788" s="2493"/>
      <c r="O788" s="2493"/>
      <c r="P788" s="2493"/>
      <c r="Q788" s="2493"/>
      <c r="R788" s="2493"/>
      <c r="S788" s="2493"/>
      <c r="T788" s="2493"/>
      <c r="U788" s="2493"/>
      <c r="V788" s="2493"/>
      <c r="W788" s="2493"/>
      <c r="X788" s="2493"/>
      <c r="Y788" s="2493"/>
      <c r="Z788" s="2493"/>
      <c r="AA788" s="2493"/>
      <c r="AB788" s="2493"/>
      <c r="AC788" s="2493"/>
      <c r="AD788" s="249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2" t="s">
        <v>592</v>
      </c>
      <c r="I790" s="252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3">
        <f>VLOOKUP($H$790,$AO$784:$AP$785,2,FALSE)</f>
        <v>0</v>
      </c>
      <c r="AK792" s="247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3">
        <f>IF(($AJ$621+$AJ$640+$AJ$652+$AJ$687+$AJ$711+$AJ$725+$AJ$737+$AJ$753+$AJ$765+$AJ$781+AJ792)&gt;10,10,($AJ$621+$AJ$640+$AJ$652+$AJ$687+$AJ$711+$AJ$725+$AJ$737+$AJ$753+$AJ$765+$AJ$781+AJ792))</f>
        <v>10</v>
      </c>
      <c r="AL794" s="2474"/>
      <c r="AM794" s="247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6" t="s">
        <v>1569</v>
      </c>
      <c r="B797" s="2567"/>
      <c r="C797" s="2567"/>
      <c r="D797" s="2567"/>
      <c r="E797" s="2567"/>
      <c r="F797" s="2567"/>
      <c r="G797" s="2567"/>
      <c r="H797" s="2567"/>
      <c r="I797" s="2567"/>
      <c r="J797" s="2567"/>
      <c r="K797" s="2567"/>
      <c r="L797" s="2567"/>
      <c r="M797" s="2567"/>
      <c r="N797" s="2567"/>
      <c r="O797" s="2567"/>
      <c r="P797" s="2567"/>
      <c r="Q797" s="2567"/>
      <c r="R797" s="2567"/>
      <c r="S797" s="2567"/>
      <c r="T797" s="2567"/>
      <c r="U797" s="2567"/>
      <c r="V797" s="2567"/>
      <c r="W797" s="2567"/>
      <c r="X797" s="2567"/>
      <c r="Y797" s="2567"/>
      <c r="Z797" s="2567"/>
      <c r="AA797" s="2567"/>
      <c r="AB797" s="2567"/>
      <c r="AC797" s="2567"/>
      <c r="AD797" s="2567"/>
      <c r="AE797" s="2567"/>
      <c r="AF797" s="2567"/>
      <c r="AG797" s="2567"/>
      <c r="AH797" s="2567"/>
      <c r="AI797" s="2567"/>
      <c r="AJ797" s="2567"/>
      <c r="AK797" s="2567"/>
      <c r="AL797" s="2567"/>
      <c r="AM797" s="2567"/>
    </row>
    <row r="798" spans="1:81">
      <c r="A798" s="2568"/>
      <c r="B798" s="2568"/>
      <c r="C798" s="2568"/>
      <c r="D798" s="2568"/>
      <c r="E798" s="2568"/>
      <c r="F798" s="2568"/>
      <c r="G798" s="2568"/>
      <c r="H798" s="2568"/>
      <c r="I798" s="2568"/>
      <c r="J798" s="2568"/>
      <c r="K798" s="2568"/>
      <c r="L798" s="2568"/>
      <c r="M798" s="2568"/>
      <c r="N798" s="2568"/>
      <c r="O798" s="2568"/>
      <c r="P798" s="2568"/>
      <c r="Q798" s="2568"/>
      <c r="R798" s="2568"/>
      <c r="S798" s="2568"/>
      <c r="T798" s="2568"/>
      <c r="U798" s="2568"/>
      <c r="V798" s="2568"/>
      <c r="W798" s="2568"/>
      <c r="X798" s="2568"/>
      <c r="Y798" s="2568"/>
      <c r="Z798" s="2568"/>
      <c r="AA798" s="2568"/>
      <c r="AB798" s="2568"/>
      <c r="AC798" s="2568"/>
      <c r="AD798" s="2568"/>
      <c r="AE798" s="2568"/>
      <c r="AF798" s="2568"/>
      <c r="AG798" s="2568"/>
      <c r="AH798" s="2568"/>
      <c r="AI798" s="2568"/>
      <c r="AJ798" s="2568"/>
      <c r="AK798" s="2568"/>
      <c r="AL798" s="2568"/>
      <c r="AM798" s="256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4"/>
      <c r="B800" s="2514"/>
      <c r="C800" s="2514"/>
      <c r="D800" s="2514"/>
      <c r="E800" s="2514"/>
      <c r="F800" s="2514"/>
      <c r="G800" s="2514"/>
      <c r="H800" s="2514"/>
      <c r="I800" s="2514"/>
      <c r="J800" s="2514"/>
      <c r="K800" s="2514"/>
      <c r="L800" s="2514"/>
      <c r="M800" s="2514"/>
      <c r="N800" s="2514"/>
      <c r="O800" s="2514"/>
      <c r="P800" s="2514"/>
      <c r="Q800" s="2514"/>
      <c r="R800" s="2514"/>
      <c r="S800" s="2514"/>
      <c r="T800" s="2514"/>
      <c r="U800" s="2514"/>
      <c r="V800" s="2514"/>
      <c r="W800" s="2514"/>
      <c r="X800" s="2514"/>
      <c r="Y800" s="2514"/>
      <c r="Z800" s="2514"/>
      <c r="AA800" s="2514"/>
      <c r="AB800" s="2514"/>
      <c r="AC800" s="2514"/>
      <c r="AD800" s="2514"/>
      <c r="AE800" s="2514"/>
      <c r="AF800" s="2514"/>
      <c r="AG800" s="2514"/>
      <c r="AH800" s="2514"/>
      <c r="AI800" s="2514"/>
      <c r="AJ800" s="2514"/>
      <c r="AK800" s="2514"/>
      <c r="AL800" s="2514"/>
      <c r="AM800" s="2514"/>
      <c r="AP800" s="816"/>
      <c r="AQ800" s="816"/>
    </row>
    <row r="801" spans="1:81">
      <c r="A801" s="2514"/>
      <c r="B801" s="2514"/>
      <c r="C801" s="2514"/>
      <c r="D801" s="2514"/>
      <c r="E801" s="2514"/>
      <c r="F801" s="2514"/>
      <c r="G801" s="2514"/>
      <c r="H801" s="2514"/>
      <c r="I801" s="2514"/>
      <c r="J801" s="2514"/>
      <c r="K801" s="2514"/>
      <c r="L801" s="2514"/>
      <c r="M801" s="2514"/>
      <c r="N801" s="2514"/>
      <c r="O801" s="2514"/>
      <c r="P801" s="2514"/>
      <c r="Q801" s="2514"/>
      <c r="R801" s="2514"/>
      <c r="S801" s="2514"/>
      <c r="T801" s="2514"/>
      <c r="U801" s="2514"/>
      <c r="V801" s="2514"/>
      <c r="W801" s="2514"/>
      <c r="X801" s="2514"/>
      <c r="Y801" s="2514"/>
      <c r="Z801" s="2514"/>
      <c r="AA801" s="2514"/>
      <c r="AB801" s="2514"/>
      <c r="AC801" s="2514"/>
      <c r="AD801" s="2514"/>
      <c r="AE801" s="2514"/>
      <c r="AF801" s="2514"/>
      <c r="AG801" s="2514"/>
      <c r="AH801" s="2514"/>
      <c r="AI801" s="2514"/>
      <c r="AJ801" s="2514"/>
      <c r="AK801" s="2514"/>
      <c r="AL801" s="2514"/>
      <c r="AM801" s="251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69" t="s">
        <v>1570</v>
      </c>
      <c r="U802" s="2570"/>
      <c r="V802" s="2570"/>
      <c r="W802" s="2570"/>
      <c r="X802" s="2570"/>
      <c r="Y802" s="2571"/>
      <c r="Z802" s="2569" t="s">
        <v>1571</v>
      </c>
      <c r="AA802" s="2570"/>
      <c r="AB802" s="2570"/>
      <c r="AC802" s="2570"/>
      <c r="AD802" s="2570"/>
      <c r="AE802" s="2571"/>
      <c r="AF802" s="2569" t="s">
        <v>1572</v>
      </c>
      <c r="AG802" s="2570"/>
      <c r="AH802" s="2570"/>
      <c r="AI802" s="2570"/>
      <c r="AJ802" s="2570"/>
      <c r="AK802" s="257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2"/>
      <c r="U803" s="2573"/>
      <c r="V803" s="2573"/>
      <c r="W803" s="2573"/>
      <c r="X803" s="2573"/>
      <c r="Y803" s="2574"/>
      <c r="Z803" s="2572"/>
      <c r="AA803" s="2573"/>
      <c r="AB803" s="2573"/>
      <c r="AC803" s="2573"/>
      <c r="AD803" s="2573"/>
      <c r="AE803" s="2574"/>
      <c r="AF803" s="2572"/>
      <c r="AG803" s="2573"/>
      <c r="AH803" s="2573"/>
      <c r="AI803" s="2573"/>
      <c r="AJ803" s="2573"/>
      <c r="AK803" s="2574"/>
      <c r="AL803" s="818"/>
      <c r="AM803" s="596"/>
      <c r="AO803" s="816"/>
      <c r="AP803" s="816"/>
      <c r="AQ803" s="816"/>
    </row>
    <row r="804" spans="1:81">
      <c r="A804" s="819" t="s">
        <v>758</v>
      </c>
      <c r="B804" s="2549" t="s">
        <v>1305</v>
      </c>
      <c r="C804" s="2549"/>
      <c r="D804" s="2549"/>
      <c r="E804" s="2549"/>
      <c r="F804" s="2549"/>
      <c r="G804" s="2549"/>
      <c r="H804" s="2549"/>
      <c r="I804" s="2549"/>
      <c r="J804" s="2549"/>
      <c r="K804" s="2549"/>
      <c r="L804" s="2549"/>
      <c r="M804" s="2549"/>
      <c r="N804" s="2549"/>
      <c r="O804" s="2549"/>
      <c r="P804" s="2549"/>
      <c r="Q804" s="2549"/>
      <c r="R804" s="2549"/>
      <c r="S804" s="2550"/>
      <c r="T804" s="2551">
        <f>AK62</f>
        <v>0</v>
      </c>
      <c r="U804" s="2552"/>
      <c r="V804" s="2552"/>
      <c r="W804" s="2552"/>
      <c r="X804" s="2552"/>
      <c r="Y804" s="2553"/>
      <c r="Z804" s="2554">
        <v>20</v>
      </c>
      <c r="AA804" s="2552"/>
      <c r="AB804" s="2552"/>
      <c r="AC804" s="2552"/>
      <c r="AD804" s="2552"/>
      <c r="AE804" s="2553"/>
      <c r="AF804" s="2535">
        <f>IF(T804&gt;Z804,Z804,T804)</f>
        <v>0</v>
      </c>
      <c r="AG804" s="2535"/>
      <c r="AH804" s="2535"/>
      <c r="AI804" s="2535"/>
      <c r="AJ804" s="2535"/>
      <c r="AK804" s="2535"/>
      <c r="AL804" s="818"/>
      <c r="AM804" s="596"/>
      <c r="AO804" s="816"/>
      <c r="AP804" s="816"/>
      <c r="AQ804" s="816"/>
    </row>
    <row r="805" spans="1:81">
      <c r="A805" s="819" t="s">
        <v>1542</v>
      </c>
      <c r="B805" s="2549" t="s">
        <v>1314</v>
      </c>
      <c r="C805" s="2549"/>
      <c r="D805" s="2549"/>
      <c r="E805" s="2549"/>
      <c r="F805" s="2549"/>
      <c r="G805" s="2549"/>
      <c r="H805" s="2549"/>
      <c r="I805" s="2549"/>
      <c r="J805" s="2549"/>
      <c r="K805" s="2549"/>
      <c r="L805" s="2549"/>
      <c r="M805" s="2549"/>
      <c r="N805" s="2549"/>
      <c r="O805" s="2549"/>
      <c r="P805" s="2549"/>
      <c r="Q805" s="2549"/>
      <c r="R805" s="2549"/>
      <c r="S805" s="2550"/>
      <c r="T805" s="2551">
        <f>AK84</f>
        <v>10</v>
      </c>
      <c r="U805" s="2552"/>
      <c r="V805" s="2552"/>
      <c r="W805" s="2552"/>
      <c r="X805" s="2552"/>
      <c r="Y805" s="2553"/>
      <c r="Z805" s="2554">
        <v>10</v>
      </c>
      <c r="AA805" s="2552"/>
      <c r="AB805" s="2552"/>
      <c r="AC805" s="2552"/>
      <c r="AD805" s="2552"/>
      <c r="AE805" s="2553"/>
      <c r="AF805" s="2535">
        <f>IF(T805&gt;Z805,Z805,T805)</f>
        <v>10</v>
      </c>
      <c r="AG805" s="2535"/>
      <c r="AH805" s="2535"/>
      <c r="AI805" s="2535"/>
      <c r="AJ805" s="2535"/>
      <c r="AK805" s="2535"/>
      <c r="AL805" s="818"/>
      <c r="AM805" s="596"/>
      <c r="AO805" s="816"/>
      <c r="AP805" s="816"/>
      <c r="AQ805" s="816"/>
    </row>
    <row r="806" spans="1:81">
      <c r="A806" s="819" t="s">
        <v>1551</v>
      </c>
      <c r="B806" s="2549" t="s">
        <v>1324</v>
      </c>
      <c r="C806" s="2549"/>
      <c r="D806" s="2549"/>
      <c r="E806" s="2549"/>
      <c r="F806" s="2549"/>
      <c r="G806" s="2549"/>
      <c r="H806" s="2549"/>
      <c r="I806" s="2549"/>
      <c r="J806" s="2549"/>
      <c r="K806" s="2549"/>
      <c r="L806" s="2549"/>
      <c r="M806" s="2549"/>
      <c r="N806" s="2549"/>
      <c r="O806" s="2549"/>
      <c r="P806" s="2549"/>
      <c r="Q806" s="2549"/>
      <c r="R806" s="2549"/>
      <c r="S806" s="2550"/>
      <c r="T806" s="2551">
        <f ca="1">AK109</f>
        <v>20</v>
      </c>
      <c r="U806" s="2552"/>
      <c r="V806" s="2552"/>
      <c r="W806" s="2552"/>
      <c r="X806" s="2552"/>
      <c r="Y806" s="2553"/>
      <c r="Z806" s="2554">
        <v>20</v>
      </c>
      <c r="AA806" s="2552"/>
      <c r="AB806" s="2552"/>
      <c r="AC806" s="2552"/>
      <c r="AD806" s="2552"/>
      <c r="AE806" s="2553"/>
      <c r="AF806" s="2535">
        <f ca="1">IF(T806&gt;Z806,Z806,T806)</f>
        <v>20</v>
      </c>
      <c r="AG806" s="2535"/>
      <c r="AH806" s="2535"/>
      <c r="AI806" s="2535"/>
      <c r="AJ806" s="2535"/>
      <c r="AK806" s="2535"/>
      <c r="AL806" s="818"/>
      <c r="AM806" s="596"/>
      <c r="AO806" s="816"/>
      <c r="AP806" s="816"/>
      <c r="AQ806" s="816"/>
    </row>
    <row r="807" spans="1:81">
      <c r="A807" s="819" t="s">
        <v>1573</v>
      </c>
      <c r="B807" s="2549" t="s">
        <v>1334</v>
      </c>
      <c r="C807" s="2549"/>
      <c r="D807" s="2549"/>
      <c r="E807" s="2549"/>
      <c r="F807" s="2549"/>
      <c r="G807" s="2549"/>
      <c r="H807" s="2549"/>
      <c r="I807" s="2549"/>
      <c r="J807" s="2549"/>
      <c r="K807" s="2549"/>
      <c r="L807" s="2549"/>
      <c r="M807" s="2549"/>
      <c r="N807" s="2549"/>
      <c r="O807" s="2549"/>
      <c r="P807" s="2549"/>
      <c r="Q807" s="2549"/>
      <c r="R807" s="2549"/>
      <c r="S807" s="2550"/>
      <c r="T807" s="2551">
        <f>AK143</f>
        <v>10</v>
      </c>
      <c r="U807" s="2552"/>
      <c r="V807" s="2552"/>
      <c r="W807" s="2552"/>
      <c r="X807" s="2552"/>
      <c r="Y807" s="2553"/>
      <c r="Z807" s="2554">
        <v>10</v>
      </c>
      <c r="AA807" s="2552"/>
      <c r="AB807" s="2552"/>
      <c r="AC807" s="2552"/>
      <c r="AD807" s="2552"/>
      <c r="AE807" s="2553"/>
      <c r="AF807" s="2535">
        <f>IF(T807&gt;Z807,Z807,T807)</f>
        <v>10</v>
      </c>
      <c r="AG807" s="2535"/>
      <c r="AH807" s="2535"/>
      <c r="AI807" s="2535"/>
      <c r="AJ807" s="2535"/>
      <c r="AK807" s="2535"/>
      <c r="AL807" s="818"/>
      <c r="AM807" s="596"/>
      <c r="AO807" s="816"/>
      <c r="AP807" s="816"/>
      <c r="AQ807" s="816"/>
    </row>
    <row r="808" spans="1:81">
      <c r="A808" s="820" t="s">
        <v>1574</v>
      </c>
      <c r="B808" s="2549" t="s">
        <v>1575</v>
      </c>
      <c r="C808" s="2549"/>
      <c r="D808" s="2549"/>
      <c r="E808" s="2549"/>
      <c r="F808" s="2549"/>
      <c r="G808" s="2549"/>
      <c r="H808" s="2549"/>
      <c r="I808" s="2549"/>
      <c r="J808" s="2549"/>
      <c r="K808" s="2549"/>
      <c r="L808" s="2549"/>
      <c r="M808" s="2549"/>
      <c r="N808" s="2549"/>
      <c r="O808" s="2549"/>
      <c r="P808" s="2549"/>
      <c r="Q808" s="2549"/>
      <c r="R808" s="2549"/>
      <c r="S808" s="2550"/>
      <c r="T808" s="2575">
        <f>SUM(T809:Y810)</f>
        <v>10</v>
      </c>
      <c r="U808" s="2575"/>
      <c r="V808" s="2575"/>
      <c r="W808" s="2575"/>
      <c r="X808" s="2575"/>
      <c r="Y808" s="2575"/>
      <c r="Z808" s="2535">
        <v>10</v>
      </c>
      <c r="AA808" s="2535"/>
      <c r="AB808" s="2535"/>
      <c r="AC808" s="2535"/>
      <c r="AD808" s="2535"/>
      <c r="AE808" s="2535"/>
      <c r="AF808" s="2535">
        <f>IF(T808&gt;Z808,Z808,T808)</f>
        <v>10</v>
      </c>
      <c r="AG808" s="2535"/>
      <c r="AH808" s="2535"/>
      <c r="AI808" s="2535"/>
      <c r="AJ808" s="2535"/>
      <c r="AK808" s="2535"/>
      <c r="AL808" s="818"/>
      <c r="AM808" s="596"/>
    </row>
    <row r="809" spans="1:81">
      <c r="A809" s="535"/>
      <c r="B809" s="601"/>
      <c r="C809" s="2576" t="s">
        <v>1576</v>
      </c>
      <c r="D809" s="2576"/>
      <c r="E809" s="2576"/>
      <c r="F809" s="2576"/>
      <c r="G809" s="2576"/>
      <c r="H809" s="2576"/>
      <c r="I809" s="2576"/>
      <c r="J809" s="2576"/>
      <c r="K809" s="2576"/>
      <c r="L809" s="2576"/>
      <c r="M809" s="2576"/>
      <c r="N809" s="2576"/>
      <c r="O809" s="2576"/>
      <c r="P809" s="2576"/>
      <c r="Q809" s="2576"/>
      <c r="R809" s="2576"/>
      <c r="S809" s="2577"/>
      <c r="T809" s="2468">
        <f>AJ166</f>
        <v>7</v>
      </c>
      <c r="U809" s="2468"/>
      <c r="V809" s="2468"/>
      <c r="W809" s="2468"/>
      <c r="X809" s="2468"/>
      <c r="Y809" s="2468"/>
      <c r="Z809" s="2469">
        <v>7</v>
      </c>
      <c r="AA809" s="2469"/>
      <c r="AB809" s="2469"/>
      <c r="AC809" s="2469"/>
      <c r="AD809" s="2469"/>
      <c r="AE809" s="2469"/>
      <c r="AF809" s="2578"/>
      <c r="AG809" s="2578"/>
      <c r="AH809" s="2578"/>
      <c r="AI809" s="2578"/>
      <c r="AJ809" s="2578"/>
      <c r="AK809" s="2578"/>
      <c r="AL809" s="818"/>
      <c r="AM809" s="596"/>
    </row>
    <row r="810" spans="1:81">
      <c r="A810" s="600"/>
      <c r="B810" s="601"/>
      <c r="C810" s="2576" t="s">
        <v>1577</v>
      </c>
      <c r="D810" s="2576"/>
      <c r="E810" s="2576"/>
      <c r="F810" s="2576"/>
      <c r="G810" s="2576"/>
      <c r="H810" s="2576"/>
      <c r="I810" s="2576"/>
      <c r="J810" s="2576"/>
      <c r="K810" s="2576"/>
      <c r="L810" s="2576"/>
      <c r="M810" s="2576"/>
      <c r="N810" s="2576"/>
      <c r="O810" s="2576"/>
      <c r="P810" s="2576"/>
      <c r="Q810" s="2576"/>
      <c r="R810" s="2576"/>
      <c r="S810" s="2577"/>
      <c r="T810" s="2468">
        <f>AJ180</f>
        <v>3</v>
      </c>
      <c r="U810" s="2468"/>
      <c r="V810" s="2468"/>
      <c r="W810" s="2468"/>
      <c r="X810" s="2468"/>
      <c r="Y810" s="2468"/>
      <c r="Z810" s="2469">
        <v>3</v>
      </c>
      <c r="AA810" s="2469"/>
      <c r="AB810" s="2469"/>
      <c r="AC810" s="2469"/>
      <c r="AD810" s="2469"/>
      <c r="AE810" s="2469"/>
      <c r="AF810" s="2578"/>
      <c r="AG810" s="2578"/>
      <c r="AH810" s="2578"/>
      <c r="AI810" s="2578"/>
      <c r="AJ810" s="2578"/>
      <c r="AK810" s="2578"/>
      <c r="AL810" s="818"/>
      <c r="AM810" s="596"/>
      <c r="AO810" s="550"/>
    </row>
    <row r="811" spans="1:81">
      <c r="A811" s="820" t="s">
        <v>1362</v>
      </c>
      <c r="B811" s="2549" t="s">
        <v>1578</v>
      </c>
      <c r="C811" s="2549"/>
      <c r="D811" s="2549"/>
      <c r="E811" s="2549"/>
      <c r="F811" s="2549"/>
      <c r="G811" s="2549"/>
      <c r="H811" s="2549"/>
      <c r="I811" s="2549"/>
      <c r="J811" s="2549"/>
      <c r="K811" s="2549"/>
      <c r="L811" s="2549"/>
      <c r="M811" s="2549"/>
      <c r="N811" s="2549"/>
      <c r="O811" s="2549"/>
      <c r="P811" s="2549"/>
      <c r="Q811" s="2549"/>
      <c r="R811" s="2549"/>
      <c r="S811" s="2550"/>
      <c r="T811" s="2575">
        <f>AK191</f>
        <v>10</v>
      </c>
      <c r="U811" s="2575"/>
      <c r="V811" s="2575"/>
      <c r="W811" s="2575"/>
      <c r="X811" s="2575"/>
      <c r="Y811" s="2575"/>
      <c r="Z811" s="2535">
        <v>10</v>
      </c>
      <c r="AA811" s="2535"/>
      <c r="AB811" s="2535"/>
      <c r="AC811" s="2535"/>
      <c r="AD811" s="2535"/>
      <c r="AE811" s="2535"/>
      <c r="AF811" s="2535">
        <f>IF(T811&gt;Z811,Z811,T811)</f>
        <v>10</v>
      </c>
      <c r="AG811" s="2535"/>
      <c r="AH811" s="2535"/>
      <c r="AI811" s="2535"/>
      <c r="AJ811" s="2535"/>
      <c r="AK811" s="2535"/>
      <c r="AL811" s="818"/>
      <c r="AM811" s="596"/>
    </row>
    <row r="812" spans="1:81">
      <c r="A812" s="819" t="s">
        <v>1371</v>
      </c>
      <c r="B812" s="2549" t="s">
        <v>1372</v>
      </c>
      <c r="C812" s="2549"/>
      <c r="D812" s="2549"/>
      <c r="E812" s="2549"/>
      <c r="F812" s="2549"/>
      <c r="G812" s="2549"/>
      <c r="H812" s="2549"/>
      <c r="I812" s="2549"/>
      <c r="J812" s="2549"/>
      <c r="K812" s="2549"/>
      <c r="L812" s="2549"/>
      <c r="M812" s="2549"/>
      <c r="N812" s="2549"/>
      <c r="O812" s="2549"/>
      <c r="P812" s="2549"/>
      <c r="Q812" s="2549"/>
      <c r="R812" s="2549"/>
      <c r="S812" s="2550"/>
      <c r="T812" s="2575">
        <f>AK273</f>
        <v>8</v>
      </c>
      <c r="U812" s="2575"/>
      <c r="V812" s="2575"/>
      <c r="W812" s="2575"/>
      <c r="X812" s="2575"/>
      <c r="Y812" s="2575"/>
      <c r="Z812" s="2554">
        <v>8</v>
      </c>
      <c r="AA812" s="2552"/>
      <c r="AB812" s="2552"/>
      <c r="AC812" s="2552"/>
      <c r="AD812" s="2552"/>
      <c r="AE812" s="2553"/>
      <c r="AF812" s="2535">
        <f>IF(T812&gt;Z812,Z812,T812)</f>
        <v>8</v>
      </c>
      <c r="AG812" s="2535"/>
      <c r="AH812" s="2535"/>
      <c r="AI812" s="2535"/>
      <c r="AJ812" s="2535"/>
      <c r="AK812" s="2535"/>
      <c r="AL812" s="818"/>
      <c r="AM812" s="596"/>
    </row>
    <row r="813" spans="1:81" s="534" customFormat="1" hidden="1">
      <c r="A813" s="820" t="s">
        <v>590</v>
      </c>
      <c r="B813" s="2549" t="s">
        <v>1579</v>
      </c>
      <c r="C813" s="2549"/>
      <c r="D813" s="2549"/>
      <c r="E813" s="2549"/>
      <c r="F813" s="2549"/>
      <c r="G813" s="2549"/>
      <c r="H813" s="2549"/>
      <c r="I813" s="2549"/>
      <c r="J813" s="2549"/>
      <c r="K813" s="2549"/>
      <c r="L813" s="2549"/>
      <c r="M813" s="2549"/>
      <c r="N813" s="2549"/>
      <c r="O813" s="2549"/>
      <c r="P813" s="2549"/>
      <c r="Q813" s="2549"/>
      <c r="R813" s="2549"/>
      <c r="S813" s="2550"/>
      <c r="T813" s="2575">
        <f>IF(AK535&gt;5,5,AK535)</f>
        <v>0</v>
      </c>
      <c r="U813" s="2575"/>
      <c r="V813" s="2575"/>
      <c r="W813" s="2575"/>
      <c r="X813" s="2575"/>
      <c r="Y813" s="2575"/>
      <c r="Z813" s="2535">
        <v>5</v>
      </c>
      <c r="AA813" s="2535"/>
      <c r="AB813" s="2535"/>
      <c r="AC813" s="2535"/>
      <c r="AD813" s="2535"/>
      <c r="AE813" s="2535"/>
      <c r="AF813" s="2535">
        <f>IF(T813&gt;Z813,5,T813)</f>
        <v>0</v>
      </c>
      <c r="AG813" s="2535"/>
      <c r="AH813" s="2535"/>
      <c r="AI813" s="2535"/>
      <c r="AJ813" s="2535"/>
      <c r="AK813" s="253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49" t="s">
        <v>1580</v>
      </c>
      <c r="C814" s="2549"/>
      <c r="D814" s="2549"/>
      <c r="E814" s="2549"/>
      <c r="F814" s="2549"/>
      <c r="G814" s="2549"/>
      <c r="H814" s="2549"/>
      <c r="I814" s="2549"/>
      <c r="J814" s="2549"/>
      <c r="K814" s="2549"/>
      <c r="L814" s="2549"/>
      <c r="M814" s="2549"/>
      <c r="N814" s="2549"/>
      <c r="O814" s="2549"/>
      <c r="P814" s="2549"/>
      <c r="Q814" s="2549"/>
      <c r="R814" s="2549"/>
      <c r="S814" s="2550"/>
      <c r="T814" s="2575">
        <f>AK285</f>
        <v>10</v>
      </c>
      <c r="U814" s="2575"/>
      <c r="V814" s="2575"/>
      <c r="W814" s="2575"/>
      <c r="X814" s="2575"/>
      <c r="Y814" s="2575"/>
      <c r="Z814" s="2535">
        <v>10</v>
      </c>
      <c r="AA814" s="2535"/>
      <c r="AB814" s="2535"/>
      <c r="AC814" s="2535"/>
      <c r="AD814" s="2535"/>
      <c r="AE814" s="2535"/>
      <c r="AF814" s="2581">
        <f>IF(T814&gt;Z814,Z814,T814)</f>
        <v>10</v>
      </c>
      <c r="AG814" s="2582"/>
      <c r="AH814" s="2582"/>
      <c r="AI814" s="2582"/>
      <c r="AJ814" s="2582"/>
      <c r="AK814" s="25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49" t="s">
        <v>1382</v>
      </c>
      <c r="C815" s="2549"/>
      <c r="D815" s="2549"/>
      <c r="E815" s="2549"/>
      <c r="F815" s="2549"/>
      <c r="G815" s="2549"/>
      <c r="H815" s="2549"/>
      <c r="I815" s="2549"/>
      <c r="J815" s="2549"/>
      <c r="K815" s="2549"/>
      <c r="L815" s="2549"/>
      <c r="M815" s="2549"/>
      <c r="N815" s="2549"/>
      <c r="O815" s="2549"/>
      <c r="P815" s="2549"/>
      <c r="Q815" s="2549"/>
      <c r="R815" s="2549"/>
      <c r="S815" s="2550"/>
      <c r="T815" s="2575">
        <f>AK338</f>
        <v>9</v>
      </c>
      <c r="U815" s="2575"/>
      <c r="V815" s="2575"/>
      <c r="W815" s="2575"/>
      <c r="X815" s="2575"/>
      <c r="Y815" s="2575"/>
      <c r="Z815" s="2581">
        <v>10</v>
      </c>
      <c r="AA815" s="2582"/>
      <c r="AB815" s="2582"/>
      <c r="AC815" s="2582"/>
      <c r="AD815" s="2582"/>
      <c r="AE815" s="2583"/>
      <c r="AF815" s="2581">
        <f>IF(T815&gt;Z815,Z815,T815)</f>
        <v>9</v>
      </c>
      <c r="AG815" s="2582"/>
      <c r="AH815" s="2582"/>
      <c r="AI815" s="2582"/>
      <c r="AJ815" s="2582"/>
      <c r="AK815" s="25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8">
        <f>AK338</f>
        <v>9</v>
      </c>
      <c r="U816" s="2468"/>
      <c r="V816" s="2468"/>
      <c r="W816" s="2468"/>
      <c r="X816" s="2468"/>
      <c r="Y816" s="2468"/>
      <c r="Z816" s="2473">
        <v>20</v>
      </c>
      <c r="AA816" s="2474"/>
      <c r="AB816" s="2474"/>
      <c r="AC816" s="2474"/>
      <c r="AD816" s="2474"/>
      <c r="AE816" s="2475"/>
      <c r="AF816" s="2578"/>
      <c r="AG816" s="2578"/>
      <c r="AH816" s="2578"/>
      <c r="AI816" s="2578"/>
      <c r="AJ816" s="2578"/>
      <c r="AK816" s="25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49" t="s">
        <v>846</v>
      </c>
      <c r="C817" s="2549"/>
      <c r="D817" s="2549"/>
      <c r="E817" s="2549"/>
      <c r="F817" s="2549"/>
      <c r="G817" s="2549"/>
      <c r="H817" s="2549"/>
      <c r="I817" s="2549"/>
      <c r="J817" s="2549"/>
      <c r="K817" s="2549"/>
      <c r="L817" s="2549"/>
      <c r="M817" s="2549"/>
      <c r="N817" s="2549"/>
      <c r="O817" s="2549"/>
      <c r="P817" s="2549"/>
      <c r="Q817" s="2549"/>
      <c r="R817" s="2549"/>
      <c r="S817" s="2550"/>
      <c r="T817" s="2575">
        <f>AK469</f>
        <v>10</v>
      </c>
      <c r="U817" s="2575"/>
      <c r="V817" s="2575"/>
      <c r="W817" s="2575"/>
      <c r="X817" s="2575"/>
      <c r="Y817" s="2575"/>
      <c r="Z817" s="2581">
        <v>10</v>
      </c>
      <c r="AA817" s="2582"/>
      <c r="AB817" s="2582"/>
      <c r="AC817" s="2582"/>
      <c r="AD817" s="2582"/>
      <c r="AE817" s="2583"/>
      <c r="AF817" s="2535">
        <f>IF(T817&gt;Z817,Z817,T817)</f>
        <v>10</v>
      </c>
      <c r="AG817" s="2535"/>
      <c r="AH817" s="2535"/>
      <c r="AI817" s="2535"/>
      <c r="AJ817" s="2535"/>
      <c r="AK817" s="253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49" t="s">
        <v>1560</v>
      </c>
      <c r="C818" s="2549"/>
      <c r="D818" s="2549"/>
      <c r="E818" s="2549"/>
      <c r="F818" s="2549"/>
      <c r="G818" s="2549"/>
      <c r="H818" s="2549"/>
      <c r="I818" s="2549"/>
      <c r="J818" s="2549"/>
      <c r="K818" s="2549"/>
      <c r="L818" s="2549"/>
      <c r="M818" s="2549"/>
      <c r="N818" s="2549"/>
      <c r="O818" s="2549"/>
      <c r="P818" s="2549"/>
      <c r="Q818" s="2549"/>
      <c r="R818" s="2549"/>
      <c r="S818" s="2550"/>
      <c r="T818" s="2575">
        <f>AK559</f>
        <v>12</v>
      </c>
      <c r="U818" s="2575"/>
      <c r="V818" s="2575"/>
      <c r="W818" s="2575"/>
      <c r="X818" s="2575"/>
      <c r="Y818" s="2575"/>
      <c r="Z818" s="2581">
        <v>12</v>
      </c>
      <c r="AA818" s="2582"/>
      <c r="AB818" s="2582"/>
      <c r="AC818" s="2582"/>
      <c r="AD818" s="2582"/>
      <c r="AE818" s="2583"/>
      <c r="AF818" s="2535">
        <f>IF(T818&gt;Z818,Z818,T818)</f>
        <v>12</v>
      </c>
      <c r="AG818" s="2535"/>
      <c r="AH818" s="2535"/>
      <c r="AI818" s="2535"/>
      <c r="AJ818" s="2535"/>
      <c r="AK818" s="253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49" t="s">
        <v>1582</v>
      </c>
      <c r="C819" s="2549"/>
      <c r="D819" s="2549"/>
      <c r="E819" s="2549"/>
      <c r="F819" s="2549"/>
      <c r="G819" s="2549"/>
      <c r="H819" s="2549"/>
      <c r="I819" s="2549"/>
      <c r="J819" s="2549"/>
      <c r="K819" s="2549"/>
      <c r="L819" s="2549"/>
      <c r="M819" s="2549"/>
      <c r="N819" s="2549"/>
      <c r="O819" s="2549"/>
      <c r="P819" s="2549"/>
      <c r="Q819" s="2549"/>
      <c r="R819" s="2549"/>
      <c r="S819" s="2550"/>
      <c r="T819" s="2575">
        <f>AK794</f>
        <v>10</v>
      </c>
      <c r="U819" s="2575"/>
      <c r="V819" s="2575"/>
      <c r="W819" s="2575"/>
      <c r="X819" s="2575"/>
      <c r="Y819" s="2575"/>
      <c r="Z819" s="2581">
        <v>10</v>
      </c>
      <c r="AA819" s="2582"/>
      <c r="AB819" s="2582"/>
      <c r="AC819" s="2582"/>
      <c r="AD819" s="2582"/>
      <c r="AE819" s="2583"/>
      <c r="AF819" s="2535">
        <f>IF(T819&gt;Z819,Z819,T819)</f>
        <v>10</v>
      </c>
      <c r="AG819" s="2535"/>
      <c r="AH819" s="2535"/>
      <c r="AI819" s="2535"/>
      <c r="AJ819" s="2535"/>
      <c r="AK819" s="253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79" t="s">
        <v>1583</v>
      </c>
      <c r="B820" s="2549"/>
      <c r="C820" s="2549"/>
      <c r="D820" s="2549"/>
      <c r="E820" s="2549"/>
      <c r="F820" s="2549"/>
      <c r="G820" s="2549"/>
      <c r="H820" s="2549"/>
      <c r="I820" s="2549"/>
      <c r="J820" s="2549"/>
      <c r="K820" s="2549"/>
      <c r="L820" s="2549"/>
      <c r="M820" s="2549"/>
      <c r="N820" s="2549"/>
      <c r="O820" s="2549"/>
      <c r="P820" s="2549"/>
      <c r="Q820" s="2549"/>
      <c r="R820" s="2549"/>
      <c r="S820" s="2550"/>
      <c r="T820" s="2580"/>
      <c r="U820" s="2580"/>
      <c r="V820" s="2580"/>
      <c r="W820" s="2580"/>
      <c r="X820" s="2580"/>
      <c r="Y820" s="2580"/>
      <c r="Z820" s="2469" t="s">
        <v>1584</v>
      </c>
      <c r="AA820" s="2469"/>
      <c r="AB820" s="2469"/>
      <c r="AC820" s="2469"/>
      <c r="AD820" s="2469"/>
      <c r="AE820" s="2469"/>
      <c r="AF820" s="2581">
        <f>IF(T820&gt;0,T820,0)</f>
        <v>0</v>
      </c>
      <c r="AG820" s="2582"/>
      <c r="AH820" s="2582"/>
      <c r="AI820" s="2582"/>
      <c r="AJ820" s="2582"/>
      <c r="AK820" s="25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4" t="s">
        <v>1585</v>
      </c>
      <c r="B821" s="2585"/>
      <c r="C821" s="2585"/>
      <c r="D821" s="2585"/>
      <c r="E821" s="2585"/>
      <c r="F821" s="2585"/>
      <c r="G821" s="2585"/>
      <c r="H821" s="2585"/>
      <c r="I821" s="2585"/>
      <c r="J821" s="2585"/>
      <c r="K821" s="2585"/>
      <c r="L821" s="2585"/>
      <c r="M821" s="2585"/>
      <c r="N821" s="2585"/>
      <c r="O821" s="2585"/>
      <c r="P821" s="2585"/>
      <c r="Q821" s="2585"/>
      <c r="R821" s="2585"/>
      <c r="S821" s="2585"/>
      <c r="T821" s="2585"/>
      <c r="U821" s="2585"/>
      <c r="V821" s="2585"/>
      <c r="W821" s="2585"/>
      <c r="X821" s="2585"/>
      <c r="Y821" s="2585"/>
      <c r="Z821" s="2585"/>
      <c r="AA821" s="2585"/>
      <c r="AB821" s="2585"/>
      <c r="AC821" s="2585"/>
      <c r="AD821" s="2585"/>
      <c r="AE821" s="2586"/>
      <c r="AF821" s="2590">
        <f ca="1">SUM(AF804:AK819)-AF820</f>
        <v>119</v>
      </c>
      <c r="AG821" s="2591"/>
      <c r="AH821" s="2591"/>
      <c r="AI821" s="2591"/>
      <c r="AJ821" s="2591"/>
      <c r="AK821" s="25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7"/>
      <c r="B822" s="2588"/>
      <c r="C822" s="2588"/>
      <c r="D822" s="2588"/>
      <c r="E822" s="2588"/>
      <c r="F822" s="2588"/>
      <c r="G822" s="2588"/>
      <c r="H822" s="2588"/>
      <c r="I822" s="2588"/>
      <c r="J822" s="2588"/>
      <c r="K822" s="2588"/>
      <c r="L822" s="2588"/>
      <c r="M822" s="2588"/>
      <c r="N822" s="2588"/>
      <c r="O822" s="2588"/>
      <c r="P822" s="2588"/>
      <c r="Q822" s="2588"/>
      <c r="R822" s="2588"/>
      <c r="S822" s="2588"/>
      <c r="T822" s="2588"/>
      <c r="U822" s="2588"/>
      <c r="V822" s="2588"/>
      <c r="W822" s="2588"/>
      <c r="X822" s="2588"/>
      <c r="Y822" s="2588"/>
      <c r="Z822" s="2588"/>
      <c r="AA822" s="2588"/>
      <c r="AB822" s="2588"/>
      <c r="AC822" s="2588"/>
      <c r="AD822" s="2588"/>
      <c r="AE822" s="2589"/>
      <c r="AF822" s="2593"/>
      <c r="AG822" s="2594"/>
      <c r="AH822" s="2594"/>
      <c r="AI822" s="2594"/>
      <c r="AJ822" s="2594"/>
      <c r="AK822" s="25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Frank Thompson</cp:lastModifiedBy>
  <cp:lastPrinted>2025-09-07T19:36:19Z</cp:lastPrinted>
  <dcterms:created xsi:type="dcterms:W3CDTF">2007-12-27T18:26:28Z</dcterms:created>
  <dcterms:modified xsi:type="dcterms:W3CDTF">2025-09-07T21:23:31Z</dcterms:modified>
</cp:coreProperties>
</file>