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M:\shared\_CORE Affordable\_CURRENT PROJECTS\2024 - Tamien Affordable - Phase 2\Finance\CDLAC\Application Items for Submittal\"/>
    </mc:Choice>
  </mc:AlternateContent>
  <xr:revisionPtr revIDLastSave="0" documentId="13_ncr:1_{DD00790B-805E-4307-B953-C9A8AF62FD58}" xr6:coauthVersionLast="47" xr6:coauthVersionMax="47" xr10:uidLastSave="{00000000-0000-0000-0000-000000000000}"/>
  <bookViews>
    <workbookView xWindow="-28920" yWindow="-120" windowWidth="29040" windowHeight="15720" firstSheet="9"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8" i="3" l="1"/>
  <c r="F99" i="4"/>
  <c r="F75" i="4"/>
  <c r="AO628" i="3"/>
  <c r="F46" i="4" l="1"/>
  <c r="F47" i="4"/>
  <c r="F48" i="4"/>
  <c r="F50" i="4"/>
  <c r="F51" i="4"/>
  <c r="F52" i="4"/>
  <c r="F45" i="4"/>
  <c r="C80" i="4"/>
  <c r="F80" i="4" s="1"/>
  <c r="C49" i="4"/>
  <c r="F49" i="4" s="1"/>
  <c r="AO640" i="3"/>
  <c r="T554" i="3" l="1"/>
  <c r="F13" i="4" l="1"/>
  <c r="S99" i="4"/>
  <c r="S80" i="4"/>
  <c r="S79" i="4"/>
  <c r="S49" i="4"/>
  <c r="S46" i="4"/>
  <c r="S43" i="4"/>
  <c r="S40" i="4"/>
  <c r="S37" i="4"/>
  <c r="S36" i="4"/>
  <c r="S35" i="4"/>
  <c r="S34" i="4"/>
  <c r="S33" i="4"/>
  <c r="S32" i="4"/>
  <c r="S31" i="4"/>
  <c r="S29" i="4"/>
  <c r="S10" i="4"/>
  <c r="C43" i="4"/>
  <c r="C30" i="4"/>
  <c r="S30" i="4" s="1"/>
  <c r="W849" i="3" l="1"/>
  <c r="W844" i="3"/>
  <c r="T627" i="3"/>
  <c r="AG448" i="3" l="1"/>
  <c r="AG446"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G675" i="3"/>
  <c r="Z675" i="3"/>
  <c r="G683" i="3"/>
  <c r="Z683" i="3"/>
  <c r="X718" i="3"/>
  <c r="AH718" i="3" s="1"/>
  <c r="X719" i="3"/>
  <c r="AH719" i="3" s="1"/>
  <c r="X720" i="3"/>
  <c r="X721" i="3"/>
  <c r="X722" i="3"/>
  <c r="X723" i="3"/>
  <c r="X724" i="3"/>
  <c r="AH724" i="3" s="1"/>
  <c r="X730" i="3"/>
  <c r="X731" i="3"/>
  <c r="X732" i="3"/>
  <c r="X733" i="3"/>
  <c r="X734" i="3"/>
  <c r="X735" i="3"/>
  <c r="X736" i="3"/>
  <c r="X737" i="3"/>
  <c r="X738" i="3"/>
  <c r="X739" i="3"/>
  <c r="X740" i="3"/>
  <c r="X741" i="3"/>
  <c r="M832" i="3"/>
  <c r="Q832" i="3"/>
  <c r="U832" i="3"/>
  <c r="Y832" i="3"/>
  <c r="AC832" i="3"/>
  <c r="AG832" i="3"/>
  <c r="Z902" i="3"/>
  <c r="D35" i="11"/>
  <c r="B26" i="4" l="1"/>
  <c r="E11"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25" i="21"/>
  <c r="P25" i="21" s="1" a="1"/>
  <c r="P25" i="21" s="1"/>
  <c r="S25" i="21" s="1"/>
  <c r="O23" i="21"/>
  <c r="O21" i="21"/>
  <c r="P21" i="21" s="1" a="1"/>
  <c r="P21" i="21" s="1"/>
  <c r="S21" i="21" s="1"/>
  <c r="O24" i="21"/>
  <c r="O30" i="21"/>
  <c r="P30" i="21" s="1" a="1"/>
  <c r="P30" i="21" s="1"/>
  <c r="S30" i="21" s="1"/>
  <c r="O22" i="21"/>
  <c r="P22" i="21" s="1" a="1"/>
  <c r="P22" i="21" s="1"/>
  <c r="S22" i="21" s="1"/>
  <c r="O20" i="21"/>
  <c r="P20" i="21" s="1" a="1"/>
  <c r="P20" i="21" s="1"/>
  <c r="S20" i="21" s="1"/>
  <c r="O26" i="21"/>
  <c r="P26" i="21" s="1" a="1"/>
  <c r="P26" i="21" s="1"/>
  <c r="S26" i="21" s="1"/>
  <c r="O28" i="21"/>
  <c r="P28" i="21" s="1" a="1"/>
  <c r="P28" i="21" s="1"/>
  <c r="S28" i="21" s="1"/>
  <c r="O29" i="21"/>
  <c r="P29" i="21" s="1" a="1"/>
  <c r="P29" i="21" s="1"/>
  <c r="S29"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27" i="21" a="1"/>
  <c r="P27" i="21" s="1"/>
  <c r="S27" i="21" s="1"/>
  <c r="P23" i="21" a="1"/>
  <c r="P23" i="21" s="1"/>
  <c r="S23"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41" i="3"/>
  <c r="AJ994" i="3"/>
  <c r="AJ1036" i="3"/>
  <c r="I15" i="21" s="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<sst xmlns="http://schemas.openxmlformats.org/spreadsheetml/2006/main" count="5010" uniqueCount="2742">
  <si>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</si>
  <si>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</si>
  <si>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</si>
  <si>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</si>
  <si>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</si>
  <si>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</si>
  <si>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</si>
  <si>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</si>
  <si>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</si>
  <si>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</si>
  <si>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</si>
  <si>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</si>
  <si>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</si>
  <si>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</si>
  <si>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</si>
  <si>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</si>
  <si>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</si>
  <si>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</si>
  <si>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</si>
  <si>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</si>
  <si>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</si>
  <si>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</si>
  <si>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</si>
  <si>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</si>
  <si>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</si>
  <si>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</si>
  <si>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</si>
  <si>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</si>
  <si>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</si>
  <si>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</si>
  <si>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</si>
  <si>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</si>
  <si>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</si>
  <si>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</si>
  <si>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</si>
  <si>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</si>
  <si>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</si>
  <si>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</si>
  <si>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</si>
  <si>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</si>
  <si>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</si>
  <si>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</si>
  <si>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</si>
  <si>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</si>
  <si>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</si>
  <si>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</si>
  <si>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</si>
  <si>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</si>
  <si>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</si>
  <si>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</si>
  <si>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</si>
  <si>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</si>
  <si>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</si>
  <si>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</si>
  <si>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</si>
  <si>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</si>
  <si>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</si>
  <si>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</si>
  <si>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</si>
  <si>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</si>
  <si>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</si>
  <si>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</si>
  <si>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</si>
  <si>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</si>
  <si>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</si>
  <si>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</si>
  <si>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</si>
  <si>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</si>
  <si>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</si>
  <si>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</si>
  <si>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</si>
  <si>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</si>
  <si>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</si>
  <si>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</si>
  <si>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</si>
  <si>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</si>
  <si>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</si>
  <si>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</si>
  <si>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</si>
  <si>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</si>
  <si>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</si>
  <si>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</si>
  <si>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</si>
  <si>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</si>
  <si>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</si>
  <si>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</si>
  <si>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</si>
  <si>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</si>
  <si>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</si>
  <si>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</si>
  <si>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</si>
  <si>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</si>
  <si>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</si>
  <si>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</si>
  <si>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</si>
  <si>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</si>
  <si>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</si>
  <si>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</si>
  <si>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</si>
  <si>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</si>
  <si>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</si>
  <si>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</si>
  <si>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</si>
  <si>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</si>
  <si>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</si>
  <si>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</si>
  <si>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</si>
  <si>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</si>
  <si>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</si>
  <si>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</si>
  <si>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</si>
  <si>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</si>
  <si>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</si>
  <si>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</si>
  <si>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</si>
  <si>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</si>
  <si>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</si>
  <si>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</si>
  <si>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</si>
  <si>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</si>
  <si>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</si>
  <si>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</si>
  <si>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</si>
  <si>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</si>
  <si>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</si>
  <si>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</si>
  <si>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</si>
  <si>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</si>
  <si>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</si>
  <si>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</si>
  <si>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</si>
  <si>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</si>
  <si>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</si>
  <si>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</si>
  <si>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</si>
  <si>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</si>
  <si>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</si>
  <si>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</si>
  <si>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</si>
  <si>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</si>
  <si>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</si>
  <si>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</si>
  <si>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</si>
  <si>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</si>
  <si>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</si>
  <si>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</si>
  <si>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</si>
  <si>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</si>
  <si>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</si>
  <si>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</si>
  <si>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</si>
  <si>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</si>
  <si>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</si>
  <si>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</si>
  <si>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</si>
  <si>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</si>
  <si>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</si>
  <si>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</si>
  <si>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</si>
  <si>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</si>
  <si>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</si>
  <si>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</si>
  <si>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</si>
  <si>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</si>
  <si>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</si>
  <si>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</si>
  <si>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</si>
  <si>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</si>
  <si>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</si>
  <si>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</si>
  <si>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</si>
  <si>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</si>
  <si>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</si>
  <si>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</si>
  <si>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</si>
  <si>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</si>
  <si>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</si>
  <si>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</si>
  <si>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</si>
  <si>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</si>
  <si>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</si>
  <si>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</si>
  <si>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</si>
  <si>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</si>
  <si>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</si>
  <si>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</si>
  <si>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</si>
  <si>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</si>
  <si>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</si>
  <si>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</si>
  <si>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</si>
  <si>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</si>
  <si>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</si>
  <si>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</si>
  <si>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</si>
  <si>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</si>
  <si>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</si>
  <si>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</si>
  <si>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</si>
  <si>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</si>
  <si>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</si>
  <si>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</si>
  <si>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</si>
  <si>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</si>
  <si>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</si>
  <si>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</si>
  <si>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</si>
  <si>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</si>
  <si>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</si>
  <si>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</si>
  <si>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</si>
  <si>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</si>
  <si>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</si>
  <si>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</si>
  <si>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</si>
  <si>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</si>
  <si>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</si>
  <si>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</si>
  <si>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</si>
  <si>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</si>
  <si>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</si>
  <si>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</si>
  <si>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</si>
  <si>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</si>
  <si>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</si>
  <si>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</si>
  <si>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</si>
  <si>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</si>
  <si>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</si>
  <si>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</si>
  <si>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</si>
  <si>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</si>
  <si>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</si>
  <si>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</si>
  <si>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</si>
  <si>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</si>
  <si>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</si>
  <si>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</si>
  <si>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</si>
  <si>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</si>
  <si>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</si>
  <si>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</si>
  <si>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</si>
  <si>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</si>
  <si>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</si>
  <si>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</si>
  <si>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</si>
  <si>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</si>
  <si>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</si>
  <si>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</si>
  <si>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</si>
  <si>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</si>
  <si>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</si>
  <si>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</si>
  <si>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</si>
  <si>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</si>
  <si>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</si>
  <si>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</si>
  <si>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</si>
  <si>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</si>
  <si>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</si>
  <si>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</si>
  <si>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</si>
  <si>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</si>
  <si>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</si>
  <si>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</si>
  <si>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</si>
  <si>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</si>
  <si>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</si>
  <si>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</si>
  <si>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</si>
  <si>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</si>
  <si>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</si>
  <si>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</si>
  <si>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</si>
  <si>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</si>
  <si>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</si>
  <si>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</si>
  <si>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</si>
  <si>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</si>
  <si>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</si>
  <si>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</si>
  <si>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</si>
  <si>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</si>
  <si>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</si>
  <si>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</si>
  <si>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</si>
  <si>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</si>
  <si>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</si>
  <si>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</si>
  <si>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</si>
  <si>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</si>
  <si>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</si>
  <si>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</si>
  <si>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</si>
  <si>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</si>
  <si>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</si>
  <si>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</si>
  <si>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</si>
  <si>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</si>
  <si>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</si>
  <si>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</si>
  <si>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</si>
  <si>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</si>
  <si>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</si>
  <si>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</si>
  <si>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</si>
  <si>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</si>
  <si>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</si>
  <si>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</si>
  <si>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</si>
  <si>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</si>
  <si>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</si>
  <si>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</si>
  <si>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</si>
  <si>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</si>
  <si>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</si>
  <si>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</si>
  <si>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</si>
  <si>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</si>
  <si>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</si>
  <si>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</si>
  <si>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</si>
  <si>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</si>
  <si>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</si>
  <si>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</si>
  <si>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</si>
  <si>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</si>
  <si>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</si>
  <si>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</si>
  <si>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</si>
  <si>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</si>
  <si>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</si>
  <si>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</si>
  <si>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</si>
  <si>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</si>
  <si>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</si>
  <si>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</si>
  <si>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</si>
  <si>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</si>
  <si>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</si>
  <si>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</si>
  <si>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</si>
  <si>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</si>
  <si>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</si>
  <si>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</si>
  <si>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</si>
  <si>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</si>
  <si>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</si>
  <si>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</si>
  <si>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</si>
  <si>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</si>
  <si>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</si>
  <si>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</si>
  <si>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</si>
  <si>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</si>
  <si>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</si>
  <si>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</si>
  <si>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</si>
  <si>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</si>
  <si>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</si>
  <si>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</si>
  <si>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</si>
  <si>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</si>
  <si>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</si>
  <si>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</si>
  <si>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</si>
  <si>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</si>
  <si>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</si>
  <si>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</si>
  <si>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</si>
  <si>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</si>
  <si>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</si>
  <si>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</si>
  <si>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</si>
  <si>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</si>
  <si>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</si>
  <si>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</si>
  <si>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</si>
  <si>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</si>
  <si>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</si>
  <si>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</si>
  <si>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</si>
  <si>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</si>
  <si>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</si>
  <si>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</si>
  <si>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</si>
  <si>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</si>
  <si>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</si>
  <si>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</si>
  <si>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</si>
  <si>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</si>
  <si>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</si>
  <si>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</si>
  <si>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</si>
  <si>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</si>
  <si>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</si>
  <si>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</si>
  <si>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</si>
  <si>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</si>
  <si>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</si>
  <si>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</si>
  <si>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</si>
  <si>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</si>
  <si>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</si>
  <si>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</si>
  <si>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</si>
  <si>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</si>
  <si>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</si>
  <si>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</si>
  <si>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</si>
  <si>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</si>
  <si>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</si>
  <si>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</si>
  <si>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</si>
  <si>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</si>
  <si>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</si>
  <si>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</si>
  <si>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</si>
  <si>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</si>
  <si>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</si>
  <si>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</si>
  <si>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</si>
  <si>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</si>
  <si>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</si>
  <si>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</si>
  <si>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</si>
  <si>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</si>
  <si>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</si>
  <si>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</si>
  <si>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</si>
  <si>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</si>
  <si>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</si>
  <si>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</si>
  <si>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</si>
  <si>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</si>
  <si>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</si>
  <si>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</si>
  <si>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</si>
  <si>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</si>
  <si>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</si>
  <si>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</si>
  <si>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</si>
  <si>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</si>
  <si>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</si>
  <si>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</si>
  <si>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</si>
  <si>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</si>
  <si>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</si>
  <si>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</si>
  <si>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</si>
  <si>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</si>
  <si>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</si>
  <si>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</si>
  <si>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</si>
  <si>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</si>
  <si>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</si>
  <si>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</si>
  <si>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</si>
  <si>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</si>
  <si>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</si>
  <si>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</si>
  <si>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</si>
  <si>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</si>
  <si>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</si>
  <si>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</si>
  <si>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</si>
  <si>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</si>
  <si>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</si>
  <si>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</si>
  <si>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</si>
  <si>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</si>
  <si>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</si>
  <si>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</si>
  <si>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</si>
  <si>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</si>
  <si>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</si>
  <si>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</si>
  <si>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</si>
  <si>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</si>
  <si>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</si>
  <si>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</si>
  <si>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</si>
  <si>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</si>
  <si>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</si>
  <si>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</si>
  <si>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</si>
  <si>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</si>
  <si>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</si>
  <si>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</si>
  <si>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</si>
  <si>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</si>
  <si>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</si>
  <si>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</si>
  <si>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</si>
  <si>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</si>
  <si>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</si>
  <si>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</si>
  <si>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</si>
  <si>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</si>
  <si>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</si>
  <si>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</si>
  <si>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</si>
  <si>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</si>
  <si>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</si>
  <si>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</si>
  <si>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</si>
  <si>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</si>
  <si>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</si>
  <si>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</si>
  <si>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</si>
  <si>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</si>
  <si>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</si>
  <si>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</si>
  <si>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</si>
  <si>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</si>
  <si>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</si>
  <si>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</si>
  <si>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</si>
  <si>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</si>
  <si>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</si>
  <si>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</si>
  <si>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</si>
  <si>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</si>
  <si>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</si>
  <si>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</si>
  <si>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</si>
  <si>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</si>
  <si>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</si>
  <si>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</si>
  <si>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</si>
  <si>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</si>
  <si>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</si>
  <si>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</si>
  <si>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</si>
  <si>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</si>
  <si>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</si>
  <si>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</si>
  <si>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</si>
  <si>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</si>
  <si>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</si>
  <si>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</si>
  <si>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</si>
  <si>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</si>
  <si>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</si>
  <si>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</si>
  <si>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</si>
  <si>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</si>
  <si>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</si>
  <si>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</si>
  <si>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</si>
  <si>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</si>
  <si>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</si>
  <si>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</si>
  <si>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</si>
  <si>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</si>
  <si>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</si>
  <si>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</si>
  <si>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</si>
  <si>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</si>
  <si>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</si>
  <si>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</si>
  <si>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</si>
  <si>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</si>
  <si>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</si>
  <si>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</si>
  <si>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</si>
  <si>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</si>
  <si>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</si>
  <si>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</si>
  <si>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</si>
  <si>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</si>
  <si>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</si>
  <si>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</si>
  <si>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</si>
  <si>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</si>
  <si>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</si>
  <si>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</si>
  <si>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</si>
  <si>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</si>
  <si>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</si>
  <si>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</si>
  <si>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</si>
  <si>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</si>
  <si>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</si>
  <si>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</si>
  <si>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</si>
  <si>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</si>
  <si>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</si>
  <si>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</si>
  <si>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</si>
  <si>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</si>
  <si>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</si>
  <si>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</si>
  <si>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</si>
  <si>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</si>
  <si>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</si>
  <si>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</si>
  <si>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</si>
  <si>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</si>
  <si>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</si>
  <si>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</si>
  <si>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</si>
  <si>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</si>
  <si>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</si>
  <si>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</si>
  <si>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</si>
  <si>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</si>
  <si>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</si>
  <si>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</si>
  <si>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</si>
  <si>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</si>
  <si>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</si>
  <si>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</si>
  <si>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</si>
  <si>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</si>
  <si>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</si>
  <si>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</si>
  <si>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</si>
  <si>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</si>
  <si>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</si>
  <si>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</si>
  <si>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</si>
  <si>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</si>
  <si>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</si>
  <si>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</si>
  <si>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</si>
  <si>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</si>
  <si>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</si>
  <si>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</si>
  <si>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</si>
  <si>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</si>
  <si>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</si>
  <si>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</si>
  <si>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</si>
  <si>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</si>
  <si>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</si>
  <si>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</si>
  <si>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</si>
  <si>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</si>
  <si>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</si>
  <si>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</si>
  <si>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</si>
  <si>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</si>
  <si>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</si>
  <si>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</si>
  <si>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</si>
  <si>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</si>
  <si>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</si>
  <si>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</si>
  <si>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</si>
  <si>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</si>
  <si>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</si>
  <si>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</si>
  <si>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</si>
  <si>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</si>
  <si>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</si>
  <si>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</si>
  <si>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</si>
  <si>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</si>
  <si>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</si>
  <si>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</si>
  <si>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</si>
  <si>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</si>
  <si>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</si>
  <si>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</si>
  <si>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</si>
  <si>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</si>
  <si>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</si>
  <si>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</si>
  <si>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</si>
  <si>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</si>
  <si>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</si>
  <si>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</si>
  <si>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</si>
  <si>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</si>
  <si>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</si>
  <si>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</si>
  <si>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</si>
  <si>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</si>
  <si>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</si>
  <si>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</si>
  <si>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</si>
  <si>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</si>
  <si>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</si>
  <si>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</si>
  <si>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</si>
  <si>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</si>
  <si>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</si>
  <si>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</si>
  <si>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</si>
  <si>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</si>
  <si>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</si>
  <si>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</si>
  <si>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</si>
  <si>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</si>
  <si>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</si>
  <si>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</si>
  <si>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</si>
  <si>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</si>
  <si>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</si>
  <si>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</si>
  <si>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</si>
  <si>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</si>
  <si>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</si>
  <si>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</si>
  <si>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</si>
  <si>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</si>
  <si>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</si>
  <si>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</si>
  <si>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</si>
  <si>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</si>
  <si>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</si>
  <si>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</si>
  <si>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</si>
  <si>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</si>
  <si>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</si>
  <si>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</si>
  <si>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</si>
  <si>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</si>
  <si>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</si>
  <si>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</si>
  <si>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</si>
  <si>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</si>
  <si>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</si>
  <si>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</si>
  <si>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</si>
  <si>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</si>
  <si>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</si>
  <si>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</si>
  <si>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</si>
  <si>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</si>
  <si>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</si>
  <si>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</si>
  <si>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</si>
  <si>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</si>
  <si>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</si>
  <si>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</si>
  <si>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</si>
  <si>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</si>
  <si>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</si>
  <si>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</si>
  <si>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</si>
  <si>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</si>
  <si>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</si>
  <si>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</si>
  <si>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</si>
  <si>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</si>
  <si>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</si>
  <si>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</si>
  <si>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</si>
  <si>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</si>
  <si>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</si>
  <si>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</si>
  <si>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</si>
  <si>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</si>
  <si>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</si>
  <si>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</si>
  <si>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</si>
  <si>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</si>
  <si>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</si>
  <si>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</si>
  <si>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</si>
  <si>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</si>
  <si>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</si>
  <si>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</si>
  <si>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</si>
  <si>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</si>
  <si>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</si>
  <si>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</si>
  <si>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</si>
  <si>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</si>
  <si>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</si>
  <si>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</si>
  <si>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</si>
  <si>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</si>
  <si>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</si>
  <si>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</si>
  <si>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</si>
  <si>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</si>
  <si>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</si>
  <si>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</si>
  <si>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</si>
  <si>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</si>
  <si>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</si>
  <si>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</si>
  <si>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</si>
  <si>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</si>
  <si>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</si>
  <si>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</si>
  <si>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</si>
  <si>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</si>
  <si>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</si>
  <si>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</si>
  <si>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</si>
  <si>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</si>
  <si>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</si>
  <si>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</si>
  <si>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</si>
  <si>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</si>
  <si>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</si>
  <si>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</si>
  <si>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</si>
  <si>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</si>
  <si>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</si>
  <si>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</si>
  <si>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</si>
  <si>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</si>
  <si>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</si>
  <si>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</si>
  <si>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</si>
  <si>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</si>
  <si>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</si>
  <si>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</si>
  <si>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</si>
  <si>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</si>
  <si>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</si>
  <si>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</si>
  <si>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</si>
  <si>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</si>
  <si>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</si>
  <si>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</si>
  <si>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</si>
  <si>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</si>
  <si>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</si>
  <si>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</si>
  <si>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</si>
  <si>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</si>
  <si>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</si>
  <si>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</si>
  <si>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</si>
  <si>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</si>
  <si>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</si>
  <si>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</si>
  <si>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</si>
  <si>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</si>
  <si>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</si>
  <si>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</si>
  <si>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</si>
  <si>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</si>
  <si>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</si>
  <si>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</si>
  <si>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</si>
  <si>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</si>
  <si>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</si>
  <si>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</si>
  <si>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</si>
  <si>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</si>
  <si>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</si>
  <si>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</si>
  <si>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</si>
  <si>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</si>
  <si>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</si>
  <si>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</si>
  <si>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</si>
  <si>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</si>
  <si>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</si>
  <si>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</si>
  <si>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</si>
  <si>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</si>
  <si>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</si>
  <si>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</si>
  <si>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</si>
  <si>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</si>
  <si>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</si>
  <si>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</si>
  <si>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</si>
  <si>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</si>
  <si>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</si>
  <si>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</si>
  <si>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</si>
  <si>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</si>
  <si>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</si>
  <si>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</si>
  <si>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</si>
  <si>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</si>
  <si>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</si>
  <si>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</si>
  <si>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</si>
  <si>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</si>
  <si>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</si>
  <si>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</si>
  <si>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</si>
  <si>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</si>
  <si>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</si>
  <si>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</si>
  <si>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</si>
  <si>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</si>
  <si>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</si>
  <si>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</si>
  <si>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</si>
  <si>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</si>
  <si>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</si>
  <si>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</si>
  <si>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</si>
  <si>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</si>
  <si>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</si>
  <si>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</si>
  <si>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</si>
  <si>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</si>
  <si>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</si>
  <si>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</si>
  <si>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</si>
  <si>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</si>
  <si>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</si>
  <si>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</si>
  <si>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</si>
  <si>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</si>
  <si>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</si>
  <si>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</si>
  <si>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</si>
  <si>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</si>
  <si>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</si>
  <si>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</si>
  <si>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</si>
  <si>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</si>
  <si>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</si>
  <si>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</si>
  <si>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</si>
  <si>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</si>
  <si>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</si>
  <si>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</si>
  <si>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</si>
  <si>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</si>
  <si>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</si>
  <si>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</si>
  <si>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</si>
  <si>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</si>
  <si>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</si>
  <si>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</si>
  <si>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</si>
  <si>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</si>
  <si>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</si>
  <si>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</si>
  <si>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</si>
  <si>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</si>
  <si>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</si>
  <si>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</si>
  <si>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</si>
  <si>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</si>
  <si>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</si>
  <si>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</si>
  <si>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</si>
  <si>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</si>
  <si>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</si>
  <si>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</si>
  <si>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</si>
  <si>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</si>
  <si>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</si>
  <si>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</si>
  <si>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</si>
  <si>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</si>
  <si>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</si>
  <si>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</si>
  <si>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</si>
  <si>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</si>
  <si>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</si>
  <si>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</si>
  <si>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</si>
  <si>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</si>
  <si>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</si>
  <si>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</si>
  <si>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</si>
  <si>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</si>
  <si>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</si>
  <si>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</si>
  <si>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</si>
  <si>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</si>
  <si>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</si>
  <si>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</si>
  <si>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</si>
  <si>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</si>
  <si>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</si>
  <si>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</si>
  <si>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</si>
  <si>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</si>
  <si>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</si>
  <si>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</si>
  <si>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</si>
  <si>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</si>
  <si>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</si>
  <si>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</si>
  <si>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</si>
  <si>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</si>
  <si>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</si>
  <si>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</si>
  <si>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</si>
  <si>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</si>
  <si>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</si>
  <si>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</si>
  <si>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</si>
  <si>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</si>
  <si>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</si>
  <si>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</si>
  <si>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</si>
  <si>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</si>
  <si>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</si>
  <si>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</si>
  <si>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</si>
  <si>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</si>
  <si>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</si>
  <si>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</si>
  <si>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</si>
  <si>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</si>
  <si>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</si>
  <si>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</si>
  <si>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</si>
  <si>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</si>
  <si>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</si>
  <si>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</si>
  <si>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</si>
  <si>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</si>
  <si>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</si>
  <si>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</si>
  <si>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</si>
  <si>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</si>
  <si>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</si>
  <si>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</si>
  <si>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</si>
  <si>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</si>
  <si>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</si>
  <si>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</si>
  <si>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</si>
  <si>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</si>
  <si>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</si>
  <si>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</si>
  <si>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</si>
  <si>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</si>
  <si>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</si>
  <si>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</si>
  <si>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</si>
  <si>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</si>
  <si>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</si>
  <si>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</si>
  <si>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</si>
  <si>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</si>
  <si>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</si>
  <si>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</si>
  <si>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</si>
  <si>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</si>
  <si>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</si>
  <si>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</si>
  <si>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</si>
  <si>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</si>
  <si>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</si>
  <si>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</si>
  <si>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</si>
  <si>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</si>
  <si>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</si>
  <si>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</si>
  <si>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</si>
  <si>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</si>
  <si>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</si>
  <si>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</si>
  <si>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</si>
  <si>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</si>
  <si>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</si>
  <si>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</si>
  <si>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</si>
  <si>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</si>
  <si>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</si>
  <si>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</si>
  <si>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</si>
  <si>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</si>
  <si>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</si>
  <si>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</si>
  <si>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</si>
  <si>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</si>
  <si>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</si>
  <si>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</si>
  <si>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</si>
  <si>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</si>
  <si>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</si>
  <si>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</si>
  <si>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</si>
  <si>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</si>
  <si>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</si>
  <si>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</si>
  <si>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</si>
  <si>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</si>
  <si>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</si>
  <si>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</si>
  <si>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</si>
  <si>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</si>
  <si>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</si>
  <si>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</si>
  <si>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</si>
  <si>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</si>
  <si>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</si>
  <si>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</si>
  <si>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</si>
  <si>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</si>
  <si>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</si>
  <si>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</si>
  <si>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</si>
  <si>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</si>
  <si>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</si>
  <si>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</si>
  <si>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</si>
  <si>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</si>
  <si>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</si>
  <si>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</si>
  <si>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</si>
  <si>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</si>
  <si>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</si>
  <si>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</si>
  <si>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</si>
  <si>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</si>
  <si>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</si>
  <si>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</si>
  <si>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</si>
  <si>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</si>
  <si>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</si>
  <si>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</si>
  <si>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</si>
  <si>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</si>
  <si>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</si>
  <si>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</si>
  <si>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</si>
  <si>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</si>
  <si>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</si>
  <si>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</si>
  <si>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</si>
  <si>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</si>
  <si>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</si>
  <si>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</si>
  <si>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</si>
  <si>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</si>
  <si>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</si>
  <si>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</si>
  <si>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</si>
  <si>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</si>
  <si>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</si>
  <si>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</si>
  <si>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</si>
  <si>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</si>
  <si>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</si>
  <si>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</si>
  <si>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</si>
  <si>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</si>
  <si>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</si>
  <si>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</si>
  <si>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</si>
  <si>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</si>
  <si>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</si>
  <si>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</si>
  <si>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</si>
  <si>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</si>
  <si>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</si>
  <si>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</si>
  <si>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</si>
  <si>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</si>
  <si>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</si>
  <si>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</si>
  <si>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</si>
  <si>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</si>
  <si>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</si>
  <si>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</si>
  <si>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</si>
  <si>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</si>
  <si>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</si>
  <si>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</si>
  <si>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</si>
  <si>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</si>
  <si>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</si>
  <si>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</si>
  <si>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</si>
  <si>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</si>
  <si>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</si>
  <si>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</si>
  <si>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</si>
  <si>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</si>
  <si>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</si>
  <si>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</si>
  <si>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</si>
  <si>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</si>
  <si>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</si>
  <si>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</si>
  <si>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</si>
  <si>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</si>
  <si>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</si>
  <si>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</si>
  <si>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</si>
  <si>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</si>
  <si>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</si>
  <si>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</si>
  <si>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</si>
  <si>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</si>
  <si>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</si>
  <si>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</si>
  <si>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</si>
  <si>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</si>
  <si>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</si>
  <si>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</si>
  <si>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</si>
  <si>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</si>
  <si>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</si>
  <si>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</si>
  <si>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</si>
  <si>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</si>
  <si>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</si>
  <si>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</si>
  <si>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</si>
  <si>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</si>
  <si>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</si>
  <si>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</si>
  <si>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</si>
  <si>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</si>
  <si>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</si>
  <si>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</si>
  <si>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</si>
  <si>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</si>
  <si>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</si>
  <si>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</si>
  <si>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</si>
  <si>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</si>
  <si>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</si>
  <si>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</si>
  <si>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</si>
  <si>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</si>
  <si>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</si>
  <si>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</si>
  <si>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</si>
  <si>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</si>
  <si>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</si>
  <si>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</si>
  <si>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</si>
  <si>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</si>
  <si>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</si>
  <si>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</si>
  <si>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</si>
  <si>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</si>
  <si>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</si>
  <si>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</si>
  <si>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</si>
  <si>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</si>
  <si>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</si>
  <si>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</si>
  <si>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</si>
  <si>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</si>
  <si>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</si>
  <si>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</si>
  <si>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</si>
  <si>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</si>
  <si>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</si>
  <si>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</si>
  <si>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</si>
  <si>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</si>
  <si>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</si>
  <si>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</si>
  <si>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</si>
  <si>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</si>
  <si>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</si>
  <si>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</si>
  <si>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</si>
  <si>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</si>
  <si>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</si>
  <si>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</si>
  <si>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</si>
  <si>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</si>
  <si>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</si>
  <si>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</si>
  <si>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</si>
  <si>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</si>
  <si>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</si>
  <si>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</si>
  <si>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</si>
  <si>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</si>
  <si>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</si>
  <si>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</si>
  <si>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</si>
  <si>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</si>
  <si>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</si>
  <si>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</si>
  <si>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</si>
  <si>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</si>
  <si>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</si>
  <si>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</si>
  <si>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</si>
  <si>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</si>
  <si>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</si>
  <si>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</si>
  <si>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</si>
  <si>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</si>
  <si>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</si>
  <si>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</si>
  <si>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</si>
  <si>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</si>
  <si>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</si>
  <si>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</si>
  <si>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</si>
  <si>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</si>
  <si>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</si>
  <si>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</si>
  <si>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</si>
  <si>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</si>
  <si>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</si>
  <si>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</si>
  <si>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</si>
  <si>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</si>
  <si>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</si>
  <si>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</si>
  <si>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</si>
  <si>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</si>
  <si>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</si>
  <si>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</si>
  <si>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</si>
  <si>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</si>
  <si>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</si>
  <si>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</si>
  <si>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</si>
  <si>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</si>
  <si>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</si>
  <si>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</si>
  <si>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</si>
  <si>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</si>
  <si>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</si>
  <si>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</si>
  <si>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</si>
  <si>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</si>
  <si>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</si>
  <si>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</si>
  <si>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</si>
  <si>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</si>
  <si>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</si>
  <si>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</si>
  <si>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</si>
  <si>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</si>
  <si>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</si>
  <si>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</si>
  <si>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</si>
  <si>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</si>
  <si>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</si>
  <si>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</si>
  <si>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</si>
  <si>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</si>
  <si>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</si>
  <si>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</si>
  <si>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</si>
  <si>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</si>
  <si>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</si>
  <si>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</si>
  <si>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</si>
  <si>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</si>
  <si>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</si>
  <si>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</si>
  <si>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</si>
  <si>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</si>
  <si>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</si>
  <si>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</si>
  <si>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</si>
  <si>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</si>
  <si>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</si>
  <si>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</si>
  <si>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</si>
  <si>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</si>
  <si>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</si>
  <si>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</si>
  <si>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</si>
  <si>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</si>
  <si>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</si>
  <si>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</si>
  <si>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</si>
  <si>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</si>
  <si>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</si>
  <si>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</si>
  <si>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</si>
  <si>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</si>
  <si>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</si>
  <si>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</si>
  <si>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</si>
  <si>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</si>
  <si>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</si>
  <si>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</si>
  <si>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</si>
  <si>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</si>
  <si>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</si>
  <si>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</si>
  <si>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</si>
  <si>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</si>
  <si>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</si>
  <si>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</si>
  <si>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</si>
  <si>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</si>
  <si>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</si>
  <si>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</si>
  <si>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</si>
  <si>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</si>
  <si>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</si>
  <si>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</si>
  <si>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</si>
  <si>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</si>
  <si>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</si>
  <si>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</si>
  <si>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</si>
  <si>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</si>
  <si>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</si>
  <si>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</si>
  <si>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</si>
  <si>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</si>
  <si>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</si>
  <si>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</si>
  <si>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</si>
  <si>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</si>
  <si>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</si>
  <si>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</si>
  <si>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</si>
  <si>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</si>
  <si>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</si>
  <si>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</si>
  <si>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</si>
  <si>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</si>
  <si>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</si>
  <si>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</si>
  <si>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</si>
  <si>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</si>
  <si>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</si>
  <si>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</si>
  <si>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</si>
  <si>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</si>
  <si>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</si>
  <si>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</si>
  <si>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</si>
  <si>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</si>
  <si>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</si>
  <si>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</si>
  <si>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</si>
  <si>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</si>
  <si>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</si>
  <si>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</si>
  <si>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</si>
  <si>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</si>
  <si>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</si>
  <si>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</si>
  <si>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</si>
  <si>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</si>
  <si>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</si>
  <si>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</si>
  <si>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</si>
  <si>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</si>
  <si>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</si>
  <si>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</si>
  <si>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</si>
  <si>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</si>
  <si>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</si>
  <si>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</si>
  <si>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</si>
  <si>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</si>
  <si>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</si>
  <si>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</si>
  <si>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</si>
  <si>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</si>
  <si>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</si>
  <si>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</si>
  <si>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</si>
  <si>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</si>
  <si>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</si>
  <si>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</si>
  <si>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</si>
  <si>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</si>
  <si>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</si>
  <si>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</si>
  <si>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</si>
  <si>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</si>
  <si>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</si>
  <si>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</si>
  <si>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</si>
  <si>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</si>
  <si>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</si>
  <si>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</si>
  <si>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</si>
  <si>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</si>
  <si>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</si>
  <si>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</si>
  <si>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</si>
  <si>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</si>
  <si>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</si>
  <si>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</si>
  <si>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</si>
  <si>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</si>
  <si>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</si>
  <si>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</si>
  <si>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</si>
  <si>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</si>
  <si>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</si>
  <si>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</si>
  <si>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</si>
  <si>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</si>
  <si>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</si>
  <si>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</si>
  <si>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</si>
  <si>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</si>
  <si>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</si>
  <si>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</si>
  <si>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</si>
  <si>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</si>
  <si>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</si>
  <si>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</si>
  <si>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</si>
  <si>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</si>
  <si>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</si>
  <si>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</si>
  <si>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</si>
  <si>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</si>
  <si>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</si>
  <si>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</si>
  <si>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</si>
  <si>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</si>
  <si>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</si>
  <si>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</si>
  <si>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</si>
  <si>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</si>
  <si>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</si>
  <si>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</si>
  <si>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</si>
  <si>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</si>
  <si>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</si>
  <si>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</si>
  <si>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</si>
  <si>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</si>
  <si>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</si>
  <si>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</si>
  <si>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</si>
  <si>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</si>
  <si>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</si>
  <si>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</si>
  <si>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</si>
  <si>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</si>
  <si>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</si>
  <si>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</si>
  <si>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</si>
  <si>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</si>
  <si>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</si>
  <si>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</si>
  <si>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</si>
  <si>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</si>
  <si>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</si>
  <si>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</si>
  <si>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</si>
  <si>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</si>
  <si>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</si>
  <si>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</si>
  <si>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</si>
  <si>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</si>
  <si>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</si>
  <si>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</si>
  <si>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</si>
  <si>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</si>
  <si>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</si>
  <si>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</si>
  <si>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</si>
  <si>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</si>
  <si>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</si>
  <si>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</si>
  <si>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</si>
  <si>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</si>
  <si>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</si>
  <si>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</si>
  <si>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</si>
  <si>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</si>
  <si>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</si>
  <si>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</si>
  <si>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</si>
  <si>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</si>
  <si>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</si>
  <si>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</si>
  <si>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</si>
  <si>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</si>
  <si>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</si>
  <si>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</si>
  <si>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</si>
  <si>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</si>
  <si>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</si>
  <si>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</si>
  <si>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</si>
  <si>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</si>
  <si>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</si>
  <si>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</si>
  <si>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</si>
  <si>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</si>
  <si>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</si>
  <si>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</si>
  <si>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</si>
  <si>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</si>
  <si>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</si>
  <si>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</si>
  <si>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</si>
  <si>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</si>
  <si>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</si>
  <si>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</si>
  <si>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</si>
  <si>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</si>
  <si>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</si>
  <si>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</si>
  <si>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</si>
  <si>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</si>
  <si>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</si>
  <si>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</si>
  <si>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</si>
  <si>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</si>
  <si>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</si>
  <si>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</si>
  <si>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</si>
  <si>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</si>
  <si>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</si>
  <si>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</si>
  <si>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</si>
  <si>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</si>
  <si>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</si>
  <si>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</si>
  <si>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</si>
  <si>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</si>
  <si>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</si>
  <si>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</si>
  <si>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</si>
  <si>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</si>
  <si>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</si>
  <si>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</si>
  <si>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</si>
  <si>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</si>
  <si>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</si>
  <si>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</si>
  <si>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</si>
  <si>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</si>
  <si>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</si>
  <si>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</si>
  <si>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</si>
  <si>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</si>
  <si>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</si>
  <si>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</si>
  <si>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</si>
  <si>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</si>
  <si>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</si>
  <si>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</si>
  <si>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</si>
  <si>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</si>
  <si>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</si>
  <si>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</si>
  <si>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</si>
  <si>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</si>
  <si>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</si>
  <si>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</si>
  <si>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</si>
  <si>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</si>
  <si>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</si>
  <si>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</si>
  <si>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</si>
  <si>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</si>
  <si>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</si>
  <si>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</si>
  <si>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</si>
  <si>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</si>
  <si>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</si>
  <si>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</si>
  <si>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</si>
  <si>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</si>
  <si>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</si>
  <si>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</si>
  <si>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</si>
  <si>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</si>
  <si>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</si>
  <si>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</si>
  <si>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</si>
  <si>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</si>
  <si>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</si>
  <si>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</si>
  <si>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</si>
  <si>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</si>
  <si>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</si>
  <si>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</si>
  <si>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</si>
  <si>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</si>
  <si>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</si>
  <si>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</si>
  <si>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</si>
  <si>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</si>
  <si>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</si>
  <si>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</si>
  <si>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</si>
  <si>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</si>
  <si>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</si>
  <si>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</si>
  <si>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</si>
  <si>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</si>
  <si>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</si>
  <si>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</si>
  <si>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</si>
  <si>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</si>
  <si>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</si>
  <si>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</si>
  <si>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</si>
  <si>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</si>
  <si>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</si>
  <si>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</si>
  <si>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</si>
  <si>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</si>
  <si>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</si>
  <si>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</si>
  <si>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</si>
  <si>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</si>
  <si>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</si>
  <si>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</si>
  <si>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</si>
  <si>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</si>
  <si>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</si>
  <si>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</si>
  <si>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</si>
  <si>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</si>
  <si>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</si>
  <si>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</si>
  <si>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</si>
  <si>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</si>
  <si>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</si>
  <si>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</si>
  <si>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</si>
  <si>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</si>
  <si>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</si>
  <si>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</si>
  <si>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</si>
  <si>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</si>
  <si>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</si>
  <si>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</si>
  <si>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</si>
  <si>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</si>
  <si>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</si>
  <si>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</si>
  <si>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</si>
  <si>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</si>
  <si>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</si>
  <si>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</si>
  <si>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</si>
  <si>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</si>
  <si>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</si>
  <si>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</si>
  <si>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</si>
  <si>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</si>
  <si>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</si>
  <si>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</si>
  <si>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</si>
  <si>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</si>
  <si>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</si>
  <si>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</si>
  <si>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</si>
  <si>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</si>
  <si>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</si>
  <si>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</si>
  <si>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</si>
  <si>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</si>
  <si>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</si>
  <si>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</si>
  <si>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</si>
  <si>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</si>
  <si>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</si>
  <si>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</si>
  <si>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</si>
  <si>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</si>
  <si>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</si>
  <si>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</si>
  <si>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</si>
  <si>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</si>
  <si>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</si>
  <si>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</si>
  <si>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</si>
  <si>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</si>
  <si>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</si>
  <si>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</si>
  <si>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</si>
  <si>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</si>
  <si>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</si>
  <si>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</si>
  <si>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</si>
  <si>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</si>
  <si>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</si>
  <si>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</si>
  <si>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</si>
  <si>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</si>
  <si>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</si>
  <si>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</si>
  <si>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</si>
  <si>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</si>
  <si>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</si>
  <si>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</si>
  <si>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</si>
  <si>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</si>
  <si>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</si>
  <si>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</si>
  <si>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</si>
  <si>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</si>
  <si>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</si>
  <si>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</si>
  <si>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</si>
  <si>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</si>
  <si>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</si>
  <si>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</si>
  <si>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</si>
  <si>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</si>
  <si>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</si>
  <si>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</si>
  <si>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</si>
  <si>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</si>
  <si>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</si>
  <si>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</si>
  <si>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</si>
  <si>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</si>
  <si>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</si>
  <si>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</si>
  <si>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</si>
  <si>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</si>
  <si>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</si>
  <si>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</si>
  <si>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</si>
  <si>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</si>
  <si>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</si>
  <si>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</si>
  <si>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</si>
  <si>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</si>
  <si>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</si>
  <si>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</si>
  <si>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</si>
  <si>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</si>
  <si>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</si>
  <si>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</si>
  <si>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</si>
  <si>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</si>
  <si>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</si>
  <si>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</si>
  <si>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</si>
  <si>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</si>
  <si>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</si>
  <si>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</si>
  <si>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</si>
  <si>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</si>
  <si>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</si>
  <si>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</si>
  <si>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</si>
  <si>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</si>
  <si>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</si>
  <si>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</si>
  <si>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</si>
  <si>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</si>
  <si>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</si>
  <si>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</si>
  <si>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</si>
  <si>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</si>
  <si>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</si>
  <si>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</si>
  <si>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</si>
  <si>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</si>
  <si>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</si>
  <si>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</si>
  <si>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</si>
  <si>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</si>
  <si>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</si>
  <si>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</si>
  <si>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</si>
  <si>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</si>
  <si>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</si>
  <si>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</si>
  <si>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</si>
  <si>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</si>
  <si>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</si>
  <si>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</si>
  <si>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</si>
  <si>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</si>
  <si>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</si>
  <si>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</si>
  <si>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</si>
  <si>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</si>
  <si>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</si>
  <si>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</si>
  <si>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</si>
  <si>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</si>
  <si>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</si>
  <si>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</si>
  <si>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</si>
  <si>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</si>
  <si>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</si>
  <si>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</si>
  <si>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</si>
  <si>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</si>
  <si>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</si>
  <si>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</si>
  <si>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</si>
  <si>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</si>
  <si>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</si>
  <si>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</si>
  <si>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</si>
  <si>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</si>
  <si>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</si>
  <si>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</si>
  <si>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</si>
  <si>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</si>
  <si>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</si>
  <si>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</si>
  <si>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</si>
  <si>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</si>
  <si>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</si>
  <si>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</si>
  <si>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</si>
  <si>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</si>
  <si>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</si>
  <si>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</si>
  <si>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</si>
  <si>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</si>
  <si>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</si>
  <si>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</si>
  <si>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</si>
  <si>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</si>
  <si>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</si>
  <si>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</si>
  <si>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</si>
  <si>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</si>
  <si>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</si>
  <si>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</si>
  <si>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</si>
  <si>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</si>
  <si>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</si>
  <si>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</si>
  <si>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</si>
  <si>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</si>
  <si>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</si>
  <si>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</si>
  <si>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</si>
  <si>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</si>
  <si>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</si>
  <si>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</si>
  <si>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</si>
  <si>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</si>
  <si>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</si>
  <si>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</si>
  <si>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</si>
  <si>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</si>
  <si>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</si>
  <si>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</si>
  <si>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</si>
  <si>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</si>
  <si>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</si>
  <si>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</si>
  <si>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</si>
  <si>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</si>
  <si>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</si>
  <si>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</si>
  <si>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</si>
  <si>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</si>
  <si>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</si>
  <si>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</si>
  <si>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</si>
  <si>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</si>
  <si>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</si>
  <si>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</si>
  <si>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</si>
  <si>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</si>
  <si>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</si>
  <si>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</si>
  <si>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</si>
  <si>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</si>
  <si>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</si>
  <si>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</si>
  <si>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</si>
  <si>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</si>
  <si>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</si>
  <si>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</si>
  <si>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</si>
  <si>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</si>
  <si>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</si>
  <si>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</si>
  <si>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</si>
  <si>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</si>
  <si>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</si>
  <si>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</si>
  <si>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</si>
  <si>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</si>
  <si>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</si>
  <si>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</si>
  <si>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</si>
  <si>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</si>
  <si>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</si>
  <si>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</si>
  <si>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</si>
  <si>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</si>
  <si>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</si>
  <si>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</si>
  <si>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</si>
  <si>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</si>
  <si>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</si>
  <si>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</si>
  <si>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</si>
  <si>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</si>
  <si>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</si>
  <si>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</si>
  <si>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</si>
  <si>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</si>
  <si>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</si>
  <si>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</si>
  <si>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</si>
  <si>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</si>
  <si>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</si>
  <si>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</si>
  <si>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</si>
  <si>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</si>
  <si>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</si>
  <si>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</si>
  <si>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</si>
  <si>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</si>
  <si>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</si>
  <si>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</si>
  <si>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</si>
  <si>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</si>
  <si>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</si>
  <si>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</si>
  <si>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</si>
  <si>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</si>
  <si>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</si>
  <si>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</si>
  <si>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</si>
  <si>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</si>
  <si>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</si>
  <si>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</si>
  <si>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</si>
  <si>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</si>
  <si>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</si>
  <si>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</si>
  <si>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</si>
  <si>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</si>
  <si>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</si>
  <si>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</si>
  <si>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</si>
  <si>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</si>
  <si>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</si>
  <si>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</si>
  <si>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</si>
  <si>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</si>
  <si>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</si>
  <si>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</si>
  <si>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</si>
  <si>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</si>
  <si>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</si>
  <si>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</si>
  <si>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</si>
  <si>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</si>
  <si>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</si>
  <si>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</si>
  <si>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</si>
  <si>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</si>
  <si>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</si>
  <si>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</si>
  <si>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</si>
  <si>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</si>
  <si>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</si>
  <si>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</si>
  <si>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</si>
  <si>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</si>
  <si>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</si>
  <si>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</si>
  <si>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</si>
  <si>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</si>
  <si>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</si>
  <si>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</si>
  <si>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</si>
  <si>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</si>
  <si>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</si>
  <si>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</si>
  <si>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</si>
  <si>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</si>
  <si>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</si>
  <si>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</si>
  <si>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</si>
  <si>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</si>
  <si>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</si>
  <si>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</si>
  <si>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</si>
  <si>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</si>
  <si>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</si>
  <si>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</si>
  <si>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</si>
  <si>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</si>
  <si>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</si>
  <si>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</si>
  <si>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</si>
  <si>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</si>
  <si>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</si>
  <si>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</si>
  <si>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</si>
  <si>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</si>
  <si>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</si>
  <si>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</si>
  <si>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</si>
  <si>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</si>
  <si>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</si>
  <si>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</si>
  <si>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</si>
  <si>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</si>
  <si>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</si>
  <si>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</si>
  <si>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</si>
  <si>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</si>
  <si>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</si>
  <si>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</si>
  <si>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</si>
  <si>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</si>
  <si>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</si>
  <si>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</si>
  <si>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</si>
  <si>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</si>
  <si>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</si>
  <si>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</si>
  <si>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</si>
  <si>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</si>
  <si>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</si>
  <si>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</si>
  <si>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</si>
  <si>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</si>
  <si>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</si>
  <si>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</si>
  <si>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</si>
  <si>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</si>
  <si>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</si>
  <si>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</si>
  <si>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</si>
  <si>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</si>
  <si>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</si>
  <si>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</si>
  <si>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</si>
  <si>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</si>
  <si>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</si>
  <si>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</si>
  <si>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</si>
  <si>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</si>
  <si>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</si>
  <si>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</si>
  <si>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</si>
  <si>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</si>
  <si>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</si>
  <si>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</si>
  <si>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</si>
  <si>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</si>
  <si>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</si>
  <si>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</si>
  <si>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</si>
  <si>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</si>
  <si>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</si>
  <si>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</si>
  <si>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</si>
  <si>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</si>
  <si>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</si>
  <si>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</si>
  <si>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</si>
  <si>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</si>
  <si>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</si>
  <si>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</si>
  <si>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</si>
  <si>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</si>
  <si>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</si>
  <si>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</si>
  <si>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</si>
  <si>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</si>
  <si>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</si>
  <si>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</si>
  <si>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</si>
  <si>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</si>
  <si>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</si>
  <si>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</si>
  <si>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</si>
  <si>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</si>
  <si>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</si>
  <si>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</si>
  <si>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</si>
  <si>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</si>
  <si>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</si>
  <si>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</si>
  <si>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</si>
  <si>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</si>
  <si>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</si>
  <si>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</si>
  <si>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</si>
  <si>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</si>
  <si>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</si>
  <si>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</si>
  <si>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</si>
  <si>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</si>
  <si>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</si>
  <si>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</si>
  <si>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</si>
  <si>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</si>
  <si>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</si>
  <si>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</si>
  <si>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</si>
  <si>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</si>
  <si>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</si>
  <si>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</si>
  <si>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</si>
  <si>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</si>
  <si>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</si>
  <si>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</si>
  <si>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</si>
  <si>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</si>
  <si>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</si>
  <si>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</si>
  <si>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</si>
  <si>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</si>
  <si>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</si>
  <si>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</si>
  <si>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</si>
  <si>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</si>
  <si>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</si>
  <si>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</si>
  <si>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</si>
  <si>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</si>
  <si>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</si>
  <si>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</si>
  <si>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</si>
  <si>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</si>
  <si>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</si>
  <si>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</si>
  <si>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</si>
  <si>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</si>
  <si>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</si>
  <si>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</si>
  <si>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</si>
  <si>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</si>
  <si>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</si>
  <si>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</si>
  <si>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</si>
  <si>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</si>
  <si>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</si>
  <si>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</si>
  <si>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</si>
  <si>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</si>
  <si>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</si>
  <si>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</si>
  <si>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</si>
  <si>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</si>
  <si>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</si>
  <si>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</si>
  <si>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</si>
  <si>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</si>
  <si>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</si>
  <si>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</si>
  <si>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</si>
  <si>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</si>
  <si>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</si>
  <si>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</si>
  <si>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</si>
  <si>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</si>
  <si>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</si>
  <si>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</si>
  <si>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</si>
  <si>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</si>
  <si>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</si>
  <si>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</si>
  <si>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</si>
  <si>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</si>
  <si>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</si>
  <si>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</si>
  <si>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</si>
  <si>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</si>
  <si>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</si>
  <si>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</si>
  <si>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</si>
  <si>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</si>
  <si>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</si>
  <si>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</si>
  <si>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</si>
  <si>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</si>
  <si>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</si>
  <si>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</si>
  <si>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</si>
  <si>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</si>
  <si>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</si>
  <si>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</si>
  <si>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</si>
  <si>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</si>
  <si>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</si>
  <si>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</si>
  <si>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</si>
  <si>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</si>
  <si>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</si>
  <si>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</si>
  <si>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</si>
  <si>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</si>
  <si>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</si>
  <si>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</si>
  <si>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</si>
  <si>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</si>
  <si>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</si>
  <si>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</si>
  <si>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</si>
  <si>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</si>
  <si>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</si>
  <si>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</si>
  <si>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</si>
  <si>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</si>
  <si>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</si>
  <si>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</si>
  <si>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</si>
  <si>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</si>
  <si>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</si>
  <si>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</si>
  <si>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</si>
  <si>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</si>
  <si>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</si>
  <si>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</si>
  <si>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</si>
  <si>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</si>
  <si>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</si>
  <si>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</si>
  <si>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</si>
  <si>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</si>
  <si>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</si>
  <si>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</si>
  <si>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</si>
  <si>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</si>
  <si>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</si>
  <si>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</si>
  <si>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</si>
  <si>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</si>
  <si>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</si>
  <si>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</si>
  <si>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</si>
  <si>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</si>
  <si>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</si>
  <si>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</si>
  <si>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</si>
  <si>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</si>
  <si>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</si>
  <si>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</si>
  <si>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</si>
  <si>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</si>
  <si>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</si>
  <si>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</si>
  <si>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</si>
  <si>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</si>
  <si>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</si>
  <si>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</si>
  <si>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</si>
  <si>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</si>
  <si>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</si>
  <si>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</si>
  <si>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</si>
  <si>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</si>
  <si>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</si>
  <si>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</si>
  <si>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</si>
  <si>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</si>
  <si>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</si>
  <si>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</si>
  <si>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</si>
  <si>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</si>
  <si>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</si>
  <si>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</si>
  <si>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</si>
  <si>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</si>
  <si>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</si>
  <si>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</si>
  <si>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</si>
  <si>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</si>
  <si>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</si>
  <si>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</si>
  <si>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</si>
  <si>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</si>
  <si>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</si>
  <si>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</si>
  <si>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</si>
  <si>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</si>
  <si>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</si>
  <si>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</si>
  <si>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</si>
  <si>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</si>
  <si>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</si>
  <si>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</si>
  <si>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</si>
  <si>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</si>
  <si>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</si>
  <si>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</si>
  <si>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</si>
  <si>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</si>
  <si>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</si>
  <si>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</si>
  <si>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</si>
  <si>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</si>
  <si>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</si>
  <si>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</si>
  <si>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</si>
  <si>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</si>
  <si>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</si>
  <si>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</si>
  <si>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</si>
  <si>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</si>
  <si>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</si>
  <si>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</si>
  <si>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</si>
  <si>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</si>
  <si>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</si>
  <si>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</si>
  <si>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</si>
  <si>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</si>
  <si>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</si>
  <si>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</si>
  <si>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</si>
  <si>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</si>
  <si>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</si>
  <si>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</si>
  <si>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</si>
  <si>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</si>
  <si>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</si>
  <si>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</si>
  <si>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</si>
  <si>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</si>
  <si>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</si>
  <si>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</si>
  <si>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</si>
  <si>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</si>
  <si>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</si>
  <si>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</si>
  <si>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</si>
  <si>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</si>
  <si>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</si>
  <si>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</si>
  <si>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</si>
  <si>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</si>
  <si>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</si>
  <si>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</si>
  <si>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</si>
  <si>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</si>
  <si>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</si>
  <si>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</si>
  <si>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</si>
  <si>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</si>
  <si>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</si>
  <si>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</si>
  <si>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</si>
  <si>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</si>
  <si>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</si>
  <si>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</si>
  <si>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</si>
  <si>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</si>
  <si>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</si>
  <si>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</si>
  <si>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</si>
  <si>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</si>
  <si>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</si>
  <si>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</si>
  <si>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</si>
  <si>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</si>
  <si>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</si>
  <si>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</si>
  <si>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</si>
  <si>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</si>
  <si>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</si>
  <si>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</si>
  <si>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</si>
  <si>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</si>
  <si>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</si>
  <si>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</si>
  <si>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</si>
  <si>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</si>
  <si>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</si>
  <si>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</si>
  <si>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</si>
  <si>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</si>
  <si>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</si>
  <si>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</si>
  <si>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</si>
  <si>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</si>
  <si>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</si>
  <si>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</si>
  <si>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</si>
  <si>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</si>
  <si>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</si>
  <si>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</si>
  <si>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</si>
  <si>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</si>
  <si>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</si>
  <si>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</si>
  <si>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</si>
  <si>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</si>
  <si>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</si>
  <si>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</si>
  <si>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</si>
  <si>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</si>
  <si>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</si>
  <si>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</si>
  <si>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</si>
  <si>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</si>
  <si>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</si>
  <si>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</si>
  <si>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</si>
  <si>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</si>
  <si>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</si>
  <si>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</si>
  <si>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</si>
  <si>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</si>
  <si>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</si>
  <si>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</si>
  <si>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</si>
  <si>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</si>
  <si>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</si>
  <si>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</si>
  <si>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</si>
  <si>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</si>
  <si>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</si>
  <si>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</si>
  <si>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</si>
  <si>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</si>
  <si>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</si>
  <si>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</si>
  <si>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</si>
  <si>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</si>
  <si>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</si>
  <si>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</si>
  <si>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</si>
  <si>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</si>
  <si>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</si>
  <si>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</si>
  <si>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</si>
  <si>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</si>
  <si>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</si>
  <si>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</si>
  <si>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</si>
  <si>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</si>
  <si>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</si>
  <si>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</si>
  <si>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</si>
  <si>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</si>
  <si>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</si>
  <si>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</si>
  <si>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</si>
  <si>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</si>
  <si>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</si>
  <si>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</si>
  <si>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</si>
  <si>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</si>
  <si>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</si>
  <si>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</si>
  <si>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</si>
  <si>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</si>
  <si>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</si>
  <si>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</si>
  <si>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</si>
  <si>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</si>
  <si>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</si>
  <si>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</si>
  <si>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</si>
  <si>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</si>
  <si>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</si>
  <si>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</si>
  <si>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</si>
  <si>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</si>
  <si>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</si>
  <si>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</si>
  <si>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</si>
  <si>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</si>
  <si>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</si>
  <si>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</si>
  <si>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</si>
  <si>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</si>
  <si>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</si>
  <si>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</si>
  <si>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</si>
  <si>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</si>
  <si>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</si>
  <si>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</si>
  <si>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</si>
  <si>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</si>
  <si>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</si>
  <si>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</si>
  <si>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</si>
  <si>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</si>
  <si>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</si>
  <si>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</si>
  <si>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</si>
  <si>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</si>
  <si>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</si>
  <si>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</si>
  <si>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</si>
  <si>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</si>
  <si>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</si>
  <si>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</si>
  <si>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</si>
  <si>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</si>
  <si>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</si>
  <si>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</si>
  <si>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</si>
  <si>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</si>
  <si>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</si>
  <si>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</si>
  <si>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</si>
  <si>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</si>
  <si>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</si>
  <si>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</si>
  <si>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</si>
  <si>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</si>
  <si>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</si>
  <si>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</si>
  <si>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</si>
  <si>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</si>
  <si>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</si>
  <si>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</si>
  <si>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</si>
  <si>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</si>
  <si>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</si>
  <si>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</si>
  <si>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</si>
  <si>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</si>
  <si>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</si>
  <si>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</si>
  <si>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</si>
  <si>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</si>
  <si>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</si>
  <si>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</si>
  <si>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</si>
  <si>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</si>
  <si>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</si>
  <si>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CVCAH Tamien II LLC (to be formed)</t>
  </si>
  <si>
    <t>Tamien Station Phase II</t>
  </si>
  <si>
    <t>City of San Jose - Dept. of Housing</t>
  </si>
  <si>
    <t>Erik Solivan, Director of Housing</t>
  </si>
  <si>
    <t>200 E. Santa Clara St., 12th Floor</t>
  </si>
  <si>
    <t>San Jose</t>
  </si>
  <si>
    <t>669-314-3611</t>
  </si>
  <si>
    <t>erik.solivan@sanjoseca.gov</t>
  </si>
  <si>
    <t>434-13-044</t>
  </si>
  <si>
    <t>40%/60% Average Income</t>
  </si>
  <si>
    <t>470 S. Market Street</t>
  </si>
  <si>
    <t>Vince Cantore</t>
  </si>
  <si>
    <t>CA</t>
  </si>
  <si>
    <t>408-207-1312</t>
  </si>
  <si>
    <t>vcantore@thecorecompanies.com</t>
  </si>
  <si>
    <t>Central Valley Coalition for Afforedable Housing</t>
  </si>
  <si>
    <t>Core RUP Tamien II, LLC (to be formed)</t>
  </si>
  <si>
    <t>Administrative GP</t>
  </si>
  <si>
    <t>Chris Neale</t>
  </si>
  <si>
    <t>Core Affordable Housing, LLC</t>
  </si>
  <si>
    <t>Developer</t>
  </si>
  <si>
    <t>3351 M Street, Suite 100</t>
  </si>
  <si>
    <t>408-292-7841</t>
  </si>
  <si>
    <t>chris@thecorecompanies.com</t>
  </si>
  <si>
    <t>Core Affordable Housing LLC</t>
  </si>
  <si>
    <t>Chris Alley</t>
  </si>
  <si>
    <t>209-388-0782</t>
  </si>
  <si>
    <t>chris@centralvalleycoalition.com</t>
  </si>
  <si>
    <t>Central Valley Coalition for Affordable Housing</t>
  </si>
  <si>
    <t>Managing GP</t>
  </si>
  <si>
    <t>470 South Market Street</t>
  </si>
  <si>
    <t>San Jose, CA 95113</t>
  </si>
  <si>
    <t>LPMD Architects</t>
  </si>
  <si>
    <t>1288 Kifer Road, Unit 206</t>
  </si>
  <si>
    <t>Sunnyvale, CA 94086</t>
  </si>
  <si>
    <t>Debbie Hill</t>
  </si>
  <si>
    <t>408-992-0280</t>
  </si>
  <si>
    <t>debbie@lpmd-architects.com</t>
  </si>
  <si>
    <t>Cox Castle &amp; Nicholson LLP</t>
  </si>
  <si>
    <t>50 California St., #3200</t>
  </si>
  <si>
    <t>San Francisco, CA 94111</t>
  </si>
  <si>
    <t>Steve Ryan</t>
  </si>
  <si>
    <t>415-262-5150</t>
  </si>
  <si>
    <t>sryan@coxcastle.com</t>
  </si>
  <si>
    <t>Core Builders</t>
  </si>
  <si>
    <t>Keith Craw</t>
  </si>
  <si>
    <t>kcraw@corebuildergc.com</t>
  </si>
  <si>
    <t>408-207-1338</t>
  </si>
  <si>
    <t>Novogradac &amp; Co</t>
  </si>
  <si>
    <t>Jeff Nishita</t>
  </si>
  <si>
    <t>1160 Battery St., Suite 225</t>
  </si>
  <si>
    <t>jeff.nishita@novoco.com</t>
  </si>
  <si>
    <t>415-356-8081</t>
  </si>
  <si>
    <t>Bright Green Strategies</t>
  </si>
  <si>
    <t>820 Delaware Street</t>
  </si>
  <si>
    <t>Berkeley, CA 94710</t>
  </si>
  <si>
    <t>Marzena Wrobel</t>
  </si>
  <si>
    <t>510-863-1109</t>
  </si>
  <si>
    <t>marzena@brightgreenstrategies.com</t>
  </si>
  <si>
    <t>Raymond James</t>
  </si>
  <si>
    <t>5420 La Jolla Blvd, #B104</t>
  </si>
  <si>
    <t>La Jolla, CA 92037</t>
  </si>
  <si>
    <t>Kevin Kilbane</t>
  </si>
  <si>
    <t>216-509-1342</t>
  </si>
  <si>
    <t>kevin.kilbane@raymondjames.com</t>
  </si>
  <si>
    <t>6700 Antioch Rd., Suite 450</t>
  </si>
  <si>
    <t>Merriam, KS 66204</t>
  </si>
  <si>
    <t>Rebecca Arthur</t>
  </si>
  <si>
    <t>913-677-4600</t>
  </si>
  <si>
    <t>rebecca.arthur@novoco.com</t>
  </si>
  <si>
    <t>CMFA</t>
  </si>
  <si>
    <t>2111 Palomar Airport Road, Suite 320</t>
  </si>
  <si>
    <t>Carlsbad, CA 92011</t>
  </si>
  <si>
    <t>Anthony Stubbs</t>
  </si>
  <si>
    <t>760-930-1333</t>
  </si>
  <si>
    <t>astubbs@cmfa-ca.com</t>
  </si>
  <si>
    <t>The John Stewart Company</t>
  </si>
  <si>
    <t>1388 Sutter Street</t>
  </si>
  <si>
    <t>San Francisco, CA 94109</t>
  </si>
  <si>
    <t>Maya Powis</t>
  </si>
  <si>
    <t>831-438-5725</t>
  </si>
  <si>
    <t>mpowis@jsco.net</t>
  </si>
  <si>
    <t>UrbanCo-Tamien, LLC</t>
  </si>
  <si>
    <t>Santa Clara Valley Transportation Authority</t>
  </si>
  <si>
    <t>Secured by Leasehold Interest</t>
  </si>
  <si>
    <t>Inner City Infill Site</t>
  </si>
  <si>
    <t>Urban Residential</t>
  </si>
  <si>
    <t>RM(PD) Planned Developmernt Zoning District / 95 DU/AC</t>
  </si>
  <si>
    <t>RM(PD) Planned Development Zoning District / 95 DU/AC</t>
  </si>
  <si>
    <t>80 feet above grade (90 feet for architectural elements)</t>
  </si>
  <si>
    <t>158.2 with TOD &amp; TDM (25% Reduction)</t>
  </si>
  <si>
    <t>Citibank - Tax Exempt Bonds</t>
  </si>
  <si>
    <t>Variable</t>
  </si>
  <si>
    <t xml:space="preserve">Raymond James </t>
  </si>
  <si>
    <t>Deferred Costs</t>
  </si>
  <si>
    <t>One Sansome Street, 18th Floor</t>
  </si>
  <si>
    <t>Bryan Barker</t>
  </si>
  <si>
    <t>415-627-6484</t>
  </si>
  <si>
    <t>Taxable Bonds</t>
  </si>
  <si>
    <t>Tax-Exempt Bonds</t>
  </si>
  <si>
    <t>2111 Palomar Airport Rd., Suite 320</t>
  </si>
  <si>
    <t>Carlsbad</t>
  </si>
  <si>
    <t>Recycled Bonds</t>
  </si>
  <si>
    <t>5420 La Jolla Blvd. #B104</t>
  </si>
  <si>
    <t>La Jolla</t>
  </si>
  <si>
    <t>LIHTC Equity</t>
  </si>
  <si>
    <t>Citibank</t>
  </si>
  <si>
    <t>Cash from Operations</t>
  </si>
  <si>
    <t xml:space="preserve">Solar Credit </t>
  </si>
  <si>
    <t>Contribution Developer Fee</t>
  </si>
  <si>
    <t>Perm Loan</t>
  </si>
  <si>
    <t>Housing Authority of the County of Santa Clara (10.1.24 schedule)</t>
  </si>
  <si>
    <t>Office/G&amp;A</t>
  </si>
  <si>
    <t>County of Santa Clara</t>
  </si>
  <si>
    <t>Lender Expenses</t>
  </si>
  <si>
    <t>Insurnace 1st Year</t>
  </si>
  <si>
    <t>Administration</t>
  </si>
  <si>
    <t>PLA</t>
  </si>
  <si>
    <t>Reycled Bonds</t>
  </si>
  <si>
    <t>Christina Alley</t>
  </si>
  <si>
    <t>Chief Executive Officer</t>
  </si>
  <si>
    <t>1221 Lick Ave. &amp; 1184 Lelong Street</t>
  </si>
  <si>
    <t>Un-Targeted</t>
  </si>
  <si>
    <t>All units are un-targeted</t>
  </si>
  <si>
    <t>Citibank - Taxable Bonds</t>
  </si>
  <si>
    <t>1-mo SOFR</t>
  </si>
  <si>
    <t>Provided</t>
  </si>
  <si>
    <t>Not Applicable</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</si>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</sst>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6" xfId="0"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10886</xdr:colOff>
          <xdr:row>77</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84761</xdr:colOff>
      <xdr:row>7</xdr:row>
      <xdr:rowOff>8340</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2.9"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2.9"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654</v>
      </c>
      <c r="F40" s="1260" t="s">
        <v>1165</v>
      </c>
    </row>
    <row r="41" spans="1:38" s="1260"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90" sqref="I90"/>
    </sheetView>
  </sheetViews>
  <sheetFormatPr defaultColWidth="9.15234375" defaultRowHeight="14.15"/>
  <cols>
    <col min="1" max="1" width="2.3828125" style="1044" customWidth="1"/>
    <col min="2" max="9" width="14.69140625" style="1044" customWidth="1"/>
    <col min="10" max="10" width="2.3046875" style="1044" customWidth="1"/>
    <col min="11" max="11" width="11.84375" style="1045" customWidth="1"/>
    <col min="12" max="12" width="10.69140625" style="1044" customWidth="1"/>
    <col min="13" max="13" width="10.3828125" style="1044" customWidth="1"/>
    <col min="14" max="14" width="10.84375" style="1044" customWidth="1"/>
    <col min="15" max="18" width="9.15234375" style="1044"/>
    <col min="19" max="19" width="9.3828125" style="1044" bestFit="1" customWidth="1"/>
    <col min="20" max="16384" width="9.1523437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149999999999999" customHeight="1">
      <c r="A3" s="1100"/>
      <c r="B3" s="1101"/>
      <c r="C3" s="1102"/>
      <c r="D3" s="1107"/>
      <c r="E3" s="1102"/>
      <c r="F3" s="1103" t="s">
        <v>1990</v>
      </c>
      <c r="G3" s="1102"/>
      <c r="H3" s="1104">
        <f>E18</f>
        <v>46749728.000000007</v>
      </c>
      <c r="I3" s="1105"/>
    </row>
    <row r="4" spans="1:13" s="1051" customFormat="1" ht="20.149999999999999" customHeight="1">
      <c r="B4" s="1094"/>
      <c r="D4" s="1108"/>
      <c r="F4" s="1092" t="s">
        <v>1992</v>
      </c>
      <c r="G4" s="1091" t="s">
        <v>1991</v>
      </c>
      <c r="H4" s="1093">
        <f>I18</f>
        <v>36773134.666830063</v>
      </c>
      <c r="I4" s="1095"/>
      <c r="K4" s="1055"/>
    </row>
    <row r="5" spans="1:13" s="1051" customFormat="1" ht="20.149999999999999" customHeight="1" thickBot="1">
      <c r="B5" s="1096"/>
      <c r="C5" s="1097"/>
      <c r="D5" s="1109"/>
      <c r="E5" s="1098"/>
      <c r="F5" s="1109" t="s">
        <v>1942</v>
      </c>
      <c r="G5" s="1110"/>
      <c r="H5" s="1106">
        <f>IFERROR(H3/H4,0)</f>
        <v>1.271301139365989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7825000</v>
      </c>
      <c r="G9" s="2660" t="s">
        <v>1972</v>
      </c>
      <c r="H9" s="2660"/>
      <c r="I9" s="1060">
        <f>SUMIF(Application!M554:M565,"Loan, Tax-Exempt",Application!AM554:AM565)</f>
        <v>28311000</v>
      </c>
      <c r="K9" s="1061"/>
      <c r="M9" s="1062"/>
    </row>
    <row r="10" spans="1:13" ht="15" customHeight="1" thickBot="1">
      <c r="A10" s="1046"/>
      <c r="B10" s="2668" t="s">
        <v>1975</v>
      </c>
      <c r="C10" s="2668"/>
      <c r="D10" s="2668"/>
      <c r="E10" s="1060">
        <f>G47</f>
        <v>23757228.000000007</v>
      </c>
      <c r="G10" s="2674" t="s">
        <v>1943</v>
      </c>
      <c r="H10" s="2674"/>
      <c r="I10" s="1140">
        <f>'Basis &amp; Credits'!AB78</f>
        <v>26399486</v>
      </c>
      <c r="M10" s="1062"/>
    </row>
    <row r="11" spans="1:13" ht="15" customHeight="1">
      <c r="A11" s="1046"/>
      <c r="B11" s="2661" t="s">
        <v>2263</v>
      </c>
      <c r="C11" s="2662"/>
      <c r="D11" s="2663"/>
      <c r="E11" s="1060">
        <f>SUM(E12,E13)</f>
        <v>300000</v>
      </c>
      <c r="G11" s="2659" t="s">
        <v>1983</v>
      </c>
      <c r="H11" s="2659"/>
      <c r="I11" s="1139">
        <f>I9+I10</f>
        <v>54710486</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300000</v>
      </c>
      <c r="G13" s="2647" t="s">
        <v>2006</v>
      </c>
      <c r="H13" s="2648"/>
      <c r="I13" s="2649"/>
      <c r="M13" s="1062"/>
    </row>
    <row r="14" spans="1:13" ht="15" customHeight="1">
      <c r="A14" s="1049"/>
      <c r="B14" s="2661" t="s">
        <v>2264</v>
      </c>
      <c r="C14" s="2662"/>
      <c r="D14" s="2663"/>
      <c r="E14" s="1167">
        <f>MAX(E15,E16)+E17</f>
        <v>14867500</v>
      </c>
      <c r="G14" s="2660" t="s">
        <v>139</v>
      </c>
      <c r="H14" s="2660"/>
      <c r="I14" s="1064">
        <f>15%*(AND(G120="Yes",G122&lt;&gt;""))</f>
        <v>0.15</v>
      </c>
      <c r="M14" s="1062"/>
    </row>
    <row r="15" spans="1:13" ht="15" customHeight="1">
      <c r="A15" s="1049"/>
      <c r="B15" s="2644" t="s">
        <v>2270</v>
      </c>
      <c r="C15" s="2645"/>
      <c r="D15" s="2646"/>
      <c r="E15" s="1165">
        <f>G80</f>
        <v>4695000</v>
      </c>
      <c r="G15" s="1137" t="s">
        <v>1984</v>
      </c>
      <c r="H15" s="1137"/>
      <c r="I15" s="1064">
        <f>IF(Application!AJ1032&gt;0,10%,IF(Application!AJ1036&gt;0,5%,0))</f>
        <v>0.05</v>
      </c>
      <c r="M15" s="1062"/>
    </row>
    <row r="16" spans="1:13" ht="15" customHeight="1">
      <c r="A16" s="1049"/>
      <c r="B16" s="2644" t="s">
        <v>2269</v>
      </c>
      <c r="C16" s="2645"/>
      <c r="D16" s="2646"/>
      <c r="E16" s="1165">
        <f>G90</f>
        <v>0</v>
      </c>
      <c r="G16" s="2660" t="s">
        <v>1985</v>
      </c>
      <c r="H16" s="2660"/>
      <c r="I16" s="1064">
        <f>G132</f>
        <v>0.127859477124183</v>
      </c>
    </row>
    <row r="17" spans="1:21" ht="15" customHeight="1" thickBot="1">
      <c r="A17" s="1049"/>
      <c r="B17" s="2644" t="s">
        <v>2268</v>
      </c>
      <c r="C17" s="2645"/>
      <c r="D17" s="2646"/>
      <c r="E17" s="1165">
        <f>G115</f>
        <v>10172500</v>
      </c>
      <c r="G17" s="2660" t="s">
        <v>2278</v>
      </c>
      <c r="H17" s="2660"/>
      <c r="I17" s="1064">
        <f>IF(AND(G139="Yes",OR(G136,G137)),IF(G143&gt;15%,15%,G143),0)</f>
        <v>0</v>
      </c>
    </row>
    <row r="18" spans="1:21" ht="15" customHeight="1">
      <c r="A18" s="1046"/>
      <c r="B18" s="2673" t="s">
        <v>1939</v>
      </c>
      <c r="C18" s="2673"/>
      <c r="D18" s="2673"/>
      <c r="E18" s="1111">
        <f>SUM(E9:E11,E14)</f>
        <v>46749728.000000007</v>
      </c>
      <c r="G18" s="1138" t="s">
        <v>1973</v>
      </c>
      <c r="H18" s="1138"/>
      <c r="I18" s="1112">
        <f>I11-((I11*I14)+(I11*I15)+(I11*I16)+(I11*I17))</f>
        <v>36773134.666830063</v>
      </c>
      <c r="M18" s="1065">
        <f>SUM(Cdlac[Quantity])</f>
        <v>131</v>
      </c>
      <c r="O18" s="1084" t="s">
        <v>583</v>
      </c>
      <c r="P18" s="1044">
        <f>MATCH(Application!T189,Application!CB160:CB217,0)</f>
        <v>43</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7</v>
      </c>
      <c r="N20" s="1071">
        <f>Application!AC718</f>
        <v>0.3</v>
      </c>
      <c r="O20" s="1071">
        <f>IF(Cdlac[[#This Row],[Quantity]]&gt;0,IF(Cdlac[[#This Row],[Federal]],30%,IF(AND(OR(NOT($G$38),$G$38=""),$G$43),40%,Cdlac[[#This Row],[iAMI]])),"")</f>
        <v>0.3</v>
      </c>
      <c r="P20" s="1065" cm="1">
        <f t="array" ref="P20">IF(Cdlac[[#This Row],[Quantity]]&gt;0,INDEX(TcacRents,$P$18,Cdlac[[#This Row],[Bedrooms]]+1)*Cdlac[[#This Row],[AMI]],"")</f>
        <v>1130.3999999999999</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1844.6000000000001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20</v>
      </c>
      <c r="N21" s="1071">
        <f>Application!AC719</f>
        <v>0.5</v>
      </c>
      <c r="O21" s="1071">
        <f>IF(Cdlac[[#This Row],[Quantity]]&gt;0,IF(Cdlac[[#This Row],[Federal]],30%,IF(AND(OR(NOT($G$38),$G$38=""),$G$43),40%,Cdlac[[#This Row],[iAMI]])),"")</f>
        <v>0.5</v>
      </c>
      <c r="P21" s="1065" cm="1">
        <f t="array" ref="P21">IF(Cdlac[[#This Row],[Quantity]]&gt;0,INDEX(TcacRents,$P$18,Cdlac[[#This Row],[Bedrooms]]+1)*Cdlac[[#This Row],[AMI]],"")</f>
        <v>1884</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1091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2609</v>
      </c>
      <c r="G22" s="2651" t="s">
        <v>1986</v>
      </c>
      <c r="H22" s="1070"/>
      <c r="I22" s="1069"/>
      <c r="L22" s="1044">
        <f>IFERROR(MIN(4,MATCH(Application!B720,UnitSizes,0)-1),"")</f>
        <v>1</v>
      </c>
      <c r="M22" s="1065">
        <f>Application!G720</f>
        <v>30</v>
      </c>
      <c r="N22" s="1071">
        <f>Application!AC720</f>
        <v>0.6</v>
      </c>
      <c r="O22" s="1071">
        <f>IF(Cdlac[[#This Row],[Quantity]]&gt;0,IF(Cdlac[[#This Row],[Federal]],30%,IF(AND(OR(NOT($G$38),$G$38=""),$G$43),40%,Cdlac[[#This Row],[iAMI]])),"")</f>
        <v>0.6</v>
      </c>
      <c r="P22" s="1065" cm="1">
        <f t="array" ref="P22">IF(Cdlac[[#This Row],[Quantity]]&gt;0,INDEX(TcacRents,$P$18,Cdlac[[#This Row],[Bedrooms]]+1)*Cdlac[[#This Row],[AMI]],"")</f>
        <v>2260.7999999999997</v>
      </c>
      <c r="Q22" s="1164"/>
      <c r="R22" s="1065" cm="1">
        <f t="array" ref="R22">IF(Cdlac[[#This Row],[Quantity]]&gt;0,INDEX(HudFmrs,$P$18,Cdlac[[#This Row],[Bedrooms]]+1),"")</f>
        <v>2975</v>
      </c>
      <c r="S22" s="1065">
        <f>IF(Cdlac[[#This Row],[Quantity]]&gt;0,MAX(0,Cdlac[[#This Row],[Fair Market Rent]]-IF(AND($G$37,$G$38,$G$38&lt;&gt;"",NOT(Cdlac[[#This Row],[Federal]]),Cdlac[[#This Row],[Preservation Rent]]&lt;&gt;""),Cdlac[[#This Row],[Preservation Rent]],Cdlac[[#This Row],[Restricted Rent]])),"")</f>
        <v>714.20000000000027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5</v>
      </c>
      <c r="N23" s="1071">
        <f>Application!AC721</f>
        <v>0.7</v>
      </c>
      <c r="O23" s="1071">
        <f>IF(Cdlac[[#This Row],[Quantity]]&gt;0,IF(Cdlac[[#This Row],[Federal]],30%,IF(AND(OR(NOT($G$38),$G$38=""),$G$43),40%,Cdlac[[#This Row],[iAMI]])),"")</f>
        <v>0.7</v>
      </c>
      <c r="P23" s="1065" cm="1">
        <f t="array" ref="P23">IF(Cdlac[[#This Row],[Quantity]]&gt;0,INDEX(TcacRents,$P$18,Cdlac[[#This Row],[Bedrooms]]+1)*Cdlac[[#This Row],[AMI]],"")</f>
        <v>2637.6</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337.40000000000009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1356.6</v>
      </c>
      <c r="Q24" s="1164"/>
      <c r="R24" s="1065" cm="1">
        <f t="array" ref="R24">IF(Cdlac[[#This Row],[Quantity]]&gt;0,INDEX(HudFmrs,$P$18,Cdlac[[#This Row],[Bedrooms]]+1),"")</f>
        <v>3446</v>
      </c>
      <c r="S24" s="1065">
        <f>IF(Cdlac[[#This Row],[Quantity]]&gt;0,MAX(0,Cdlac[[#This Row],[Fair Market Rent]]-IF(AND($G$37,$G$38,$G$38&lt;&gt;"",NOT(Cdlac[[#This Row],[Federal]]),Cdlac[[#This Row],[Preservation Rent]]&lt;&gt;""),Cdlac[[#This Row],[Preservation Rent]],Cdlac[[#This Row],[Restricted Rent]])),"")</f>
        <v>2089.4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62</v>
      </c>
      <c r="F25" s="1072">
        <f>E25</f>
        <v>62</v>
      </c>
      <c r="G25" s="1072">
        <f>D25*F25</f>
        <v>62</v>
      </c>
      <c r="L25" s="1044">
        <f>IFERROR(MIN(4,MATCH(Application!B723,UnitSizes,0)-1),"")</f>
        <v>2</v>
      </c>
      <c r="M25" s="1065">
        <f>Application!G723</f>
        <v>8</v>
      </c>
      <c r="N25" s="1071">
        <f>Application!AC723</f>
        <v>0.5</v>
      </c>
      <c r="O25" s="1071">
        <f>IF(Cdlac[[#This Row],[Quantity]]&gt;0,IF(Cdlac[[#This Row],[Federal]],30%,IF(AND(OR(NOT($G$38),$G$38=""),$G$43),40%,Cdlac[[#This Row],[iAMI]])),"")</f>
        <v>0.5</v>
      </c>
      <c r="P25" s="1065" cm="1">
        <f t="array" ref="P25">IF(Cdlac[[#This Row],[Quantity]]&gt;0,INDEX(TcacRents,$P$18,Cdlac[[#This Row],[Bedrooms]]+1)*Cdlac[[#This Row],[AMI]],"")</f>
        <v>2261</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1185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36</v>
      </c>
      <c r="F26" s="1075">
        <f>SUM(E26:E28)-SUM(F27:F28)</f>
        <v>36</v>
      </c>
      <c r="G26" s="1072">
        <f>D26*F26</f>
        <v>45</v>
      </c>
      <c r="H26" s="1074"/>
      <c r="I26" s="1074"/>
      <c r="L26" s="1044">
        <f>IFERROR(MIN(4,MATCH(Application!B724,UnitSizes,0)-1),"")</f>
        <v>2</v>
      </c>
      <c r="M26" s="1065">
        <f>Application!G724</f>
        <v>24</v>
      </c>
      <c r="N26" s="1071">
        <f>Application!AC724</f>
        <v>0.7</v>
      </c>
      <c r="O26" s="1071">
        <f>IF(Cdlac[[#This Row],[Quantity]]&gt;0,IF(Cdlac[[#This Row],[Federal]],30%,IF(AND(OR(NOT($G$38),$G$38=""),$G$43),40%,Cdlac[[#This Row],[iAMI]])),"")</f>
        <v>0.7</v>
      </c>
      <c r="P26" s="1065" cm="1">
        <f t="array" ref="P26">IF(Cdlac[[#This Row],[Quantity]]&gt;0,INDEX(TcacRents,$P$18,Cdlac[[#This Row],[Bedrooms]]+1)*Cdlac[[#This Row],[AMI]],"")</f>
        <v>3165.3999999999996</v>
      </c>
      <c r="Q26" s="1164"/>
      <c r="R26" s="1065" cm="1">
        <f t="array" ref="R26">IF(Cdlac[[#This Row],[Quantity]]&gt;0,INDEX(HudFmrs,$P$18,Cdlac[[#This Row],[Bedrooms]]+1),"")</f>
        <v>3446</v>
      </c>
      <c r="S26" s="1065">
        <f>IF(Cdlac[[#This Row],[Quantity]]&gt;0,MAX(0,Cdlac[[#This Row],[Fair Market Rent]]-IF(AND($G$37,$G$38,$G$38&lt;&gt;"",NOT(Cdlac[[#This Row],[Federal]]),Cdlac[[#This Row],[Preservation Rent]]&lt;&gt;""),Cdlac[[#This Row],[Preservation Rent]],Cdlac[[#This Row],[Restricted Rent]])),"")</f>
        <v>280.60000000000036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33</v>
      </c>
      <c r="F27" s="1075">
        <f>MIN(E27,ROUNDDOWN(E29*30%,0))</f>
        <v>33</v>
      </c>
      <c r="G27" s="1072">
        <f>D27*F27</f>
        <v>49.5</v>
      </c>
      <c r="H27" s="1074"/>
      <c r="I27" s="1074"/>
      <c r="L27" s="1044">
        <f>IFERROR(MIN(4,MATCH(Application!B725,UnitSizes,0)-1),"")</f>
        <v>3</v>
      </c>
      <c r="M27" s="1065">
        <f>Application!G725</f>
        <v>4</v>
      </c>
      <c r="N27" s="1071">
        <f>Application!AC725</f>
        <v>0.3</v>
      </c>
      <c r="O27" s="1071">
        <f>IF(Cdlac[[#This Row],[Quantity]]&gt;0,IF(Cdlac[[#This Row],[Federal]],30%,IF(AND(OR(NOT($G$38),$G$38=""),$G$43),40%,Cdlac[[#This Row],[iAMI]])),"")</f>
        <v>0.3</v>
      </c>
      <c r="P27" s="1065" cm="1">
        <f t="array" ref="P27">IF(Cdlac[[#This Row],[Quantity]]&gt;0,INDEX(TcacRents,$P$18,Cdlac[[#This Row],[Bedrooms]]+1)*Cdlac[[#This Row],[AMI]],"")</f>
        <v>1566.6</v>
      </c>
      <c r="Q27" s="1164"/>
      <c r="R27" s="1065" cm="1">
        <f t="array" ref="R27">IF(Cdlac[[#This Row],[Quantity]]&gt;0,INDEX(HudFmrs,$P$18,Cdlac[[#This Row],[Bedrooms]]+1),"")</f>
        <v>4477</v>
      </c>
      <c r="S27" s="1065">
        <f>IF(Cdlac[[#This Row],[Quantity]]&gt;0,MAX(0,Cdlac[[#This Row],[Fair Market Rent]]-IF(AND($G$37,$G$38,$G$38&lt;&gt;"",NOT(Cdlac[[#This Row],[Federal]]),Cdlac[[#This Row],[Preservation Rent]]&lt;&gt;""),Cdlac[[#This Row],[Preservation Rent]],Cdlac[[#This Row],[Restricted Rent]])),"")</f>
        <v>2910.4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8</v>
      </c>
      <c r="N28" s="1071">
        <f>Application!AC726</f>
        <v>0.5</v>
      </c>
      <c r="O28" s="1071">
        <f>IF(Cdlac[[#This Row],[Quantity]]&gt;0,IF(Cdlac[[#This Row],[Federal]],30%,IF(AND(OR(NOT($G$38),$G$38=""),$G$43),40%,Cdlac[[#This Row],[iAMI]])),"")</f>
        <v>0.5</v>
      </c>
      <c r="P28" s="1065" cm="1">
        <f t="array" ref="P28">IF(Cdlac[[#This Row],[Quantity]]&gt;0,INDEX(TcacRents,$P$18,Cdlac[[#This Row],[Bedrooms]]+1)*Cdlac[[#This Row],[AMI]],"")</f>
        <v>2611</v>
      </c>
      <c r="Q28" s="1164"/>
      <c r="R28" s="1065" cm="1">
        <f t="array" ref="R28">IF(Cdlac[[#This Row],[Quantity]]&gt;0,INDEX(HudFmrs,$P$18,Cdlac[[#This Row],[Bedrooms]]+1),"")</f>
        <v>4477</v>
      </c>
      <c r="S28" s="1065">
        <f>IF(Cdlac[[#This Row],[Quantity]]&gt;0,MAX(0,Cdlac[[#This Row],[Fair Market Rent]]-IF(AND($G$37,$G$38,$G$38&lt;&gt;"",NOT(Cdlac[[#This Row],[Federal]]),Cdlac[[#This Row],[Preservation Rent]]&lt;&gt;""),Cdlac[[#This Row],[Preservation Rent]],Cdlac[[#This Row],[Restricted Rent]])),"")</f>
        <v>1866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131</v>
      </c>
      <c r="F29" s="1089">
        <f>SUM(F24:F28)</f>
        <v>131</v>
      </c>
      <c r="G29" s="1090">
        <f>SUMPRODUCT(D24:D28,F24:F28)</f>
        <v>156.5</v>
      </c>
      <c r="H29" s="1074"/>
      <c r="I29" s="1074"/>
      <c r="L29" s="1044">
        <f>IFERROR(MIN(4,MATCH(Application!B727,UnitSizes,0)-1),"")</f>
        <v>3</v>
      </c>
      <c r="M29" s="1065">
        <f>Application!G727</f>
        <v>11</v>
      </c>
      <c r="N29" s="1071">
        <f>Application!AC727</f>
        <v>0.6</v>
      </c>
      <c r="O29" s="1071">
        <f>IF(Cdlac[[#This Row],[Quantity]]&gt;0,IF(Cdlac[[#This Row],[Federal]],30%,IF(AND(OR(NOT($G$38),$G$38=""),$G$43),40%,Cdlac[[#This Row],[iAMI]])),"")</f>
        <v>0.6</v>
      </c>
      <c r="P29" s="1065" cm="1">
        <f t="array" ref="P29">IF(Cdlac[[#This Row],[Quantity]]&gt;0,INDEX(TcacRents,$P$18,Cdlac[[#This Row],[Bedrooms]]+1)*Cdlac[[#This Row],[AMI]],"")</f>
        <v>3133.2</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1343.8000000000002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10</v>
      </c>
      <c r="N30" s="1071">
        <f>Application!AC728</f>
        <v>0.7</v>
      </c>
      <c r="O30" s="1071">
        <f>IF(Cdlac[[#This Row],[Quantity]]&gt;0,IF(Cdlac[[#This Row],[Federal]],30%,IF(AND(OR(NOT($G$38),$G$38=""),$G$43),40%,Cdlac[[#This Row],[iAMI]])),"")</f>
        <v>0.7</v>
      </c>
      <c r="P30" s="1065" cm="1">
        <f t="array" ref="P30">IF(Cdlac[[#This Row],[Quantity]]&gt;0,INDEX(TcacRents,$P$18,Cdlac[[#This Row],[Bedrooms]]+1)*Cdlac[[#This Row],[AMI]],"")</f>
        <v>3655.3999999999996</v>
      </c>
      <c r="Q30" s="1164"/>
      <c r="R30" s="1065" cm="1">
        <f t="array" ref="R30">IF(Cdlac[[#This Row],[Quantity]]&gt;0,INDEX(HudFmrs,$P$18,Cdlac[[#This Row],[Bedrooms]]+1),"")</f>
        <v>4477</v>
      </c>
      <c r="S30" s="1065">
        <f>IF(Cdlac[[#This Row],[Quantity]]&gt;0,MAX(0,Cdlac[[#This Row],[Fair Market Rent]]-IF(AND($G$37,$G$38,$G$38&lt;&gt;"",NOT(Cdlac[[#This Row],[Federal]]),Cdlac[[#This Row],[Preservation Rent]]&lt;&gt;""),Cdlac[[#This Row],[Preservation Rent]],Cdlac[[#This Row],[Restricted Rent]])),"")</f>
        <v>821.60000000000036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156.5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7825000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0.56793893129771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131984.60000000003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23757228.000000007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65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15</v>
      </c>
    </row>
    <row r="61" spans="2:21" ht="15" customHeight="1">
      <c r="E61" s="1117" t="s">
        <v>1995</v>
      </c>
      <c r="G61" s="1079">
        <f>ROUNDDOWN(E29*50%,0)</f>
        <v>65</v>
      </c>
    </row>
    <row r="62" spans="2:21" ht="15" customHeight="1">
      <c r="E62" s="1117"/>
      <c r="G62" s="1079"/>
    </row>
    <row r="63" spans="2:21" ht="15" customHeight="1">
      <c r="E63" s="1117" t="s">
        <v>1955</v>
      </c>
      <c r="G63" s="1114">
        <f>MIN(G60:G61)</f>
        <v>15</v>
      </c>
    </row>
    <row r="64" spans="2:21" ht="15" customHeight="1">
      <c r="E64" s="1117" t="s">
        <v>1945</v>
      </c>
      <c r="F64" s="1113" t="s">
        <v>1993</v>
      </c>
      <c r="G64" s="1124">
        <v>20000</v>
      </c>
    </row>
    <row r="65" spans="2:14" ht="15" customHeight="1">
      <c r="E65" s="1118" t="s">
        <v>1977</v>
      </c>
      <c r="F65" s="1046"/>
      <c r="G65" s="1123">
        <f>G63*G64</f>
        <v>300000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546</v>
      </c>
    </row>
    <row r="72" spans="2:14" ht="15" customHeight="1">
      <c r="C72" s="1077" t="s">
        <v>1969</v>
      </c>
      <c r="G72" s="1044" t="str">
        <f>Application!T193</f>
        <v>High Resource</v>
      </c>
      <c r="L72" s="2664" t="s">
        <v>1970</v>
      </c>
      <c r="M72" s="2665"/>
      <c r="N72" s="1131">
        <v>30000</v>
      </c>
    </row>
    <row r="73" spans="2:14" ht="15" customHeight="1">
      <c r="C73" s="2666" t="s">
        <v>2262</v>
      </c>
      <c r="D73" s="2666"/>
      <c r="E73" s="2666"/>
      <c r="F73" s="2666"/>
      <c r="G73" s="1043" t="s">
        <v>546</v>
      </c>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156.5</v>
      </c>
    </row>
    <row r="80" spans="2:14" ht="15" customHeight="1">
      <c r="D80" s="1046"/>
      <c r="E80" s="1118" t="s">
        <v>2267</v>
      </c>
      <c r="F80" s="1046"/>
      <c r="G80" s="1123">
        <f>G79*G78*G76</f>
        <v>4695000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156.5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156.5</v>
      </c>
    </row>
    <row r="97" spans="2:14" ht="15" customHeight="1">
      <c r="E97" s="1118" t="s">
        <v>1962</v>
      </c>
      <c r="F97" s="1046"/>
      <c r="G97" s="1123">
        <f>G94*G95*G96</f>
        <v>4382000</v>
      </c>
      <c r="L97" s="1127" t="str">
        <f>'Points System'!H638</f>
        <v>(i)</v>
      </c>
      <c r="M97" s="2683" t="s">
        <v>1406</v>
      </c>
      <c r="N97" s="2684"/>
    </row>
    <row r="98" spans="2:14" ht="15" customHeight="1">
      <c r="C98" s="1077"/>
      <c r="G98" s="1114"/>
      <c r="L98" s="1128" t="str">
        <f>'Points System'!H650</f>
        <v>(ii)</v>
      </c>
      <c r="M98" s="2679" t="s">
        <v>1957</v>
      </c>
      <c r="N98" s="2680"/>
    </row>
    <row r="99" spans="2:14" ht="15" customHeight="1">
      <c r="E99" s="1084" t="s">
        <v>1998</v>
      </c>
      <c r="G99" s="1126">
        <f>COUNTIFS(L97:L104,"(i)")</f>
        <v>3</v>
      </c>
      <c r="L99" s="1128" t="str">
        <f>'Points System'!H685</f>
        <v>(i)</v>
      </c>
      <c r="M99" s="2679" t="s">
        <v>1958</v>
      </c>
      <c r="N99" s="2680"/>
    </row>
    <row r="100" spans="2:14" ht="15" customHeight="1">
      <c r="E100" s="1084" t="s">
        <v>1945</v>
      </c>
      <c r="F100" s="1113" t="s">
        <v>1993</v>
      </c>
      <c r="G100" s="1124">
        <v>4000</v>
      </c>
      <c r="L100" s="1128" t="str">
        <f>IF(OR('Points System'!H709="(ii)",'Points System'!H709="(i)"),"(i)","N/A")</f>
        <v>(i)</v>
      </c>
      <c r="M100" s="2679" t="s">
        <v>1959</v>
      </c>
      <c r="N100" s="2680"/>
    </row>
    <row r="101" spans="2:14" ht="15" customHeight="1">
      <c r="E101" s="1118" t="s">
        <v>1963</v>
      </c>
      <c r="F101" s="1046"/>
      <c r="G101" s="1123">
        <f>G96*G99*G100</f>
        <v>1878000</v>
      </c>
      <c r="L101" s="1129" t="str">
        <f>'Points System'!H723</f>
        <v>N/A</v>
      </c>
      <c r="M101" s="2679" t="s">
        <v>1432</v>
      </c>
      <c r="N101" s="2680"/>
    </row>
    <row r="102" spans="2:14" ht="15" customHeight="1">
      <c r="L102" s="1128" t="str">
        <f>'Points System'!H735</f>
        <v>N/A</v>
      </c>
      <c r="M102" s="2679" t="s">
        <v>1960</v>
      </c>
      <c r="N102" s="2680"/>
    </row>
    <row r="103" spans="2:14" ht="15" customHeight="1">
      <c r="C103" s="1080" t="s">
        <v>1965</v>
      </c>
      <c r="L103" s="1128" t="str">
        <f>'Points System'!H751</f>
        <v>N/A</v>
      </c>
      <c r="M103" s="2679" t="s">
        <v>1961</v>
      </c>
      <c r="N103" s="2680"/>
    </row>
    <row r="104" spans="2:14" ht="15" customHeight="1" thickBot="1">
      <c r="C104" s="1077" t="s">
        <v>1966</v>
      </c>
      <c r="G104" s="1043"/>
      <c r="L104" s="1130" t="str">
        <f>'Points System'!H763</f>
        <v>(ii)</v>
      </c>
      <c r="M104" s="2681" t="s">
        <v>1435</v>
      </c>
      <c r="N104" s="2682"/>
    </row>
    <row r="105" spans="2:14" ht="15" customHeight="1">
      <c r="C105" s="1077" t="s">
        <v>1967</v>
      </c>
      <c r="G105" s="1043"/>
    </row>
    <row r="106" spans="2:14" ht="15" customHeight="1">
      <c r="C106" s="1077" t="s">
        <v>2140</v>
      </c>
      <c r="G106" s="1043" t="s">
        <v>546</v>
      </c>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156.5</v>
      </c>
    </row>
    <row r="112" spans="2:14" ht="15" customHeight="1">
      <c r="E112" s="1084" t="s">
        <v>1945</v>
      </c>
      <c r="F112" s="1113" t="s">
        <v>1993</v>
      </c>
      <c r="G112" s="1124">
        <v>25000</v>
      </c>
    </row>
    <row r="113" spans="2:9" ht="15" customHeight="1">
      <c r="E113" s="1118" t="s">
        <v>1964</v>
      </c>
      <c r="F113" s="1046"/>
      <c r="G113" s="1123">
        <f>G109*G112*G96</f>
        <v>3912500</v>
      </c>
    </row>
    <row r="114" spans="2:9" ht="15" customHeight="1">
      <c r="C114" s="1077"/>
      <c r="E114" s="1077"/>
    </row>
    <row r="115" spans="2:9" ht="15" customHeight="1">
      <c r="E115" s="1118" t="s">
        <v>2272</v>
      </c>
      <c r="G115" s="1123">
        <f>G113+G101+G97</f>
        <v>10172500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t="s">
        <v>546</v>
      </c>
    </row>
    <row r="121" spans="2:9" ht="15" customHeight="1"/>
    <row r="122" spans="2:9" ht="15" customHeight="1">
      <c r="C122" s="1044" t="s">
        <v>2229</v>
      </c>
      <c r="G122" s="2657" t="s">
        <v>2730</v>
      </c>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2001</v>
      </c>
      <c r="G131" s="1078">
        <f>MEDIAN((Application!CU160:CU217))</f>
        <v>489600</v>
      </c>
    </row>
    <row r="132" spans="2:9">
      <c r="D132" s="1046"/>
      <c r="E132" s="1118" t="s">
        <v>2003</v>
      </c>
      <c r="F132" s="1134"/>
      <c r="G132" s="1135">
        <f>((G130-G131)/G131)*0.25</f>
        <v>0.127859477124183</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4246650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5234375" defaultRowHeight="14.15" zeroHeight="1"/>
  <cols>
    <col min="1" max="2" width="15.69140625" style="304" customWidth="1"/>
    <col min="3" max="3" width="11" style="304" customWidth="1"/>
    <col min="4" max="4" width="15.69140625" style="304" customWidth="1"/>
    <col min="5" max="5" width="3.69140625" style="304" customWidth="1"/>
    <col min="6" max="7" width="15.69140625" style="304" customWidth="1"/>
    <col min="8" max="8" width="3.69140625" style="304" customWidth="1"/>
    <col min="9" max="10" width="15.69140625" style="304" customWidth="1"/>
    <col min="11" max="11" width="3.3046875" style="304" customWidth="1"/>
    <col min="12" max="17" width="15.69140625" style="304" customWidth="1"/>
    <col min="18" max="16384" width="9.1523437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5.3">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7</v>
      </c>
      <c r="C4" s="1162"/>
      <c r="D4" s="428">
        <f>Application!O718</f>
        <v>1072</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20</v>
      </c>
      <c r="C5" s="1162"/>
      <c r="D5" s="428">
        <f>Application!O719</f>
        <v>1825</v>
      </c>
      <c r="E5" s="429"/>
      <c r="F5" s="1083"/>
      <c r="G5" s="428">
        <f t="shared" ref="G5:G38" si="2">F5*B5</f>
        <v>0</v>
      </c>
      <c r="H5" s="429"/>
      <c r="I5" s="428" t="str">
        <f t="shared" si="0"/>
        <v/>
      </c>
      <c r="J5" s="428" t="str">
        <f t="shared" si="1"/>
        <v/>
      </c>
      <c r="K5" s="204"/>
      <c r="L5" s="305"/>
    </row>
    <row r="6" spans="1:12">
      <c r="A6" s="428" t="str">
        <f>Application!B720</f>
        <v>1 Bedroom</v>
      </c>
      <c r="B6" s="1082">
        <f>Application!G720</f>
        <v>30</v>
      </c>
      <c r="C6" s="1162"/>
      <c r="D6" s="428">
        <f>Application!O720</f>
        <v>2202</v>
      </c>
      <c r="E6" s="429"/>
      <c r="F6" s="1083"/>
      <c r="G6" s="428">
        <f t="shared" si="2"/>
        <v>0</v>
      </c>
      <c r="H6" s="429"/>
      <c r="I6" s="428" t="str">
        <f t="shared" si="0"/>
        <v/>
      </c>
      <c r="J6" s="428" t="str">
        <f t="shared" si="1"/>
        <v/>
      </c>
      <c r="K6" s="204"/>
      <c r="L6" s="305"/>
    </row>
    <row r="7" spans="1:12">
      <c r="A7" s="428" t="str">
        <f>Application!B721</f>
        <v>1 Bedroom</v>
      </c>
      <c r="B7" s="1082">
        <f>Application!G721</f>
        <v>5</v>
      </c>
      <c r="C7" s="1162"/>
      <c r="D7" s="428">
        <f>Application!O721</f>
        <v>2371</v>
      </c>
      <c r="E7" s="429"/>
      <c r="F7" s="1083"/>
      <c r="G7" s="428">
        <f t="shared" si="2"/>
        <v>0</v>
      </c>
      <c r="H7" s="429"/>
      <c r="I7" s="428" t="str">
        <f t="shared" si="0"/>
        <v/>
      </c>
      <c r="J7" s="428" t="str">
        <f t="shared" si="1"/>
        <v/>
      </c>
      <c r="K7" s="204"/>
      <c r="L7" s="305"/>
    </row>
    <row r="8" spans="1:12">
      <c r="A8" s="428" t="str">
        <f>Application!B722</f>
        <v>2 Bedrooms</v>
      </c>
      <c r="B8" s="1082">
        <f>Application!G722</f>
        <v>4</v>
      </c>
      <c r="C8" s="1162"/>
      <c r="D8" s="428">
        <f>Application!O722</f>
        <v>1277</v>
      </c>
      <c r="E8" s="429"/>
      <c r="F8" s="1083"/>
      <c r="G8" s="428">
        <f t="shared" si="2"/>
        <v>0</v>
      </c>
      <c r="H8" s="429"/>
      <c r="I8" s="428" t="str">
        <f t="shared" si="0"/>
        <v/>
      </c>
      <c r="J8" s="428" t="str">
        <f t="shared" si="1"/>
        <v/>
      </c>
      <c r="K8" s="204"/>
      <c r="L8" s="305"/>
    </row>
    <row r="9" spans="1:12">
      <c r="A9" s="428" t="str">
        <f>Application!B723</f>
        <v>2 Bedrooms</v>
      </c>
      <c r="B9" s="1082">
        <f>Application!G723</f>
        <v>8</v>
      </c>
      <c r="C9" s="1162"/>
      <c r="D9" s="428">
        <f>Application!O723</f>
        <v>2181</v>
      </c>
      <c r="E9" s="429"/>
      <c r="F9" s="1083"/>
      <c r="G9" s="428">
        <f t="shared" si="2"/>
        <v>0</v>
      </c>
      <c r="H9" s="429"/>
      <c r="I9" s="428" t="str">
        <f t="shared" si="0"/>
        <v/>
      </c>
      <c r="J9" s="428" t="str">
        <f t="shared" si="1"/>
        <v/>
      </c>
      <c r="K9" s="204"/>
      <c r="L9" s="305"/>
    </row>
    <row r="10" spans="1:12">
      <c r="A10" s="428" t="str">
        <f>Application!B724</f>
        <v>2 Bedrooms</v>
      </c>
      <c r="B10" s="1082">
        <f>Application!G724</f>
        <v>24</v>
      </c>
      <c r="C10" s="1162"/>
      <c r="D10" s="428">
        <f>Application!O724</f>
        <v>2872</v>
      </c>
      <c r="E10" s="429"/>
      <c r="F10" s="1083"/>
      <c r="G10" s="428">
        <f t="shared" si="2"/>
        <v>0</v>
      </c>
      <c r="H10" s="429"/>
      <c r="I10" s="428" t="str">
        <f t="shared" si="0"/>
        <v/>
      </c>
      <c r="J10" s="428" t="str">
        <f t="shared" si="1"/>
        <v/>
      </c>
      <c r="K10" s="204"/>
      <c r="L10" s="305"/>
    </row>
    <row r="11" spans="1:12">
      <c r="A11" s="428" t="str">
        <f>Application!B725</f>
        <v>3 Bedrooms</v>
      </c>
      <c r="B11" s="1082">
        <f>Application!G725</f>
        <v>4</v>
      </c>
      <c r="C11" s="1162"/>
      <c r="D11" s="428">
        <f>Application!O725</f>
        <v>1464</v>
      </c>
      <c r="E11" s="429"/>
      <c r="F11" s="1083"/>
      <c r="G11" s="428">
        <f t="shared" si="2"/>
        <v>0</v>
      </c>
      <c r="H11" s="429"/>
      <c r="I11" s="428" t="str">
        <f t="shared" si="0"/>
        <v/>
      </c>
      <c r="J11" s="428" t="str">
        <f t="shared" si="1"/>
        <v/>
      </c>
      <c r="K11" s="204"/>
      <c r="L11" s="305"/>
    </row>
    <row r="12" spans="1:12">
      <c r="A12" s="428" t="str">
        <f>Application!B726</f>
        <v>3 Bedrooms</v>
      </c>
      <c r="B12" s="1082">
        <f>Application!G726</f>
        <v>8</v>
      </c>
      <c r="C12" s="1162"/>
      <c r="D12" s="428">
        <f>Application!O726</f>
        <v>2509</v>
      </c>
      <c r="E12" s="429"/>
      <c r="F12" s="1083"/>
      <c r="G12" s="428">
        <f t="shared" si="2"/>
        <v>0</v>
      </c>
      <c r="H12" s="429"/>
      <c r="I12" s="428" t="str">
        <f t="shared" si="0"/>
        <v/>
      </c>
      <c r="J12" s="428" t="str">
        <f t="shared" si="1"/>
        <v/>
      </c>
      <c r="K12" s="204"/>
      <c r="L12" s="305"/>
    </row>
    <row r="13" spans="1:12">
      <c r="A13" s="428" t="str">
        <f>Application!B727</f>
        <v>3 Bedrooms</v>
      </c>
      <c r="B13" s="1082">
        <f>Application!G727</f>
        <v>11</v>
      </c>
      <c r="C13" s="1162"/>
      <c r="D13" s="428">
        <f>Application!O727</f>
        <v>3031</v>
      </c>
      <c r="E13" s="429"/>
      <c r="F13" s="1083"/>
      <c r="G13" s="428">
        <f t="shared" si="2"/>
        <v>0</v>
      </c>
      <c r="H13" s="429"/>
      <c r="I13" s="428" t="str">
        <f t="shared" si="0"/>
        <v/>
      </c>
      <c r="J13" s="428" t="str">
        <f t="shared" si="1"/>
        <v/>
      </c>
      <c r="K13" s="204"/>
      <c r="L13" s="305"/>
    </row>
    <row r="14" spans="1:12">
      <c r="A14" s="428" t="str">
        <f>Application!B728</f>
        <v>3 Bedrooms</v>
      </c>
      <c r="B14" s="1082">
        <f>Application!G728</f>
        <v>10</v>
      </c>
      <c r="C14" s="1162"/>
      <c r="D14" s="428">
        <f>Application!O728</f>
        <v>3553</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308202</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workbookViewId="0">
      <selection activeCell="E62" sqref="E62:AG62"/>
    </sheetView>
  </sheetViews>
  <sheetFormatPr defaultColWidth="0" defaultRowHeight="12.45" zeroHeight="1"/>
  <cols>
    <col min="1" max="1" width="3.69140625" customWidth="1"/>
    <col min="2" max="2" width="30.53515625" customWidth="1"/>
    <col min="3" max="3" width="9.15234375" style="214"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11" t="s">
        <v>2094</v>
      </c>
      <c r="B1" s="211"/>
    </row>
    <row r="2" spans="1:34"/>
    <row r="3" spans="1:34" ht="15.4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15">
      <c r="A4" s="219" t="s">
        <v>838</v>
      </c>
      <c r="C4" s="237">
        <v>1.0249999999999999</v>
      </c>
      <c r="E4" s="219">
        <f>Application!Y801</f>
        <v>3724848</v>
      </c>
      <c r="G4" s="219">
        <f>E4*$C$4</f>
        <v>3817969.1999999997</v>
      </c>
      <c r="I4" s="219">
        <f>G4*$C$4</f>
        <v>3913418.4299999992</v>
      </c>
      <c r="K4" s="219">
        <f>I4*$C$4</f>
        <v>4011253.8907499989</v>
      </c>
      <c r="M4" s="219">
        <f>K4*$C$4</f>
        <v>4111535.2380187484</v>
      </c>
      <c r="O4" s="219">
        <f>M4*$C$4</f>
        <v>4214323.6189692169</v>
      </c>
      <c r="Q4" s="219">
        <f>O4*$C$4</f>
        <v>4319681.7094434472</v>
      </c>
      <c r="S4" s="219">
        <f>Q4*$C$4</f>
        <v>4427673.7521795332</v>
      </c>
      <c r="U4" s="219">
        <f>S4*$C$4</f>
        <v>4538365.5959840212</v>
      </c>
      <c r="W4" s="219">
        <f>U4*$C$4</f>
        <v>4651824.7358836215</v>
      </c>
      <c r="Y4" s="219">
        <f>W4*$C$4</f>
        <v>4768120.3542807121</v>
      </c>
      <c r="AA4" s="219">
        <f>Y4*$C$4</f>
        <v>4887323.3631377295</v>
      </c>
      <c r="AC4" s="219">
        <f>AA4*$C$4</f>
        <v>5009506.4472161727</v>
      </c>
      <c r="AE4" s="219">
        <f>AC4*$C$4</f>
        <v>5134744.1083965767</v>
      </c>
      <c r="AG4" s="219">
        <f>AE4*$C$4</f>
        <v>5263112.7111064903</v>
      </c>
    </row>
    <row r="5" spans="1:34" s="210" customFormat="1" ht="14.15">
      <c r="B5" s="210" t="s">
        <v>839</v>
      </c>
      <c r="C5" s="238">
        <f>IF(Application!$D$211="Special Needs",(((0.1*Application!$T$212)+(0.05*(1-Application!$T$212)))),0.05)</f>
        <v>0.05</v>
      </c>
      <c r="E5" s="221">
        <f>-E4*$C$5</f>
        <v>-186242.40000000002</v>
      </c>
      <c r="F5" s="221"/>
      <c r="G5" s="221">
        <f>-G4*$C$5</f>
        <v>-190898.46</v>
      </c>
      <c r="H5" s="221"/>
      <c r="I5" s="221">
        <f>-I4*$C$5</f>
        <v>-195670.92149999997</v>
      </c>
      <c r="J5" s="221"/>
      <c r="K5" s="221">
        <f>-K4*$C$5</f>
        <v>-200562.69453749995</v>
      </c>
      <c r="L5" s="221"/>
      <c r="M5" s="221">
        <f>-M4*$C$5</f>
        <v>-205576.76190093742</v>
      </c>
      <c r="N5" s="221"/>
      <c r="O5" s="221">
        <f>-O4*$C$5</f>
        <v>-210716.18094846085</v>
      </c>
      <c r="P5" s="221"/>
      <c r="Q5" s="221">
        <f>-Q4*$C$5</f>
        <v>-215984.08547217236</v>
      </c>
      <c r="R5" s="221"/>
      <c r="S5" s="221">
        <f>-S4*$C$5</f>
        <v>-221383.68760897667</v>
      </c>
      <c r="T5" s="221"/>
      <c r="U5" s="221">
        <f>-U4*$C$5</f>
        <v>-226918.27979920106</v>
      </c>
      <c r="V5" s="221"/>
      <c r="W5" s="221">
        <f>-W4*$C$5</f>
        <v>-232591.23679418108</v>
      </c>
      <c r="X5" s="221"/>
      <c r="Y5" s="221">
        <f>-Y4*$C$5</f>
        <v>-238406.01771403561</v>
      </c>
      <c r="Z5" s="221"/>
      <c r="AA5" s="221">
        <f>-AA4*$C$5</f>
        <v>-244366.16815688647</v>
      </c>
      <c r="AB5" s="221"/>
      <c r="AC5" s="221">
        <f>-AC4*$C$5</f>
        <v>-250475.32236080864</v>
      </c>
      <c r="AD5" s="221"/>
      <c r="AE5" s="221">
        <f>-AE4*$C$5</f>
        <v>-256737.20541982885</v>
      </c>
      <c r="AF5" s="221"/>
      <c r="AG5" s="221">
        <f>-AG4*$C$5</f>
        <v>-263155.63555532455</v>
      </c>
    </row>
    <row r="6" spans="1:34" s="210" customFormat="1" ht="14.1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1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1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1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1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15">
      <c r="A11" s="223" t="s">
        <v>860</v>
      </c>
      <c r="C11" s="216"/>
      <c r="E11" s="223">
        <f>SUM(E4:E10)</f>
        <v>3538605.6</v>
      </c>
      <c r="G11" s="223">
        <f>SUM(G4:G10)</f>
        <v>3627070.7399999998</v>
      </c>
      <c r="I11" s="223">
        <f>SUM(I4:I10)</f>
        <v>3717747.5084999991</v>
      </c>
      <c r="K11" s="223">
        <f>SUM(K4:K10)</f>
        <v>3810691.1962124989</v>
      </c>
      <c r="M11" s="223">
        <f>SUM(M4:M10)</f>
        <v>3905958.4761178112</v>
      </c>
      <c r="O11" s="223">
        <f>SUM(O4:O10)</f>
        <v>4003607.438020756</v>
      </c>
      <c r="Q11" s="223">
        <f>SUM(Q4:Q10)</f>
        <v>4103697.6239712751</v>
      </c>
      <c r="S11" s="223">
        <f>SUM(S4:S10)</f>
        <v>4206290.0645705564</v>
      </c>
      <c r="U11" s="223">
        <f>SUM(U4:U10)</f>
        <v>4311447.3161848206</v>
      </c>
      <c r="W11" s="223">
        <f>SUM(W4:W10)</f>
        <v>4419233.4990894403</v>
      </c>
      <c r="Y11" s="223">
        <f>SUM(Y4:Y10)</f>
        <v>4529714.3365666764</v>
      </c>
      <c r="AA11" s="223">
        <f>SUM(AA4:AA10)</f>
        <v>4642957.194980843</v>
      </c>
      <c r="AC11" s="223">
        <f>SUM(AC4:AC10)</f>
        <v>4759031.1248553637</v>
      </c>
      <c r="AE11" s="223">
        <f>SUM(AE4:AE10)</f>
        <v>4878006.9029767476</v>
      </c>
      <c r="AG11" s="223">
        <f>SUM(AG4:AG10)</f>
        <v>4999957.0755511662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4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1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15">
      <c r="A15" s="219" t="s">
        <v>842</v>
      </c>
      <c r="C15" s="176"/>
      <c r="E15" s="219">
        <f>Application!W847</f>
        <v>53692</v>
      </c>
      <c r="G15" s="219">
        <f>E15*$C$14</f>
        <v>55571.219999999994</v>
      </c>
      <c r="I15" s="219">
        <f>G15*$C$14</f>
        <v>57516.212699999989</v>
      </c>
      <c r="K15" s="219">
        <f>I15*$C$14</f>
        <v>59529.280144499986</v>
      </c>
      <c r="M15" s="219">
        <f>K15*$C$14</f>
        <v>61612.804949557481</v>
      </c>
      <c r="O15" s="219">
        <f>M15*$C$14</f>
        <v>63769.25312279199</v>
      </c>
      <c r="Q15" s="219">
        <f>O15*$C$14</f>
        <v>66001.176982089703</v>
      </c>
      <c r="S15" s="219">
        <f>Q15*$C$14</f>
        <v>68311.218176462833</v>
      </c>
      <c r="U15" s="219">
        <f>S15*$C$14</f>
        <v>70702.110812639032</v>
      </c>
      <c r="W15" s="219">
        <f>U15*$C$14</f>
        <v>73176.684691081391</v>
      </c>
      <c r="Y15" s="219">
        <f>W15*$C$14</f>
        <v>75737.868655269238</v>
      </c>
      <c r="AA15" s="219">
        <f>Y15*$C$14</f>
        <v>78388.694058203662</v>
      </c>
      <c r="AC15" s="219">
        <f>AA15*$C$14</f>
        <v>81132.298350240788</v>
      </c>
      <c r="AE15" s="219">
        <f>AC15*$C$14</f>
        <v>83971.92879249921</v>
      </c>
      <c r="AG15" s="219">
        <f>AE15*$C$14</f>
        <v>86910.946300236668</v>
      </c>
    </row>
    <row r="16" spans="1:34" s="210" customFormat="1" ht="14.15">
      <c r="A16" s="210" t="s">
        <v>344</v>
      </c>
      <c r="C16" s="233"/>
      <c r="E16" s="222">
        <f>Application!W849</f>
        <v>118800</v>
      </c>
      <c r="F16" s="222"/>
      <c r="G16" s="222">
        <f t="shared" ref="G16:AG21" si="0">E16*$C$14</f>
        <v>122957.99999999999</v>
      </c>
      <c r="H16" s="222"/>
      <c r="I16" s="222">
        <f t="shared" si="0"/>
        <v>127261.52999999997</v>
      </c>
      <c r="J16" s="222"/>
      <c r="K16" s="222">
        <f t="shared" si="0"/>
        <v>131715.68354999996</v>
      </c>
      <c r="L16" s="222"/>
      <c r="M16" s="222">
        <f t="shared" si="0"/>
        <v>136325.73247424993</v>
      </c>
      <c r="N16" s="222"/>
      <c r="O16" s="222">
        <f t="shared" si="0"/>
        <v>141097.13311084866</v>
      </c>
      <c r="P16" s="222"/>
      <c r="Q16" s="222">
        <f t="shared" si="0"/>
        <v>146035.53276972836</v>
      </c>
      <c r="R16" s="222"/>
      <c r="S16" s="222">
        <f t="shared" si="0"/>
        <v>151146.77641666884</v>
      </c>
      <c r="T16" s="222"/>
      <c r="U16" s="222">
        <f t="shared" si="0"/>
        <v>156436.91359125223</v>
      </c>
      <c r="V16" s="222"/>
      <c r="W16" s="222">
        <f t="shared" si="0"/>
        <v>161912.20556694604</v>
      </c>
      <c r="X16" s="222"/>
      <c r="Y16" s="222">
        <f t="shared" si="0"/>
        <v>167579.13276178914</v>
      </c>
      <c r="Z16" s="222"/>
      <c r="AA16" s="222">
        <f t="shared" si="0"/>
        <v>173444.40240845174</v>
      </c>
      <c r="AB16" s="222"/>
      <c r="AC16" s="222">
        <f t="shared" si="0"/>
        <v>179514.95649274753</v>
      </c>
      <c r="AD16" s="222"/>
      <c r="AE16" s="222">
        <f t="shared" si="0"/>
        <v>185797.97996999367</v>
      </c>
      <c r="AF16" s="222"/>
      <c r="AG16" s="222">
        <f t="shared" si="0"/>
        <v>192300.90926894345</v>
      </c>
    </row>
    <row r="17" spans="1:33" s="210" customFormat="1" ht="14.15">
      <c r="A17" s="210" t="s">
        <v>562</v>
      </c>
      <c r="C17" s="233"/>
      <c r="E17" s="222">
        <f>Application!W855</f>
        <v>210393</v>
      </c>
      <c r="F17" s="222"/>
      <c r="G17" s="222">
        <f t="shared" si="0"/>
        <v>217756.75499999998</v>
      </c>
      <c r="H17" s="222"/>
      <c r="I17" s="222">
        <f t="shared" si="0"/>
        <v>225378.24142499996</v>
      </c>
      <c r="J17" s="222"/>
      <c r="K17" s="222">
        <f t="shared" si="0"/>
        <v>233266.47987487493</v>
      </c>
      <c r="L17" s="222"/>
      <c r="M17" s="222">
        <f t="shared" si="0"/>
        <v>241430.80667049554</v>
      </c>
      <c r="N17" s="222"/>
      <c r="O17" s="222">
        <f t="shared" si="0"/>
        <v>249880.88490396287</v>
      </c>
      <c r="P17" s="222"/>
      <c r="Q17" s="222">
        <f t="shared" si="0"/>
        <v>258626.71587560154</v>
      </c>
      <c r="R17" s="222"/>
      <c r="S17" s="222">
        <f t="shared" si="0"/>
        <v>267678.65093124757</v>
      </c>
      <c r="T17" s="222"/>
      <c r="U17" s="222">
        <f t="shared" si="0"/>
        <v>277047.40371384122</v>
      </c>
      <c r="V17" s="222"/>
      <c r="W17" s="222">
        <f t="shared" si="0"/>
        <v>286744.06284382567</v>
      </c>
      <c r="X17" s="222"/>
      <c r="Y17" s="222">
        <f t="shared" si="0"/>
        <v>296780.10504335957</v>
      </c>
      <c r="Z17" s="222"/>
      <c r="AA17" s="222">
        <f t="shared" si="0"/>
        <v>307167.40871987713</v>
      </c>
      <c r="AB17" s="222"/>
      <c r="AC17" s="222">
        <f t="shared" si="0"/>
        <v>317918.26802507282</v>
      </c>
      <c r="AD17" s="222"/>
      <c r="AE17" s="222">
        <f t="shared" si="0"/>
        <v>329045.40740595036</v>
      </c>
      <c r="AF17" s="222"/>
      <c r="AG17" s="222">
        <f t="shared" si="0"/>
        <v>340561.9966651586</v>
      </c>
    </row>
    <row r="18" spans="1:33" s="210" customFormat="1" ht="14.15">
      <c r="A18" s="210" t="s">
        <v>843</v>
      </c>
      <c r="C18" s="233"/>
      <c r="E18" s="222">
        <f>Application!W862</f>
        <v>195515</v>
      </c>
      <c r="F18" s="222"/>
      <c r="G18" s="222">
        <f t="shared" si="0"/>
        <v>202358.02499999999</v>
      </c>
      <c r="H18" s="222"/>
      <c r="I18" s="222">
        <f t="shared" si="0"/>
        <v>209440.55587499999</v>
      </c>
      <c r="J18" s="222"/>
      <c r="K18" s="222">
        <f t="shared" si="0"/>
        <v>216770.97533062496</v>
      </c>
      <c r="L18" s="222"/>
      <c r="M18" s="222">
        <f t="shared" si="0"/>
        <v>224357.95946719681</v>
      </c>
      <c r="N18" s="222"/>
      <c r="O18" s="222">
        <f t="shared" si="0"/>
        <v>232210.48804854866</v>
      </c>
      <c r="P18" s="222"/>
      <c r="Q18" s="222">
        <f t="shared" si="0"/>
        <v>240337.85513024786</v>
      </c>
      <c r="R18" s="222"/>
      <c r="S18" s="222">
        <f t="shared" si="0"/>
        <v>248749.6800598065</v>
      </c>
      <c r="T18" s="222"/>
      <c r="U18" s="222">
        <f t="shared" si="0"/>
        <v>257455.9188618997</v>
      </c>
      <c r="V18" s="222"/>
      <c r="W18" s="222">
        <f t="shared" si="0"/>
        <v>266466.87602206616</v>
      </c>
      <c r="X18" s="222"/>
      <c r="Y18" s="222">
        <f t="shared" si="0"/>
        <v>275793.21668283845</v>
      </c>
      <c r="Z18" s="222"/>
      <c r="AA18" s="222">
        <f t="shared" si="0"/>
        <v>285445.97926673776</v>
      </c>
      <c r="AB18" s="222"/>
      <c r="AC18" s="222">
        <f t="shared" si="0"/>
        <v>295436.58854107355</v>
      </c>
      <c r="AD18" s="222"/>
      <c r="AE18" s="222">
        <f t="shared" si="0"/>
        <v>305776.86914001108</v>
      </c>
      <c r="AF18" s="222"/>
      <c r="AG18" s="222">
        <f t="shared" si="0"/>
        <v>316479.05955991143</v>
      </c>
    </row>
    <row r="19" spans="1:33" s="210" customFormat="1" ht="14.15">
      <c r="A19" s="210" t="s">
        <v>155</v>
      </c>
      <c r="C19" s="233"/>
      <c r="E19" s="222">
        <f>Application!W863</f>
        <v>110000</v>
      </c>
      <c r="F19" s="222"/>
      <c r="G19" s="222">
        <f t="shared" si="0"/>
        <v>113849.99999999999</v>
      </c>
      <c r="H19" s="222"/>
      <c r="I19" s="222">
        <f t="shared" si="0"/>
        <v>117834.74999999997</v>
      </c>
      <c r="J19" s="222"/>
      <c r="K19" s="222">
        <f t="shared" si="0"/>
        <v>121958.96624999995</v>
      </c>
      <c r="L19" s="222"/>
      <c r="M19" s="222">
        <f t="shared" si="0"/>
        <v>126227.53006874994</v>
      </c>
      <c r="N19" s="222"/>
      <c r="O19" s="222">
        <f t="shared" si="0"/>
        <v>130645.49362115617</v>
      </c>
      <c r="P19" s="222"/>
      <c r="Q19" s="222">
        <f t="shared" si="0"/>
        <v>135218.08589789664</v>
      </c>
      <c r="R19" s="222"/>
      <c r="S19" s="222">
        <f t="shared" si="0"/>
        <v>139950.718904323</v>
      </c>
      <c r="T19" s="222"/>
      <c r="U19" s="222">
        <f t="shared" si="0"/>
        <v>144848.99406597429</v>
      </c>
      <c r="V19" s="222"/>
      <c r="W19" s="222">
        <f t="shared" si="0"/>
        <v>149918.70885828338</v>
      </c>
      <c r="X19" s="222"/>
      <c r="Y19" s="222">
        <f t="shared" si="0"/>
        <v>155165.86366832329</v>
      </c>
      <c r="Z19" s="222"/>
      <c r="AA19" s="222">
        <f t="shared" si="0"/>
        <v>160596.6688967146</v>
      </c>
      <c r="AB19" s="222"/>
      <c r="AC19" s="222">
        <f t="shared" si="0"/>
        <v>166217.55230809961</v>
      </c>
      <c r="AD19" s="222"/>
      <c r="AE19" s="222">
        <f t="shared" si="0"/>
        <v>172035.16663888309</v>
      </c>
      <c r="AF19" s="222"/>
      <c r="AG19" s="222">
        <f t="shared" si="0"/>
        <v>178056.39747124398</v>
      </c>
    </row>
    <row r="20" spans="1:33" s="210" customFormat="1" ht="14.15">
      <c r="A20" s="210" t="s">
        <v>390</v>
      </c>
      <c r="C20" s="233"/>
      <c r="E20" s="222">
        <f>Application!W872</f>
        <v>169600</v>
      </c>
      <c r="F20" s="222"/>
      <c r="G20" s="222">
        <f t="shared" si="0"/>
        <v>175536</v>
      </c>
      <c r="H20" s="222"/>
      <c r="I20" s="222">
        <f t="shared" si="0"/>
        <v>181679.75999999998</v>
      </c>
      <c r="J20" s="222"/>
      <c r="K20" s="222">
        <f t="shared" si="0"/>
        <v>188038.55159999998</v>
      </c>
      <c r="L20" s="222"/>
      <c r="M20" s="222">
        <f t="shared" si="0"/>
        <v>194619.90090599997</v>
      </c>
      <c r="N20" s="222"/>
      <c r="O20" s="222">
        <f t="shared" si="0"/>
        <v>201431.59743770995</v>
      </c>
      <c r="P20" s="222"/>
      <c r="Q20" s="222">
        <f t="shared" si="0"/>
        <v>208481.70334802978</v>
      </c>
      <c r="R20" s="222"/>
      <c r="S20" s="222">
        <f t="shared" si="0"/>
        <v>215778.56296521082</v>
      </c>
      <c r="T20" s="222"/>
      <c r="U20" s="222">
        <f t="shared" si="0"/>
        <v>223330.81266899317</v>
      </c>
      <c r="V20" s="222"/>
      <c r="W20" s="222">
        <f t="shared" si="0"/>
        <v>231147.3911124079</v>
      </c>
      <c r="X20" s="222"/>
      <c r="Y20" s="222">
        <f t="shared" si="0"/>
        <v>239237.54980134216</v>
      </c>
      <c r="Z20" s="222"/>
      <c r="AA20" s="222">
        <f t="shared" si="0"/>
        <v>247610.86404438911</v>
      </c>
      <c r="AB20" s="222"/>
      <c r="AC20" s="222">
        <f t="shared" si="0"/>
        <v>256277.2442859427</v>
      </c>
      <c r="AD20" s="222"/>
      <c r="AE20" s="222">
        <f t="shared" si="0"/>
        <v>265246.94783595065</v>
      </c>
      <c r="AF20" s="222"/>
      <c r="AG20" s="222">
        <f t="shared" si="0"/>
        <v>274530.59101020888</v>
      </c>
    </row>
    <row r="21" spans="1:33" s="210" customFormat="1" ht="14.1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5">
      <c r="A22" s="223" t="s">
        <v>844</v>
      </c>
      <c r="C22" s="233"/>
      <c r="E22" s="223">
        <f>SUM(E15:E21)</f>
        <v>858000</v>
      </c>
      <c r="G22" s="223">
        <f>SUM(G15:G21)</f>
        <v>888030</v>
      </c>
      <c r="I22" s="223">
        <f>SUM(I15:I21)</f>
        <v>919111.04999999993</v>
      </c>
      <c r="K22" s="223">
        <f>SUM(K15:K21)</f>
        <v>951279.93674999976</v>
      </c>
      <c r="M22" s="223">
        <f>SUM(M15:M21)</f>
        <v>984574.73453624966</v>
      </c>
      <c r="O22" s="223">
        <f>SUM(O15:O21)</f>
        <v>1019034.8502450184</v>
      </c>
      <c r="Q22" s="223">
        <f>SUM(Q15:Q21)</f>
        <v>1054701.070003594</v>
      </c>
      <c r="S22" s="223">
        <f>SUM(S15:S21)</f>
        <v>1091615.6074537195</v>
      </c>
      <c r="U22" s="223">
        <f>SUM(U15:U21)</f>
        <v>1129822.1537145998</v>
      </c>
      <c r="W22" s="223">
        <f>SUM(W15:W21)</f>
        <v>1169365.9290946105</v>
      </c>
      <c r="Y22" s="223">
        <f>SUM(Y15:Y21)</f>
        <v>1210293.7366129218</v>
      </c>
      <c r="AA22" s="223">
        <f>SUM(AA15:AA21)</f>
        <v>1252654.0173943739</v>
      </c>
      <c r="AC22" s="223">
        <f>SUM(AC15:AC21)</f>
        <v>1296496.908003177</v>
      </c>
      <c r="AE22" s="223">
        <f>SUM(AE15:AE21)</f>
        <v>1341874.299783288</v>
      </c>
      <c r="AG22" s="223">
        <f>SUM(AG15:AG21)</f>
        <v>1388839.9002757031</v>
      </c>
    </row>
    <row r="23" spans="1:33" s="210" customFormat="1" ht="14.1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15">
      <c r="A24" s="210" t="s">
        <v>1683</v>
      </c>
      <c r="C24" s="237">
        <v>1.03</v>
      </c>
      <c r="E24" s="910">
        <v>125000</v>
      </c>
      <c r="F24" s="222"/>
      <c r="G24" s="222">
        <f>E24*$C$24</f>
        <v>128750</v>
      </c>
      <c r="H24" s="222"/>
      <c r="I24" s="222">
        <f>G24*$C$24</f>
        <v>132612.5</v>
      </c>
      <c r="J24" s="222"/>
      <c r="K24" s="222">
        <f>I24*$C$24</f>
        <v>136590.875</v>
      </c>
      <c r="L24" s="222"/>
      <c r="M24" s="222">
        <f>K24*$C$24</f>
        <v>140688.60125000001</v>
      </c>
      <c r="N24" s="222"/>
      <c r="O24" s="222">
        <f>M24*$C$24</f>
        <v>144909.2592875</v>
      </c>
      <c r="P24" s="222"/>
      <c r="Q24" s="222">
        <f>O24*$C$24</f>
        <v>149256.53706612499</v>
      </c>
      <c r="R24" s="222"/>
      <c r="S24" s="222">
        <f>Q24*$C$24</f>
        <v>153734.23317810876</v>
      </c>
      <c r="T24" s="222"/>
      <c r="U24" s="222">
        <f>S24*$C$24</f>
        <v>158346.26017345203</v>
      </c>
      <c r="V24" s="222"/>
      <c r="W24" s="222">
        <f>U24*$C$24</f>
        <v>163096.64797865559</v>
      </c>
      <c r="X24" s="222"/>
      <c r="Y24" s="222">
        <f>W24*$C$24</f>
        <v>167989.54741801525</v>
      </c>
      <c r="Z24" s="222"/>
      <c r="AA24" s="222">
        <f>Y24*$C$24</f>
        <v>173029.23384055571</v>
      </c>
      <c r="AB24" s="222"/>
      <c r="AC24" s="222">
        <f>AA24*$C$24</f>
        <v>178220.11085577239</v>
      </c>
      <c r="AD24" s="222"/>
      <c r="AE24" s="222">
        <f>AC24*$C$24</f>
        <v>183566.71418144557</v>
      </c>
      <c r="AF24" s="222"/>
      <c r="AG24" s="222">
        <f>AE24*$C$24</f>
        <v>189073.71560688893</v>
      </c>
    </row>
    <row r="25" spans="1:33" s="210" customFormat="1" ht="14.1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1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15">
      <c r="A27" s="210" t="s">
        <v>846</v>
      </c>
      <c r="C27" s="237">
        <v>1.03</v>
      </c>
      <c r="E27" s="222">
        <f>Application!AC888</f>
        <v>50000</v>
      </c>
      <c r="F27" s="222"/>
      <c r="G27" s="222">
        <f>E27*$C$27</f>
        <v>51500</v>
      </c>
      <c r="H27" s="222"/>
      <c r="I27" s="222">
        <f>G27*$C$27</f>
        <v>53045</v>
      </c>
      <c r="J27" s="222"/>
      <c r="K27" s="222">
        <f>I27*$C$27</f>
        <v>54636.35</v>
      </c>
      <c r="L27" s="222"/>
      <c r="M27" s="222">
        <f>K27*$C$27</f>
        <v>56275.440499999997</v>
      </c>
      <c r="N27" s="222"/>
      <c r="O27" s="222">
        <f>M27*$C$27</f>
        <v>57963.703714999996</v>
      </c>
      <c r="P27" s="222"/>
      <c r="Q27" s="222">
        <f>O27*$C$27</f>
        <v>59702.614826450001</v>
      </c>
      <c r="R27" s="222"/>
      <c r="S27" s="222">
        <f>Q27*$C$27</f>
        <v>61493.693271243501</v>
      </c>
      <c r="T27" s="222"/>
      <c r="U27" s="222">
        <f>S27*$C$27</f>
        <v>63338.504069380804</v>
      </c>
      <c r="V27" s="222"/>
      <c r="W27" s="222">
        <f>U27*$C$27</f>
        <v>65238.659191462233</v>
      </c>
      <c r="X27" s="222"/>
      <c r="Y27" s="222">
        <f>W27*$C$27</f>
        <v>67195.818967206098</v>
      </c>
      <c r="Z27" s="222"/>
      <c r="AA27" s="222">
        <f>Y27*$C$27</f>
        <v>69211.693536222287</v>
      </c>
      <c r="AB27" s="222"/>
      <c r="AC27" s="222">
        <f>AA27*$C$27</f>
        <v>71288.04434230896</v>
      </c>
      <c r="AD27" s="222"/>
      <c r="AE27" s="222">
        <f>AC27*$C$27</f>
        <v>73426.685672578227</v>
      </c>
      <c r="AF27" s="222"/>
      <c r="AG27" s="222">
        <f>AE27*$C$27</f>
        <v>75629.486242755578</v>
      </c>
    </row>
    <row r="28" spans="1:33" s="210" customFormat="1" ht="14.15">
      <c r="A28" s="210" t="s">
        <v>847</v>
      </c>
      <c r="C28" s="237"/>
      <c r="E28" s="222">
        <f>Application!AC889</f>
        <v>46200</v>
      </c>
      <c r="F28" s="222"/>
      <c r="G28" s="222">
        <f>$E$28</f>
        <v>46200</v>
      </c>
      <c r="H28" s="222"/>
      <c r="I28" s="222">
        <f>$E$28</f>
        <v>46200</v>
      </c>
      <c r="J28" s="222"/>
      <c r="K28" s="222">
        <f>$E$28</f>
        <v>46200</v>
      </c>
      <c r="L28" s="222"/>
      <c r="M28" s="222">
        <f>$E$28</f>
        <v>46200</v>
      </c>
      <c r="N28" s="222"/>
      <c r="O28" s="222">
        <f>$E$28</f>
        <v>46200</v>
      </c>
      <c r="P28" s="222"/>
      <c r="Q28" s="222">
        <f>$E$28</f>
        <v>46200</v>
      </c>
      <c r="R28" s="222"/>
      <c r="S28" s="222">
        <f>$E$28</f>
        <v>46200</v>
      </c>
      <c r="T28" s="222"/>
      <c r="U28" s="222">
        <f>$E$28</f>
        <v>46200</v>
      </c>
      <c r="V28" s="222"/>
      <c r="W28" s="222">
        <f>$E$28</f>
        <v>46200</v>
      </c>
      <c r="X28" s="222"/>
      <c r="Y28" s="222">
        <f>$E$28</f>
        <v>46200</v>
      </c>
      <c r="Z28" s="222"/>
      <c r="AA28" s="222">
        <f>$E$28</f>
        <v>46200</v>
      </c>
      <c r="AB28" s="222"/>
      <c r="AC28" s="222">
        <f>$E$28</f>
        <v>46200</v>
      </c>
      <c r="AD28" s="222"/>
      <c r="AE28" s="222">
        <f>$E$28</f>
        <v>46200</v>
      </c>
      <c r="AF28" s="222"/>
      <c r="AG28" s="222">
        <f>$E$28</f>
        <v>46200</v>
      </c>
    </row>
    <row r="29" spans="1:33" s="210" customFormat="1" ht="14.15">
      <c r="A29" s="210" t="s">
        <v>1681</v>
      </c>
      <c r="C29" s="237"/>
      <c r="E29" s="222">
        <f>Application!AC890</f>
        <v>15532</v>
      </c>
      <c r="F29" s="222"/>
      <c r="G29" s="222">
        <f>$E$29</f>
        <v>15532</v>
      </c>
      <c r="H29" s="222"/>
      <c r="I29" s="222">
        <f>$E$29</f>
        <v>15532</v>
      </c>
      <c r="J29" s="222"/>
      <c r="K29" s="222">
        <f>$E$29</f>
        <v>15532</v>
      </c>
      <c r="L29" s="222"/>
      <c r="M29" s="222">
        <f>$E$29</f>
        <v>15532</v>
      </c>
      <c r="N29" s="222"/>
      <c r="O29" s="222">
        <f>$E$29</f>
        <v>15532</v>
      </c>
      <c r="P29" s="222"/>
      <c r="Q29" s="222">
        <f>$E$29</f>
        <v>15532</v>
      </c>
      <c r="R29" s="222"/>
      <c r="S29" s="222">
        <f>$E$29</f>
        <v>15532</v>
      </c>
      <c r="T29" s="222"/>
      <c r="U29" s="222">
        <f>$E$29</f>
        <v>15532</v>
      </c>
      <c r="V29" s="222"/>
      <c r="W29" s="222">
        <f>$E$29</f>
        <v>15532</v>
      </c>
      <c r="X29" s="222"/>
      <c r="Y29" s="222">
        <f>$E$29</f>
        <v>15532</v>
      </c>
      <c r="Z29" s="222"/>
      <c r="AA29" s="222">
        <f>$E$29</f>
        <v>15532</v>
      </c>
      <c r="AB29" s="222"/>
      <c r="AC29" s="222">
        <f>$E$29</f>
        <v>15532</v>
      </c>
      <c r="AD29" s="222"/>
      <c r="AE29" s="222">
        <f>$E$29</f>
        <v>15532</v>
      </c>
      <c r="AF29" s="222"/>
      <c r="AG29" s="222">
        <f>$E$29</f>
        <v>15532</v>
      </c>
    </row>
    <row r="30" spans="1:33" s="210" customFormat="1" ht="14.1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1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1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1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1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5">
      <c r="A35" s="223" t="s">
        <v>178</v>
      </c>
      <c r="C35" s="224"/>
      <c r="E35" s="223">
        <f>SUM(E22:E33)</f>
        <v>1094732</v>
      </c>
      <c r="G35" s="223">
        <f>SUM(G22:G33)</f>
        <v>1130012</v>
      </c>
      <c r="I35" s="223">
        <f>SUM(I22:I33)</f>
        <v>1166500.5499999998</v>
      </c>
      <c r="K35" s="223">
        <f>SUM(K22:K33)</f>
        <v>1204239.16175</v>
      </c>
      <c r="M35" s="223">
        <f>SUM(M22:M33)</f>
        <v>1243270.7762862497</v>
      </c>
      <c r="O35" s="223">
        <f>SUM(O22:O33)</f>
        <v>1283639.8132475184</v>
      </c>
      <c r="Q35" s="223">
        <f>SUM(Q22:Q33)</f>
        <v>1325392.221896169</v>
      </c>
      <c r="S35" s="223">
        <f>SUM(S22:S33)</f>
        <v>1368575.5339030717</v>
      </c>
      <c r="U35" s="223">
        <f>SUM(U22:U33)</f>
        <v>1413238.9179574326</v>
      </c>
      <c r="W35" s="223">
        <f>SUM(W22:W33)</f>
        <v>1459433.2362647282</v>
      </c>
      <c r="Y35" s="223">
        <f>SUM(Y22:Y33)</f>
        <v>1507211.1029981433</v>
      </c>
      <c r="AA35" s="223">
        <f>SUM(AA22:AA33)</f>
        <v>1556626.9447711518</v>
      </c>
      <c r="AC35" s="223">
        <f>SUM(AC22:AC33)</f>
        <v>1607737.0632012584</v>
      </c>
      <c r="AE35" s="223">
        <f>SUM(AE22:AE33)</f>
        <v>1660599.6996373117</v>
      </c>
      <c r="AG35" s="223">
        <f>SUM(AG22:AG33)</f>
        <v>1715275.1021253476</v>
      </c>
    </row>
    <row r="36" spans="1:33" s="210" customFormat="1" ht="14.1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5">
      <c r="A37" s="223" t="s">
        <v>848</v>
      </c>
      <c r="C37" s="224"/>
      <c r="E37" s="223">
        <f>E11-E35</f>
        <v>2443873.6</v>
      </c>
      <c r="G37" s="223">
        <f>G11-G35</f>
        <v>2497058.7399999998</v>
      </c>
      <c r="I37" s="223">
        <f>I11-I35</f>
        <v>2551246.9584999993</v>
      </c>
      <c r="K37" s="223">
        <f>K11-K35</f>
        <v>2606452.034462499</v>
      </c>
      <c r="M37" s="223">
        <f>M11-M35</f>
        <v>2662687.6998315612</v>
      </c>
      <c r="O37" s="223">
        <f>O11-O35</f>
        <v>2719967.6247732379</v>
      </c>
      <c r="Q37" s="223">
        <f>Q11-Q35</f>
        <v>2778305.4020751063</v>
      </c>
      <c r="S37" s="223">
        <f>S11-S35</f>
        <v>2837714.5306674847</v>
      </c>
      <c r="U37" s="223">
        <f>U11-U35</f>
        <v>2898208.398227388</v>
      </c>
      <c r="W37" s="223">
        <f>W11-W35</f>
        <v>2959800.2628247123</v>
      </c>
      <c r="Y37" s="223">
        <f>Y11-Y35</f>
        <v>3022503.2335685333</v>
      </c>
      <c r="AA37" s="223">
        <f>AA11-AA35</f>
        <v>3086330.250209691</v>
      </c>
      <c r="AC37" s="223">
        <f>AC11-AC35</f>
        <v>3151294.0616541053</v>
      </c>
      <c r="AE37" s="223">
        <f>AE11-AE35</f>
        <v>3217407.2033394361</v>
      </c>
      <c r="AG37" s="223">
        <f>AG11-AG35</f>
        <v>3284681.9734258186</v>
      </c>
    </row>
    <row r="38" spans="1:33" s="210" customFormat="1" ht="14.1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15">
      <c r="A40" s="225" t="str">
        <f>Application!C627</f>
        <v>Citibank</v>
      </c>
      <c r="B40" s="226"/>
      <c r="C40" s="220"/>
      <c r="E40" s="222">
        <f>Application!AF627</f>
        <v>2103247</v>
      </c>
      <c r="F40" s="222"/>
      <c r="G40" s="222">
        <f>$E$40</f>
        <v>2103247</v>
      </c>
      <c r="H40" s="222"/>
      <c r="I40" s="222">
        <f>$E$40</f>
        <v>2103247</v>
      </c>
      <c r="J40" s="222"/>
      <c r="K40" s="222">
        <f>$E$40</f>
        <v>2103247</v>
      </c>
      <c r="L40" s="222"/>
      <c r="M40" s="222">
        <f>$E$40</f>
        <v>2103247</v>
      </c>
      <c r="N40" s="222"/>
      <c r="O40" s="222">
        <f>$E$40</f>
        <v>2103247</v>
      </c>
      <c r="P40" s="222"/>
      <c r="Q40" s="222">
        <f>$E$40</f>
        <v>2103247</v>
      </c>
      <c r="R40" s="222"/>
      <c r="S40" s="222">
        <f>$E$40</f>
        <v>2103247</v>
      </c>
      <c r="T40" s="222"/>
      <c r="U40" s="222">
        <f>$E$40</f>
        <v>2103247</v>
      </c>
      <c r="V40" s="222"/>
      <c r="W40" s="222">
        <f>$E$40</f>
        <v>2103247</v>
      </c>
      <c r="X40" s="222"/>
      <c r="Y40" s="222">
        <f>$E$40</f>
        <v>2103247</v>
      </c>
      <c r="Z40" s="222"/>
      <c r="AA40" s="222">
        <f>$E$40</f>
        <v>2103247</v>
      </c>
      <c r="AB40" s="222"/>
      <c r="AC40" s="222">
        <f>$E$40</f>
        <v>2103247</v>
      </c>
      <c r="AD40" s="222"/>
      <c r="AE40" s="222">
        <f>$E$40</f>
        <v>2103247</v>
      </c>
      <c r="AF40" s="222"/>
      <c r="AG40" s="222">
        <f>$E$40</f>
        <v>2103247</v>
      </c>
    </row>
    <row r="41" spans="1:33" s="210" customFormat="1" ht="14.1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1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5">
      <c r="A43" s="223" t="s">
        <v>849</v>
      </c>
      <c r="C43" s="224"/>
      <c r="E43" s="223">
        <f>SUM(E40:E42)</f>
        <v>2103247</v>
      </c>
      <c r="G43" s="223">
        <f>SUM(G40:G42)</f>
        <v>2103247</v>
      </c>
      <c r="I43" s="223">
        <f>SUM(I40:I42)</f>
        <v>2103247</v>
      </c>
      <c r="K43" s="223">
        <f>SUM(K40:K42)</f>
        <v>2103247</v>
      </c>
      <c r="M43" s="223">
        <f>SUM(M40:M42)</f>
        <v>2103247</v>
      </c>
      <c r="O43" s="223">
        <f>SUM(O40:O42)</f>
        <v>2103247</v>
      </c>
      <c r="Q43" s="223">
        <f>SUM(Q40:Q42)</f>
        <v>2103247</v>
      </c>
      <c r="S43" s="223">
        <f>SUM(S40:S42)</f>
        <v>2103247</v>
      </c>
      <c r="U43" s="223">
        <f>SUM(U40:U42)</f>
        <v>2103247</v>
      </c>
      <c r="W43" s="223">
        <f>SUM(W40:W42)</f>
        <v>2103247</v>
      </c>
      <c r="Y43" s="223">
        <f>SUM(Y40:Y42)</f>
        <v>2103247</v>
      </c>
      <c r="AA43" s="223">
        <f>SUM(AA40:AA42)</f>
        <v>2103247</v>
      </c>
      <c r="AC43" s="223">
        <f>SUM(AC40:AC42)</f>
        <v>2103247</v>
      </c>
      <c r="AE43" s="223">
        <f>SUM(AE40:AE42)</f>
        <v>2103247</v>
      </c>
      <c r="AG43" s="223">
        <f>SUM(AG40:AG42)</f>
        <v>2103247</v>
      </c>
    </row>
    <row r="44" spans="1:33" s="210" customFormat="1" ht="14.1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5">
      <c r="A45" s="223" t="s">
        <v>850</v>
      </c>
      <c r="C45" s="224"/>
      <c r="E45" s="223">
        <f>E37-E43</f>
        <v>340626.60000000009</v>
      </c>
      <c r="G45" s="223">
        <f>G37-G43</f>
        <v>393811.73999999976</v>
      </c>
      <c r="I45" s="223">
        <f>I37-I43</f>
        <v>447999.95849999925</v>
      </c>
      <c r="K45" s="223">
        <f>K37-K43</f>
        <v>503205.03446249897</v>
      </c>
      <c r="M45" s="223">
        <f>M37-M43</f>
        <v>559440.69983156119</v>
      </c>
      <c r="O45" s="223">
        <f>O37-O43</f>
        <v>616720.62477323785</v>
      </c>
      <c r="Q45" s="223">
        <f>Q37-Q43</f>
        <v>675058.40207510628</v>
      </c>
      <c r="S45" s="223">
        <f>S37-S43</f>
        <v>734467.53066748474</v>
      </c>
      <c r="U45" s="223">
        <f>U37-U43</f>
        <v>794961.39822738804</v>
      </c>
      <c r="W45" s="223">
        <f>W37-W43</f>
        <v>856553.26282471232</v>
      </c>
      <c r="Y45" s="223">
        <f>Y37-Y43</f>
        <v>919256.23356853332</v>
      </c>
      <c r="AA45" s="223">
        <f>AA37-AA43</f>
        <v>983083.250209691</v>
      </c>
      <c r="AC45" s="223">
        <f>AC37-AC43</f>
        <v>1048047.0616541053</v>
      </c>
      <c r="AE45" s="223">
        <f>AE37-AE43</f>
        <v>1114160.2033394361</v>
      </c>
      <c r="AG45" s="223">
        <f>AG37-AG43</f>
        <v>1181434.9734258186</v>
      </c>
    </row>
    <row r="46" spans="1:33" s="210" customFormat="1" ht="14.1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15">
      <c r="A47" s="227" t="s">
        <v>852</v>
      </c>
      <c r="C47" s="220"/>
      <c r="E47" s="227">
        <f>E45/(E4+E6+E8)</f>
        <v>9.1447114083581416E-2</v>
      </c>
      <c r="G47" s="227">
        <f>G45/(G4+G6+G8)</f>
        <v>0.10314691380957179</v>
      </c>
      <c r="I47" s="227">
        <f>I45/(I4+I6+I8)</f>
        <v>0.11447790889562488</v>
      </c>
      <c r="K47" s="227">
        <f>K45/(K4+K6+K8)</f>
        <v>0.12544831321270788</v>
      </c>
      <c r="M47" s="227">
        <f>M45/(M4+M6+M8)</f>
        <v>0.13606613283001862</v>
      </c>
      <c r="O47" s="227">
        <f>O45/(O4+O6+O8)</f>
        <v>0.14633917101128599</v>
      </c>
      <c r="Q47" s="227">
        <f>Q45/(Q4+Q6+Q8)</f>
        <v>0.15627503308851004</v>
      </c>
      <c r="S47" s="227">
        <f>S45/(S4+S6+S8)</f>
        <v>0.1658811312161248</v>
      </c>
      <c r="U47" s="227">
        <f>U45/(U4+U6+U8)</f>
        <v>0.17516468900849366</v>
      </c>
      <c r="W47" s="227">
        <f>W45/(W4+W6+W8)</f>
        <v>0.18413274606357427</v>
      </c>
      <c r="Y47" s="227">
        <f>Y45/(Y4+Y6+Y8)</f>
        <v>0.1927921623755251</v>
      </c>
      <c r="AA47" s="227">
        <f>AA45/(AA4+AA6+AA8)</f>
        <v>0.20114962263895261</v>
      </c>
      <c r="AC47" s="227">
        <f>AC45/(AC4+AC6+AC8)</f>
        <v>0.20921164044743656</v>
      </c>
      <c r="AE47" s="227">
        <f>AE45/(AE4+AE6+AE8)</f>
        <v>0.21698456238890437</v>
      </c>
      <c r="AG47" s="227">
        <f>AG45/(AG4+AG6+AG8)</f>
        <v>0.22447457204036195</v>
      </c>
    </row>
    <row r="48" spans="1:33" s="227" customFormat="1" ht="14.15">
      <c r="A48" s="227" t="s">
        <v>853</v>
      </c>
      <c r="C48" s="220"/>
      <c r="E48" s="227">
        <f>E45/E43</f>
        <v>0.16195273308365593</v>
      </c>
      <c r="G48" s="227">
        <f>G45/G43</f>
        <v>0.18723989146305678</v>
      </c>
      <c r="I48" s="227">
        <f>I45/I43</f>
        <v>0.21300396886338088</v>
      </c>
      <c r="K48" s="227">
        <f>K45/K43</f>
        <v>0.23925151656581417</v>
      </c>
      <c r="M48" s="227">
        <f>M45/M43</f>
        <v>0.26598906349637547</v>
      </c>
      <c r="O48" s="227">
        <f>O45/O43</f>
        <v>0.29322310920839911</v>
      </c>
      <c r="Q48" s="227">
        <f>Q45/Q43</f>
        <v>0.32096011646521128</v>
      </c>
      <c r="S48" s="227">
        <f>S45/S43</f>
        <v>0.34920650340520382</v>
      </c>
      <c r="U48" s="227">
        <f>U45/U43</f>
        <v>0.37796863527079227</v>
      </c>
      <c r="W48" s="227">
        <f>W45/W43</f>
        <v>0.40725281568199662</v>
      </c>
      <c r="Y48" s="227">
        <f>Y45/Y43</f>
        <v>0.43706527743462054</v>
      </c>
      <c r="AA48" s="227">
        <f>AA45/AA43</f>
        <v>0.46741217280219155</v>
      </c>
      <c r="AC48" s="227">
        <f>AC45/AC43</f>
        <v>0.49829956332000253</v>
      </c>
      <c r="AE48" s="227">
        <f>AE45/AE43</f>
        <v>0.52973340902872368</v>
      </c>
      <c r="AG48" s="227">
        <f>AG45/AG43</f>
        <v>0.56171955715416144</v>
      </c>
    </row>
    <row r="49" spans="1:34" s="228" customFormat="1" ht="14.15">
      <c r="A49" s="228" t="s">
        <v>851</v>
      </c>
      <c r="C49" s="229"/>
      <c r="E49" s="228">
        <f>E37/E43</f>
        <v>1.1619527330836559</v>
      </c>
      <c r="G49" s="228">
        <f>G37/G43</f>
        <v>1.1872398914630569</v>
      </c>
      <c r="I49" s="228">
        <f>I37/I43</f>
        <v>1.2130039688633809</v>
      </c>
      <c r="K49" s="228">
        <f>K37/K43</f>
        <v>1.2392515165658142</v>
      </c>
      <c r="M49" s="228">
        <f>M37/M43</f>
        <v>1.2659890634963755</v>
      </c>
      <c r="O49" s="228">
        <f>O37/O43</f>
        <v>1.2932231092083992</v>
      </c>
      <c r="Q49" s="228">
        <f>Q37/Q43</f>
        <v>1.3209601164652114</v>
      </c>
      <c r="S49" s="228">
        <f>S37/S43</f>
        <v>1.3492065034052039</v>
      </c>
      <c r="U49" s="228">
        <f>U37/U43</f>
        <v>1.3779686352707923</v>
      </c>
      <c r="W49" s="228">
        <f>W37/W43</f>
        <v>1.4072528156819966</v>
      </c>
      <c r="Y49" s="228">
        <f>Y37/Y43</f>
        <v>1.4370652774346204</v>
      </c>
      <c r="AA49" s="228">
        <f>AA37/AA43</f>
        <v>1.4674121728021916</v>
      </c>
      <c r="AC49" s="228">
        <f>AC37/AC43</f>
        <v>1.4982995633200025</v>
      </c>
      <c r="AE49" s="228">
        <f>AE37/AE43</f>
        <v>1.5297334090287238</v>
      </c>
      <c r="AG49" s="228">
        <f>AG37/AG43</f>
        <v>1.5617195571541616</v>
      </c>
    </row>
    <row r="50" spans="1:34" s="210" customFormat="1" ht="14.1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237">
        <v>1.03</v>
      </c>
      <c r="E53" s="964">
        <v>18000</v>
      </c>
      <c r="G53" s="960">
        <f>E53*$C$53</f>
        <v>18540</v>
      </c>
      <c r="I53" s="960">
        <f>G53*$C$53</f>
        <v>19096.2</v>
      </c>
      <c r="K53" s="960">
        <f>I53*$C$53</f>
        <v>19669.086000000003</v>
      </c>
      <c r="M53" s="960">
        <f>K53*$C$53</f>
        <v>20259.158580000003</v>
      </c>
      <c r="O53" s="960">
        <f>M53*$C$53</f>
        <v>20866.933337400005</v>
      </c>
      <c r="Q53" s="960">
        <f>O53*$C$53</f>
        <v>21492.941337522007</v>
      </c>
      <c r="S53" s="960">
        <f>Q53*$C$53</f>
        <v>22137.729577647668</v>
      </c>
      <c r="U53" s="960">
        <f>S53*$C$53</f>
        <v>22801.861464977097</v>
      </c>
      <c r="W53" s="960">
        <f>U53*$C$53</f>
        <v>23485.917308926411</v>
      </c>
      <c r="Y53" s="960">
        <f>W53*$C$53</f>
        <v>24190.494828194205</v>
      </c>
      <c r="AA53" s="960">
        <f>Y53*$C$53</f>
        <v>24916.209673040034</v>
      </c>
      <c r="AC53" s="960">
        <f>AA53*$C$53</f>
        <v>25663.695963231236</v>
      </c>
      <c r="AE53" s="960">
        <f>AC53*$C$53</f>
        <v>26433.606842128174</v>
      </c>
      <c r="AG53" s="960">
        <f>AE53*$C$53</f>
        <v>27226.615047392021</v>
      </c>
    </row>
    <row r="54" spans="1:34" s="3" customFormat="1">
      <c r="A54" s="3" t="s">
        <v>856</v>
      </c>
      <c r="C54" s="237">
        <v>1.03</v>
      </c>
      <c r="E54" s="965">
        <v>7000</v>
      </c>
      <c r="F54" s="960"/>
      <c r="G54" s="960">
        <f t="shared" ref="G54:AG57" si="1">E54*$C$53</f>
        <v>7210</v>
      </c>
      <c r="H54" s="960"/>
      <c r="I54" s="960">
        <f t="shared" si="1"/>
        <v>7426.3</v>
      </c>
      <c r="J54" s="960"/>
      <c r="K54" s="960">
        <f t="shared" si="1"/>
        <v>7649.0889999999999</v>
      </c>
      <c r="L54" s="960"/>
      <c r="M54" s="960">
        <f t="shared" si="1"/>
        <v>7878.56167</v>
      </c>
      <c r="N54" s="960"/>
      <c r="O54" s="960">
        <f t="shared" si="1"/>
        <v>8114.9185201</v>
      </c>
      <c r="P54" s="960"/>
      <c r="Q54" s="960">
        <f t="shared" si="1"/>
        <v>8358.3660757030011</v>
      </c>
      <c r="R54" s="960"/>
      <c r="S54" s="960">
        <f t="shared" si="1"/>
        <v>8609.1170579740919</v>
      </c>
      <c r="T54" s="960"/>
      <c r="U54" s="960">
        <f t="shared" si="1"/>
        <v>8867.3905697133141</v>
      </c>
      <c r="V54" s="960"/>
      <c r="W54" s="960">
        <f t="shared" si="1"/>
        <v>9133.4122868047143</v>
      </c>
      <c r="X54" s="960"/>
      <c r="Y54" s="960">
        <f t="shared" si="1"/>
        <v>9407.4146554088566</v>
      </c>
      <c r="Z54" s="960"/>
      <c r="AA54" s="960">
        <f t="shared" si="1"/>
        <v>9689.6370950711225</v>
      </c>
      <c r="AB54" s="960"/>
      <c r="AC54" s="960">
        <f t="shared" si="1"/>
        <v>9980.3262079232572</v>
      </c>
      <c r="AD54" s="960"/>
      <c r="AE54" s="960">
        <f t="shared" si="1"/>
        <v>10279.735994160956</v>
      </c>
      <c r="AF54" s="960"/>
      <c r="AG54" s="960">
        <f t="shared" si="1"/>
        <v>10588.128073985785</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25750</v>
      </c>
      <c r="H58" s="960"/>
      <c r="I58" s="960">
        <f>SUM(I53:I57)</f>
        <v>26522.5</v>
      </c>
      <c r="J58" s="960"/>
      <c r="K58" s="960">
        <f>SUM(K53:K57)</f>
        <v>27318.175000000003</v>
      </c>
      <c r="L58" s="960"/>
      <c r="M58" s="960">
        <f>SUM(M53:M57)</f>
        <v>28137.720250000002</v>
      </c>
      <c r="N58" s="960"/>
      <c r="O58" s="960">
        <f>SUM(O53:O57)</f>
        <v>28981.851857500005</v>
      </c>
      <c r="P58" s="960"/>
      <c r="Q58" s="960">
        <f>SUM(Q53:Q57)</f>
        <v>29851.307413225008</v>
      </c>
      <c r="R58" s="960"/>
      <c r="S58" s="960">
        <f>SUM(S53:S57)</f>
        <v>30746.846635621761</v>
      </c>
      <c r="T58" s="960"/>
      <c r="U58" s="960">
        <f>SUM(U53:U57)</f>
        <v>31669.252034690413</v>
      </c>
      <c r="V58" s="960"/>
      <c r="W58" s="960">
        <f>SUM(W53:W57)</f>
        <v>32619.329595731127</v>
      </c>
      <c r="X58" s="960"/>
      <c r="Y58" s="960">
        <f>SUM(Y53:Y57)</f>
        <v>33597.909483603064</v>
      </c>
      <c r="Z58" s="960"/>
      <c r="AA58" s="960">
        <f>SUM(AA53:AA57)</f>
        <v>34605.846768111158</v>
      </c>
      <c r="AB58" s="960"/>
      <c r="AC58" s="960">
        <f>SUM(AC53:AC57)</f>
        <v>35644.022171154495</v>
      </c>
      <c r="AD58" s="960"/>
      <c r="AE58" s="960">
        <f>SUM(AE53:AE57)</f>
        <v>36713.342836289128</v>
      </c>
      <c r="AF58" s="960"/>
      <c r="AG58" s="960">
        <f>SUM(AG53:AG57)</f>
        <v>37814.743121377804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315626.60000000009</v>
      </c>
      <c r="G60" s="962">
        <f>G45-G58</f>
        <v>368061.73999999976</v>
      </c>
      <c r="I60" s="962">
        <f>I45-I58</f>
        <v>421477.45849999925</v>
      </c>
      <c r="K60" s="962">
        <f>K45-K58</f>
        <v>475886.85946249898</v>
      </c>
      <c r="M60" s="962">
        <f>M45-M58</f>
        <v>531302.97958156117</v>
      </c>
      <c r="O60" s="962">
        <f>O45-O58</f>
        <v>587738.77291573782</v>
      </c>
      <c r="Q60" s="962">
        <f>Q45-Q58</f>
        <v>645207.09466188122</v>
      </c>
      <c r="S60" s="962">
        <f>S45-S58</f>
        <v>703720.684031863</v>
      </c>
      <c r="U60" s="962">
        <f>U45-U58</f>
        <v>763292.14619269758</v>
      </c>
      <c r="W60" s="962">
        <f>W45-W58</f>
        <v>823933.93322898122</v>
      </c>
      <c r="Y60" s="962">
        <f>Y45-Y58</f>
        <v>885658.32408493024</v>
      </c>
      <c r="AA60" s="962">
        <f>AA45-AA58</f>
        <v>948477.4034415799</v>
      </c>
      <c r="AC60" s="962">
        <f>AC45-AC58</f>
        <v>1012403.0394829508</v>
      </c>
      <c r="AE60" s="962">
        <f>AE45-AE58</f>
        <v>1077446.8605031469</v>
      </c>
      <c r="AG60" s="962">
        <f>AG45-AG58</f>
        <v>1143620.2303044407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315626.60000000009</v>
      </c>
      <c r="G62" s="962">
        <f>G60*$C$62</f>
        <v>368061.73999999976</v>
      </c>
      <c r="I62" s="962">
        <f>I60*$C$62</f>
        <v>421477.45849999925</v>
      </c>
      <c r="K62" s="962">
        <f>K60*$C$62</f>
        <v>475886.85946249898</v>
      </c>
      <c r="M62" s="962">
        <f>M60*$C$62</f>
        <v>531302.97958156117</v>
      </c>
      <c r="O62" s="962">
        <f>O60*$C$62</f>
        <v>587738.77291573782</v>
      </c>
      <c r="Q62" s="962">
        <f>Q60*$C$62</f>
        <v>645207.09466188122</v>
      </c>
      <c r="S62" s="962">
        <f>S60*$C$62</f>
        <v>703720.684031863</v>
      </c>
      <c r="U62" s="962">
        <f>U60*$C$62</f>
        <v>763292.14619269758</v>
      </c>
      <c r="W62" s="962">
        <f>W60*$C$62</f>
        <v>823933.93322898122</v>
      </c>
      <c r="Y62" s="962">
        <f>Y60*$C$62</f>
        <v>885658.32408493024</v>
      </c>
      <c r="AA62" s="962">
        <f>AA60*$C$62</f>
        <v>948477.4034415799</v>
      </c>
      <c r="AC62" s="962">
        <f>AC60*$C$62</f>
        <v>1012403.0394829508</v>
      </c>
      <c r="AE62" s="962">
        <f>AE60*$C$62</f>
        <v>1077446.8605031469</v>
      </c>
      <c r="AG62" s="962">
        <f>AG60*$C$62</f>
        <v>1143620.2303044407</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45" zeroHeight="1"/>
  <cols>
    <col min="1" max="1" width="161.69140625" customWidth="1"/>
    <col min="2" max="16384" width="8.84375" hidden="1"/>
  </cols>
  <sheetData>
    <row r="1" spans="1:1" ht="46.3">
      <c r="A1" s="313" t="s">
        <v>972</v>
      </c>
    </row>
    <row r="2" spans="1:1" ht="15.45">
      <c r="A2" s="314"/>
    </row>
    <row r="3" spans="1:1" ht="15.45">
      <c r="A3" s="315" t="s">
        <v>967</v>
      </c>
    </row>
    <row r="4" spans="1:1" ht="15.45">
      <c r="A4" s="315" t="s">
        <v>968</v>
      </c>
    </row>
    <row r="5" spans="1:1" ht="15.45">
      <c r="A5" s="315" t="s">
        <v>969</v>
      </c>
    </row>
    <row r="6" spans="1:1" ht="15.45">
      <c r="A6" s="315" t="s">
        <v>971</v>
      </c>
    </row>
    <row r="7" spans="1:1" ht="15.45">
      <c r="A7" s="315" t="s">
        <v>970</v>
      </c>
    </row>
    <row r="8" spans="1:1" ht="15.45">
      <c r="A8" s="346" t="s">
        <v>1025</v>
      </c>
    </row>
    <row r="9" spans="1:1" ht="15.4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workbookViewId="0"/>
  </sheetViews>
  <sheetFormatPr defaultColWidth="9.15234375" defaultRowHeight="12.45" zeroHeight="1"/>
  <cols>
    <col min="1" max="1" width="35.69140625" style="204" customWidth="1"/>
    <col min="2" max="4" width="14.69140625" style="204" customWidth="1"/>
    <col min="5" max="5" width="50.69140625" style="204" customWidth="1"/>
    <col min="6" max="253" width="9.15234375" style="204" customWidth="1"/>
    <col min="254" max="16384" width="9.15234375" style="204"/>
  </cols>
  <sheetData>
    <row r="1" spans="1:6" s="275" customFormat="1" ht="18" customHeight="1">
      <c r="A1" s="513" t="s">
        <v>1218</v>
      </c>
      <c r="D1" s="280"/>
    </row>
    <row r="2" spans="1:6" s="275" customFormat="1" ht="12.9">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2.9">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1000000</v>
      </c>
      <c r="C11" s="266">
        <f>'Sources and Uses Budget'!$C10</f>
        <v>1000000</v>
      </c>
      <c r="D11" s="270">
        <f t="shared" si="0"/>
        <v>0</v>
      </c>
      <c r="E11" s="268"/>
      <c r="F11" s="267"/>
    </row>
    <row r="12" spans="1:6" s="352" customFormat="1">
      <c r="A12" s="365" t="s">
        <v>597</v>
      </c>
      <c r="B12" s="270">
        <f>SUM(B10:B11)</f>
        <v>1000000</v>
      </c>
      <c r="C12" s="270">
        <f>SUM(C10:C11)</f>
        <v>1000000</v>
      </c>
      <c r="D12" s="270">
        <f t="shared" si="0"/>
        <v>0</v>
      </c>
      <c r="E12" s="268"/>
      <c r="F12" s="267"/>
    </row>
    <row r="13" spans="1:6" s="352" customFormat="1">
      <c r="A13" s="365" t="s">
        <v>84</v>
      </c>
      <c r="B13" s="270">
        <f>SUM(B9+B12)</f>
        <v>1000000</v>
      </c>
      <c r="C13" s="270">
        <f>SUM(C9+C12)</f>
        <v>1000000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15">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2.9">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9">
      <c r="A29" s="264" t="s">
        <v>142</v>
      </c>
      <c r="B29" s="264"/>
      <c r="C29" s="264"/>
      <c r="D29" s="264"/>
      <c r="E29" s="282"/>
      <c r="F29" s="264"/>
    </row>
    <row r="30" spans="1:6" s="352" customFormat="1">
      <c r="A30" s="145" t="s">
        <v>599</v>
      </c>
      <c r="B30" s="266">
        <f>'Sources and Uses Budget'!$C29</f>
        <v>4000000</v>
      </c>
      <c r="C30" s="266">
        <f>'Sources and Uses Budget'!$C29</f>
        <v>4000000</v>
      </c>
      <c r="D30" s="270">
        <f t="shared" si="0"/>
        <v>0</v>
      </c>
      <c r="E30" s="268"/>
      <c r="F30" s="267"/>
    </row>
    <row r="31" spans="1:6" s="352" customFormat="1">
      <c r="A31" s="145" t="s">
        <v>600</v>
      </c>
      <c r="B31" s="266">
        <f>'Sources and Uses Budget'!$C30</f>
        <v>54462790</v>
      </c>
      <c r="C31" s="266">
        <f>'Sources and Uses Budget'!$C30</f>
        <v>54462790</v>
      </c>
      <c r="D31" s="270">
        <f t="shared" si="0"/>
        <v>0</v>
      </c>
      <c r="E31" s="268"/>
      <c r="F31" s="267"/>
    </row>
    <row r="32" spans="1:6" s="352" customFormat="1">
      <c r="A32" s="145" t="s">
        <v>601</v>
      </c>
      <c r="B32" s="266">
        <f>'Sources and Uses Budget'!$C31</f>
        <v>3770000</v>
      </c>
      <c r="C32" s="266">
        <f>'Sources and Uses Budget'!$C31</f>
        <v>3770000</v>
      </c>
      <c r="D32" s="270">
        <f t="shared" si="0"/>
        <v>0</v>
      </c>
      <c r="E32" s="268"/>
      <c r="F32" s="267"/>
    </row>
    <row r="33" spans="1:6" s="352" customFormat="1">
      <c r="A33" s="145" t="s">
        <v>137</v>
      </c>
      <c r="B33" s="266">
        <f>'Sources and Uses Budget'!$C32</f>
        <v>1587140</v>
      </c>
      <c r="C33" s="266">
        <f>'Sources and Uses Budget'!$C32</f>
        <v>1587140</v>
      </c>
      <c r="D33" s="270">
        <f t="shared" si="0"/>
        <v>0</v>
      </c>
      <c r="E33" s="268"/>
      <c r="F33" s="267"/>
    </row>
    <row r="34" spans="1:6" s="352" customFormat="1">
      <c r="A34" s="145" t="s">
        <v>138</v>
      </c>
      <c r="B34" s="266">
        <f>'Sources and Uses Budget'!$C33</f>
        <v>1587139</v>
      </c>
      <c r="C34" s="266">
        <f>'Sources and Uses Budget'!$C33</f>
        <v>1587139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2012153</v>
      </c>
      <c r="C36" s="266">
        <f>'Sources and Uses Budget'!$C35</f>
        <v>2012153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67419222</v>
      </c>
      <c r="C39" s="270">
        <f>SUM(C30:C38)</f>
        <v>67419222</v>
      </c>
      <c r="D39" s="270">
        <f t="shared" si="0"/>
        <v>0</v>
      </c>
      <c r="E39" s="268"/>
      <c r="F39" s="267"/>
    </row>
    <row r="40" spans="1:6" s="352" customFormat="1" ht="12.9">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4569964</v>
      </c>
      <c r="C44" s="266">
        <f>'Sources and Uses Budget'!$C43</f>
        <v>4569964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11608032</v>
      </c>
      <c r="C46" s="266">
        <f>'Sources and Uses Budget'!$C45</f>
        <v>11608032</v>
      </c>
      <c r="D46" s="270">
        <f t="shared" si="0"/>
        <v>0</v>
      </c>
      <c r="E46" s="268"/>
      <c r="F46" s="267"/>
    </row>
    <row r="47" spans="1:6" s="352" customFormat="1">
      <c r="A47" s="145" t="s">
        <v>151</v>
      </c>
      <c r="B47" s="266">
        <f>'Sources and Uses Budget'!$C46</f>
        <v>589523</v>
      </c>
      <c r="C47" s="266">
        <f>'Sources and Uses Budget'!$C46</f>
        <v>589523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176303</v>
      </c>
      <c r="C50" s="266">
        <f>'Sources and Uses Budget'!$C49</f>
        <v>176303</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2640000</v>
      </c>
      <c r="C53" s="266">
        <f>'Sources and Uses Budget'!$C52</f>
        <v>2640000</v>
      </c>
      <c r="D53" s="270">
        <f t="shared" si="0"/>
        <v>0</v>
      </c>
      <c r="E53" s="268"/>
      <c r="F53" s="267"/>
    </row>
    <row r="54" spans="1:6" s="352" customFormat="1">
      <c r="A54" s="155" t="str">
        <f>'Sources and Uses Budget'!A53</f>
        <v>Lender Expenses</v>
      </c>
      <c r="B54" s="266">
        <f>'Sources and Uses Budget'!$C53</f>
        <v>45000</v>
      </c>
      <c r="C54" s="266">
        <f>'Sources and Uses Budget'!$C53</f>
        <v>45000</v>
      </c>
      <c r="D54" s="270">
        <f t="shared" si="0"/>
        <v>0</v>
      </c>
      <c r="E54" s="268"/>
      <c r="F54" s="267"/>
    </row>
    <row r="55" spans="1:6" s="353" customFormat="1">
      <c r="A55" s="271" t="s">
        <v>157</v>
      </c>
      <c r="B55" s="273">
        <f>SUM(B46:B54)</f>
        <v>15108858</v>
      </c>
      <c r="C55" s="273">
        <f>SUM(C46:C54)</f>
        <v>15108858</v>
      </c>
      <c r="D55" s="270">
        <f t="shared" si="0"/>
        <v>0</v>
      </c>
      <c r="E55" s="268"/>
      <c r="F55" s="267"/>
    </row>
    <row r="56" spans="1:6" s="352" customFormat="1" ht="12.9">
      <c r="A56" s="264" t="s">
        <v>418</v>
      </c>
      <c r="B56" s="264"/>
      <c r="C56" s="264"/>
      <c r="D56" s="264"/>
      <c r="E56" s="282"/>
      <c r="F56" s="264"/>
    </row>
    <row r="57" spans="1:6" s="352" customFormat="1">
      <c r="A57" s="269" t="s">
        <v>158</v>
      </c>
      <c r="B57" s="266">
        <f>'Sources and Uses Budget'!$C56</f>
        <v>310643</v>
      </c>
      <c r="C57" s="266">
        <f>'Sources and Uses Budget'!$C56</f>
        <v>310643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325643</v>
      </c>
      <c r="C63" s="270">
        <f>SUM(C57:C62)</f>
        <v>325643</v>
      </c>
      <c r="D63" s="270">
        <f t="shared" si="0"/>
        <v>0</v>
      </c>
      <c r="E63" s="268"/>
      <c r="F63" s="267"/>
    </row>
    <row r="64" spans="1:6" s="352" customFormat="1">
      <c r="A64" s="274" t="s">
        <v>302</v>
      </c>
      <c r="B64" s="270">
        <f>SUM(B9+B12+B14+B15+B17+B26+B28+B39+B43+B44+B55+B63)</f>
        <v>89923687</v>
      </c>
      <c r="C64" s="270">
        <f>SUM(C9+C12+C14+C15+C17+C26+C28+C39+C43+C44+C55+C63)</f>
        <v>89923687</v>
      </c>
      <c r="D64" s="270">
        <f t="shared" si="0"/>
        <v>0</v>
      </c>
      <c r="E64" s="268"/>
      <c r="F64" s="267"/>
    </row>
    <row r="65" spans="1:6" s="352" customFormat="1" ht="23.15">
      <c r="A65" s="141" t="s">
        <v>1645</v>
      </c>
      <c r="B65" s="264"/>
      <c r="C65" s="264"/>
      <c r="D65" s="264"/>
      <c r="E65" s="282"/>
      <c r="F65" s="264"/>
    </row>
    <row r="66" spans="1:6" s="352" customFormat="1">
      <c r="A66" s="145" t="s">
        <v>171</v>
      </c>
      <c r="B66" s="266">
        <f>'Sources and Uses Budget'!$C65</f>
        <v>745000</v>
      </c>
      <c r="C66" s="266">
        <f>'Sources and Uses Budget'!$C65</f>
        <v>745000</v>
      </c>
      <c r="D66" s="270">
        <f t="shared" si="0"/>
        <v>0</v>
      </c>
      <c r="E66" s="268"/>
      <c r="F66" s="267"/>
    </row>
    <row r="67" spans="1:6" s="352" customFormat="1" ht="23.15">
      <c r="A67" s="283" t="s">
        <v>1642</v>
      </c>
      <c r="B67" s="266">
        <f>'Sources and Uses Budget'!$C66</f>
        <v>100000</v>
      </c>
      <c r="C67" s="266">
        <f>'Sources and Uses Budget'!$C66</f>
        <v>100000</v>
      </c>
      <c r="D67" s="270"/>
      <c r="E67" s="268"/>
      <c r="F67" s="267"/>
    </row>
    <row r="68" spans="1:6" s="352" customFormat="1" ht="23.15">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845000</v>
      </c>
      <c r="C71" s="270">
        <f>SUM(C66:C70)</f>
        <v>845000</v>
      </c>
      <c r="D71" s="270">
        <f t="shared" si="0"/>
        <v>0</v>
      </c>
      <c r="E71" s="268"/>
      <c r="F71" s="267"/>
    </row>
    <row r="72" spans="1:6" s="352" customFormat="1" ht="12.9">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1536490</v>
      </c>
      <c r="C76" s="266">
        <f>'Sources and Uses Budget'!$C75</f>
        <v>1536490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1536490</v>
      </c>
      <c r="C78" s="270">
        <f>SUM(C73:C77)</f>
        <v>1536490</v>
      </c>
      <c r="D78" s="270">
        <f t="shared" ref="D78:D106" si="1">C78-B78</f>
        <v>0</v>
      </c>
      <c r="E78" s="268"/>
      <c r="F78" s="267"/>
    </row>
    <row r="79" spans="1:6" s="352" customFormat="1" ht="12.9">
      <c r="A79" s="264" t="s">
        <v>1211</v>
      </c>
      <c r="B79" s="264"/>
      <c r="C79" s="264"/>
      <c r="D79" s="264"/>
      <c r="E79" s="282"/>
      <c r="F79" s="264"/>
    </row>
    <row r="80" spans="1:6" s="352" customFormat="1">
      <c r="A80" s="510" t="s">
        <v>1213</v>
      </c>
      <c r="B80" s="266">
        <f>'Sources and Uses Budget'!$C79</f>
        <v>3395961</v>
      </c>
      <c r="C80" s="266">
        <f>'Sources and Uses Budget'!$C79</f>
        <v>3395961</v>
      </c>
      <c r="D80" s="270">
        <f t="shared" si="1"/>
        <v>0</v>
      </c>
      <c r="E80" s="268"/>
      <c r="F80" s="267"/>
    </row>
    <row r="81" spans="1:6" s="352" customFormat="1">
      <c r="A81" s="510" t="s">
        <v>58</v>
      </c>
      <c r="B81" s="266">
        <f>'Sources and Uses Budget'!$C80</f>
        <v>464776</v>
      </c>
      <c r="C81" s="266">
        <f>'Sources and Uses Budget'!$C80</f>
        <v>464776</v>
      </c>
      <c r="D81" s="270">
        <f>C81-B81</f>
        <v>0</v>
      </c>
      <c r="E81" s="268"/>
      <c r="F81" s="267"/>
    </row>
    <row r="82" spans="1:6" s="352" customFormat="1">
      <c r="A82" s="271" t="s">
        <v>1210</v>
      </c>
      <c r="B82" s="270">
        <f>SUM(B80:B81)</f>
        <v>3860737</v>
      </c>
      <c r="C82" s="270">
        <f>SUM(C80:C81)</f>
        <v>3860737</v>
      </c>
      <c r="D82" s="270">
        <f t="shared" si="1"/>
        <v>0</v>
      </c>
      <c r="E82" s="268"/>
      <c r="F82" s="267"/>
    </row>
    <row r="83" spans="1:6" s="352" customFormat="1" ht="12.9">
      <c r="A83" s="264" t="s">
        <v>766</v>
      </c>
      <c r="B83" s="264"/>
      <c r="C83" s="264"/>
      <c r="D83" s="264"/>
      <c r="E83" s="282"/>
      <c r="F83" s="264"/>
    </row>
    <row r="84" spans="1:6" s="352" customFormat="1" ht="13.75" customHeight="1">
      <c r="A84" s="269" t="s">
        <v>767</v>
      </c>
      <c r="B84" s="266">
        <f>'Sources and Uses Budget'!$C83</f>
        <v>109057</v>
      </c>
      <c r="C84" s="266">
        <f>'Sources and Uses Budget'!$C83</f>
        <v>109057</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2020260</v>
      </c>
      <c r="C86" s="266">
        <f>'Sources and Uses Budget'!$C85</f>
        <v>2020260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350000</v>
      </c>
      <c r="C89" s="266">
        <f>'Sources and Uses Budget'!$C88</f>
        <v>350000</v>
      </c>
      <c r="D89" s="270">
        <f t="shared" si="1"/>
        <v>0</v>
      </c>
      <c r="E89" s="268"/>
      <c r="F89" s="267"/>
    </row>
    <row r="90" spans="1:6" s="352" customFormat="1">
      <c r="A90" s="269" t="s">
        <v>773</v>
      </c>
      <c r="B90" s="266">
        <f>'Sources and Uses Budget'!$C89</f>
        <v>600000</v>
      </c>
      <c r="C90" s="266">
        <f>'Sources and Uses Budget'!$C89</f>
        <v>600000</v>
      </c>
      <c r="D90" s="270">
        <f t="shared" si="1"/>
        <v>0</v>
      </c>
      <c r="E90" s="268"/>
      <c r="F90" s="267"/>
    </row>
    <row r="91" spans="1:6" s="352" customFormat="1">
      <c r="A91" s="269" t="s">
        <v>774</v>
      </c>
      <c r="B91" s="266">
        <f>'Sources and Uses Budget'!$C90</f>
        <v>12000</v>
      </c>
      <c r="C91" s="266">
        <f>'Sources and Uses Budget'!$C90</f>
        <v>12000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198000</v>
      </c>
      <c r="C94" s="266">
        <f>'Sources and Uses Budget'!$C93</f>
        <v>198000</v>
      </c>
      <c r="D94" s="270">
        <f t="shared" si="1"/>
        <v>0</v>
      </c>
      <c r="E94" s="268"/>
      <c r="F94" s="267"/>
    </row>
    <row r="95" spans="1:6" s="352" customFormat="1">
      <c r="A95" s="272" t="s">
        <v>34</v>
      </c>
      <c r="B95" s="266">
        <f>'Sources and Uses Budget'!$C94</f>
        <v>10000</v>
      </c>
      <c r="C95" s="266">
        <f>'Sources and Uses Budget'!$C94</f>
        <v>10000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3324317</v>
      </c>
      <c r="C97" s="270">
        <f>SUM(C84:C96)</f>
        <v>3324317</v>
      </c>
      <c r="D97" s="270">
        <f t="shared" si="1"/>
        <v>0</v>
      </c>
      <c r="E97" s="268"/>
      <c r="F97" s="267"/>
    </row>
    <row r="98" spans="1:6" s="352" customFormat="1">
      <c r="A98" s="271" t="s">
        <v>776</v>
      </c>
      <c r="B98" s="270">
        <f>SUM(B64+B71+B78+B82+B97)</f>
        <v>99490231</v>
      </c>
      <c r="C98" s="270">
        <f>SUM(C64+C71+C78+C82+C97)</f>
        <v>99490231</v>
      </c>
      <c r="D98" s="270">
        <f t="shared" si="1"/>
        <v>0</v>
      </c>
      <c r="E98" s="268"/>
      <c r="F98" s="267"/>
    </row>
    <row r="99" spans="1:6" s="352" customFormat="1" ht="12.9">
      <c r="A99" s="264" t="s">
        <v>777</v>
      </c>
      <c r="B99" s="264"/>
      <c r="C99" s="264"/>
      <c r="D99" s="264"/>
      <c r="E99" s="282"/>
      <c r="F99" s="264"/>
    </row>
    <row r="100" spans="1:6" s="352" customFormat="1">
      <c r="A100" s="145" t="s">
        <v>778</v>
      </c>
      <c r="B100" s="266">
        <f>'Sources and Uses Budget'!$C99</f>
        <v>13239769</v>
      </c>
      <c r="C100" s="266">
        <f>'Sources and Uses Budget'!$C99</f>
        <v>13239769</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13239769</v>
      </c>
      <c r="C105" s="270">
        <f>SUM(C100:C104)</f>
        <v>13239769</v>
      </c>
      <c r="D105" s="270">
        <f t="shared" si="1"/>
        <v>0</v>
      </c>
      <c r="E105" s="268"/>
      <c r="F105" s="267"/>
    </row>
    <row r="106" spans="1:6" s="352" customFormat="1">
      <c r="A106" s="271" t="s">
        <v>781</v>
      </c>
      <c r="B106" s="273">
        <f>SUM(B98+B105)</f>
        <v>112730000</v>
      </c>
      <c r="C106" s="273">
        <f>SUM(C98+C105)</f>
        <v>112730000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9140625" style="402" customWidth="1"/>
    <col min="11" max="16384" width="8.84375" style="402" hidden="1"/>
  </cols>
  <sheetData>
    <row r="1" spans="1:10" ht="15.4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row r="4" spans="1:10" ht="12.75" customHeight="1">
      <c r="A4" s="1276" t="s">
        <v>2047</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row r="10" spans="1:10" ht="12.75" customHeight="1">
      <c r="A10" s="1280" t="s">
        <v>1874</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4"/>
      <c r="B16" s="524"/>
      <c r="C16" s="524"/>
      <c r="D16" s="524"/>
      <c r="E16" s="524"/>
      <c r="F16" s="524"/>
      <c r="G16" s="524"/>
      <c r="H16" s="524"/>
      <c r="I16" s="524"/>
      <c r="J16" s="524"/>
    </row>
    <row r="17" spans="1:10">
      <c r="A17" s="476" t="s">
        <v>1873</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79" t="s">
        <v>1190</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1191</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2" t="s">
        <v>1190</v>
      </c>
    </row>
    <row r="61" spans="1:10"/>
    <row r="62" spans="1:10"/>
    <row r="63" spans="1:10"/>
    <row r="64" spans="1:10"/>
    <row r="65" spans="1:9"/>
    <row r="66" spans="1:9"/>
    <row r="67" spans="1:9"/>
    <row r="68" spans="1:9"/>
    <row r="69" spans="1:9"/>
    <row r="70" spans="1:9"/>
    <row r="71" spans="1:9">
      <c r="A71" s="1277" t="s">
        <v>1870</v>
      </c>
      <c r="B71" s="1277"/>
      <c r="C71" s="1277"/>
      <c r="D71" s="1277"/>
      <c r="E71" s="1277"/>
      <c r="F71" s="1277"/>
      <c r="G71" s="1277"/>
      <c r="H71" s="1277"/>
      <c r="I71" s="1277"/>
    </row>
    <row r="72" spans="1:9">
      <c r="A72" s="1267" t="s">
        <v>2045</v>
      </c>
      <c r="B72" s="1267"/>
      <c r="C72" s="1267"/>
      <c r="D72" s="1267"/>
      <c r="E72" s="1267"/>
    </row>
    <row r="73" spans="1:9">
      <c r="A73" s="1267" t="s">
        <v>2046</v>
      </c>
      <c r="B73" s="1267"/>
      <c r="C73" s="1267"/>
      <c r="D73" s="1267"/>
      <c r="E73" s="1267"/>
    </row>
    <row r="74" spans="1:9">
      <c r="A74" s="1267" t="s">
        <v>1871</v>
      </c>
      <c r="B74" s="1267"/>
      <c r="C74" s="1267"/>
      <c r="D74" s="1267"/>
      <c r="E74" s="1267"/>
    </row>
    <row r="75" spans="1:9"/>
    <row r="76" spans="1:9"/>
    <row r="77" spans="1:9"/>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10886</xdr:colOff>
                <xdr:row>77</xdr:row>
                <xdr:rowOff>97971</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49" workbookViewId="0">
      <selection activeCell="D574" sqref="D574:F576"/>
    </sheetView>
  </sheetViews>
  <sheetFormatPr defaultColWidth="0" defaultRowHeight="12.45" zeroHeight="1"/>
  <cols>
    <col min="1" max="1" width="3.53515625" style="480" customWidth="1"/>
    <col min="2" max="2" width="13.53515625" style="480" customWidth="1"/>
    <col min="3" max="3" width="2.53515625" style="480" customWidth="1"/>
    <col min="4" max="5" width="3.53515625" style="402" customWidth="1"/>
    <col min="6" max="6" width="65.53515625" style="402" customWidth="1"/>
    <col min="7" max="7" width="1.53515625" style="402" customWidth="1"/>
    <col min="8" max="8" width="3.53515625" style="402" customWidth="1"/>
    <col min="9" max="9" width="9.15234375" style="404" customWidth="1"/>
    <col min="10" max="10" width="8.84375" style="402" hidden="1" customWidth="1"/>
    <col min="11" max="16384" width="8.843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2.9">
      <c r="A15" s="484"/>
      <c r="B15" s="485" t="s">
        <v>2739</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2.9">
      <c r="A20" s="484"/>
      <c r="B20" s="485" t="s">
        <v>2739</v>
      </c>
      <c r="D20" s="1283" t="s">
        <v>1923</v>
      </c>
      <c r="E20" s="1283"/>
      <c r="F20" s="1283"/>
      <c r="I20" s="490"/>
    </row>
    <row r="21" spans="1:9" ht="12.9">
      <c r="A21" s="484"/>
      <c r="D21" s="1283"/>
      <c r="E21" s="1283"/>
      <c r="F21" s="1283"/>
      <c r="I21" s="490"/>
    </row>
    <row r="22" spans="1:9" ht="12.9">
      <c r="A22" s="484"/>
      <c r="D22" s="392"/>
      <c r="E22" s="96" t="s">
        <v>1919</v>
      </c>
      <c r="F22" s="392"/>
      <c r="I22" s="490"/>
    </row>
    <row r="23" spans="1:9" ht="12.9">
      <c r="A23" s="484"/>
      <c r="B23" s="484"/>
      <c r="D23" s="446"/>
      <c r="I23" s="490"/>
    </row>
    <row r="24" spans="1:9" ht="12.9">
      <c r="A24" s="484"/>
      <c r="B24" s="485" t="s">
        <v>2740</v>
      </c>
      <c r="D24" s="1283" t="s">
        <v>1092</v>
      </c>
      <c r="E24" s="1283"/>
      <c r="F24" s="1283"/>
      <c r="I24" s="490"/>
    </row>
    <row r="25" spans="1:9" ht="12.9">
      <c r="A25" s="484"/>
      <c r="B25" s="484"/>
      <c r="D25" s="1283"/>
      <c r="E25" s="1283"/>
      <c r="F25" s="1283"/>
      <c r="I25" s="490"/>
    </row>
    <row r="26" spans="1:9">
      <c r="I26" s="490"/>
    </row>
    <row r="27" spans="1:9" ht="12.9">
      <c r="A27" s="484"/>
      <c r="B27" s="485" t="s">
        <v>2740</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2740</v>
      </c>
      <c r="D33" s="1283" t="s">
        <v>2049</v>
      </c>
      <c r="E33" s="1283"/>
      <c r="F33" s="1283"/>
      <c r="I33" s="490"/>
    </row>
    <row r="34" spans="1:9">
      <c r="D34" s="1283"/>
      <c r="E34" s="1283"/>
      <c r="F34" s="1283"/>
      <c r="I34" s="490"/>
    </row>
    <row r="35" spans="1:9" ht="12.9">
      <c r="A35" s="484"/>
      <c r="B35" s="484"/>
      <c r="D35" s="447"/>
      <c r="I35" s="490"/>
    </row>
    <row r="36" spans="1:9" ht="14.5" customHeight="1">
      <c r="A36" s="484"/>
      <c r="B36" s="485" t="s">
        <v>2740</v>
      </c>
      <c r="D36" s="1283" t="s">
        <v>1215</v>
      </c>
      <c r="E36" s="1283"/>
      <c r="F36" s="1283"/>
      <c r="I36" s="490"/>
    </row>
    <row r="37" spans="1:9" ht="12.9">
      <c r="A37" s="484"/>
      <c r="B37" s="484"/>
      <c r="D37" s="1283"/>
      <c r="E37" s="1283"/>
      <c r="F37" s="1283"/>
      <c r="I37" s="490"/>
    </row>
    <row r="38" spans="1:9" ht="12.9">
      <c r="A38" s="484"/>
      <c r="B38" s="484"/>
      <c r="D38" s="1283"/>
      <c r="E38" s="1283"/>
      <c r="F38" s="1283"/>
      <c r="I38" s="490"/>
    </row>
    <row r="39" spans="1:9" ht="12.9">
      <c r="A39" s="484"/>
      <c r="B39" s="484"/>
      <c r="D39" s="1283"/>
      <c r="E39" s="1283"/>
      <c r="F39" s="1283"/>
      <c r="I39" s="490"/>
    </row>
    <row r="40" spans="1:9" ht="12.9">
      <c r="A40" s="484"/>
      <c r="B40" s="484"/>
      <c r="I40" s="490"/>
    </row>
    <row r="41" spans="1:9" ht="12.9">
      <c r="A41" s="484"/>
      <c r="B41" s="485" t="s">
        <v>2740</v>
      </c>
      <c r="D41" s="1283" t="s">
        <v>1093</v>
      </c>
      <c r="E41" s="1283"/>
      <c r="F41" s="1283"/>
      <c r="I41" s="490"/>
    </row>
    <row r="42" spans="1:9" ht="12.9">
      <c r="A42" s="484"/>
      <c r="B42" s="484"/>
      <c r="D42" s="1283"/>
      <c r="E42" s="1283"/>
      <c r="F42" s="1283"/>
      <c r="I42" s="490"/>
    </row>
    <row r="43" spans="1:9" ht="12.9">
      <c r="A43" s="484"/>
      <c r="B43" s="484"/>
      <c r="D43" s="1283"/>
      <c r="E43" s="1283"/>
      <c r="F43" s="1283"/>
      <c r="I43" s="490"/>
    </row>
    <row r="44" spans="1:9" ht="12.9">
      <c r="A44" s="484"/>
      <c r="B44" s="484"/>
      <c r="D44" s="1283"/>
      <c r="E44" s="1283"/>
      <c r="F44" s="1283"/>
      <c r="I44" s="490"/>
    </row>
    <row r="45" spans="1:9" ht="12.9">
      <c r="A45" s="484"/>
      <c r="B45" s="484"/>
      <c r="D45" s="1283"/>
      <c r="E45" s="1283"/>
      <c r="F45" s="1283"/>
      <c r="I45" s="490"/>
    </row>
    <row r="46" spans="1:9" ht="12.9">
      <c r="A46" s="484"/>
      <c r="B46" s="484"/>
      <c r="D46" s="445"/>
      <c r="E46" s="445"/>
      <c r="F46" s="445"/>
      <c r="I46" s="490"/>
    </row>
    <row r="47" spans="1:9" ht="12.9">
      <c r="A47" s="484"/>
      <c r="B47" s="485" t="s">
        <v>2740</v>
      </c>
      <c r="D47" s="1283" t="s">
        <v>1094</v>
      </c>
      <c r="E47" s="1283"/>
      <c r="F47" s="1283"/>
      <c r="I47" s="490"/>
    </row>
    <row r="48" spans="1:9" ht="12.9">
      <c r="A48" s="484"/>
      <c r="B48" s="484"/>
      <c r="D48" s="1283"/>
      <c r="E48" s="1283"/>
      <c r="F48" s="1283"/>
      <c r="I48" s="490"/>
    </row>
    <row r="49" spans="1:9" ht="12.9">
      <c r="A49" s="484"/>
      <c r="B49" s="484"/>
      <c r="D49" s="1283"/>
      <c r="E49" s="1283"/>
      <c r="F49" s="1283"/>
      <c r="I49" s="490"/>
    </row>
    <row r="50" spans="1:9" ht="23.25" customHeight="1">
      <c r="A50" s="484"/>
      <c r="B50" s="484"/>
      <c r="D50" s="1283"/>
      <c r="E50" s="1283"/>
      <c r="F50" s="1283"/>
      <c r="I50" s="490"/>
    </row>
    <row r="51" spans="1:9" ht="12.9">
      <c r="A51" s="484"/>
      <c r="B51" s="484"/>
      <c r="D51" s="446"/>
      <c r="I51" s="490"/>
    </row>
    <row r="52" spans="1:9" ht="14.5" customHeight="1">
      <c r="A52" s="484"/>
      <c r="B52" s="485" t="s">
        <v>2740</v>
      </c>
      <c r="D52" s="1283" t="s">
        <v>1095</v>
      </c>
      <c r="E52" s="1283"/>
      <c r="F52" s="1283"/>
      <c r="I52" s="490"/>
    </row>
    <row r="53" spans="1:9" ht="12.9">
      <c r="A53" s="484"/>
      <c r="B53" s="484"/>
      <c r="D53" s="1283"/>
      <c r="E53" s="1283"/>
      <c r="F53" s="1283"/>
      <c r="I53" s="490"/>
    </row>
    <row r="54" spans="1:9" ht="12.9">
      <c r="A54" s="484"/>
      <c r="B54" s="484"/>
      <c r="D54" s="1283"/>
      <c r="E54" s="1283"/>
      <c r="F54" s="1283"/>
      <c r="I54" s="490"/>
    </row>
    <row r="55" spans="1:9" ht="12.9">
      <c r="A55" s="484"/>
      <c r="B55" s="484"/>
      <c r="I55" s="490"/>
    </row>
    <row r="56" spans="1:9" ht="12.9">
      <c r="A56" s="484"/>
      <c r="B56" s="485" t="s">
        <v>2739</v>
      </c>
      <c r="D56" s="1307" t="s">
        <v>1096</v>
      </c>
      <c r="E56" s="1307"/>
      <c r="F56" s="1307"/>
      <c r="I56" s="490"/>
    </row>
    <row r="57" spans="1:9" ht="12.9">
      <c r="A57" s="484"/>
      <c r="B57" s="484"/>
      <c r="D57" s="1307"/>
      <c r="E57" s="1307"/>
      <c r="F57" s="1307"/>
      <c r="I57" s="490"/>
    </row>
    <row r="58" spans="1:9" ht="12.9">
      <c r="A58" s="484"/>
      <c r="B58" s="484"/>
      <c r="D58" s="392" t="s">
        <v>1921</v>
      </c>
      <c r="E58" s="445"/>
      <c r="F58" s="445"/>
      <c r="I58" s="490"/>
    </row>
    <row r="59" spans="1:9" ht="12.9">
      <c r="A59" s="484"/>
      <c r="B59" s="484"/>
      <c r="D59" s="445"/>
      <c r="E59" s="312" t="s">
        <v>1920</v>
      </c>
      <c r="F59" s="445"/>
      <c r="I59" s="490"/>
    </row>
    <row r="60" spans="1:9">
      <c r="D60" s="447"/>
      <c r="I60" s="490"/>
    </row>
    <row r="61" spans="1:9" ht="12.9">
      <c r="A61" s="484"/>
      <c r="B61" s="485" t="s">
        <v>2739</v>
      </c>
      <c r="D61" s="1283" t="s">
        <v>1097</v>
      </c>
      <c r="E61" s="1283"/>
      <c r="F61" s="1283"/>
      <c r="I61" s="490"/>
    </row>
    <row r="62" spans="1:9">
      <c r="D62" s="1283"/>
      <c r="E62" s="1283"/>
      <c r="F62" s="1283"/>
      <c r="I62" s="490"/>
    </row>
    <row r="63" spans="1:9">
      <c r="D63" s="1283"/>
      <c r="E63" s="1283"/>
      <c r="F63" s="1283"/>
      <c r="I63" s="490"/>
    </row>
    <row r="64" spans="1:9">
      <c r="I64" s="490"/>
    </row>
    <row r="65" spans="1:9" ht="12.9">
      <c r="A65" s="484"/>
      <c r="B65" s="485" t="s">
        <v>2740</v>
      </c>
      <c r="D65" s="1283" t="s">
        <v>1098</v>
      </c>
      <c r="E65" s="1283"/>
      <c r="F65" s="1283"/>
      <c r="I65" s="490"/>
    </row>
    <row r="66" spans="1:9">
      <c r="D66" s="1283"/>
      <c r="E66" s="1283"/>
      <c r="F66" s="1283"/>
      <c r="I66" s="490"/>
    </row>
    <row r="67" spans="1:9">
      <c r="I67" s="490"/>
    </row>
    <row r="68" spans="1:9" ht="12.9">
      <c r="A68" s="484"/>
      <c r="B68" s="485" t="s">
        <v>2740</v>
      </c>
      <c r="D68" s="1283" t="s">
        <v>1099</v>
      </c>
      <c r="E68" s="1283"/>
      <c r="F68" s="1283"/>
      <c r="I68" s="490"/>
    </row>
    <row r="69" spans="1:9">
      <c r="D69" s="1283"/>
      <c r="E69" s="1283"/>
      <c r="F69" s="1283"/>
      <c r="I69" s="490"/>
    </row>
    <row r="70" spans="1:9">
      <c r="D70" s="1283"/>
      <c r="E70" s="1283"/>
      <c r="F70" s="1283"/>
      <c r="I70" s="490"/>
    </row>
    <row r="71" spans="1:9">
      <c r="I71" s="490"/>
    </row>
    <row r="72" spans="1:9" ht="12.9">
      <c r="A72" s="484"/>
      <c r="B72" s="485" t="s">
        <v>2739</v>
      </c>
      <c r="D72" s="1283" t="s">
        <v>1100</v>
      </c>
      <c r="E72" s="1283"/>
      <c r="F72" s="1283"/>
      <c r="I72" s="490"/>
    </row>
    <row r="73" spans="1:9">
      <c r="D73" s="1283"/>
      <c r="E73" s="1283"/>
      <c r="F73" s="1283"/>
      <c r="I73" s="490"/>
    </row>
    <row r="74" spans="1:9" ht="12.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2739</v>
      </c>
      <c r="D80" s="1283" t="s">
        <v>1246</v>
      </c>
      <c r="E80" s="1283"/>
      <c r="F80" s="1283"/>
      <c r="I80" s="490"/>
    </row>
    <row r="81" spans="1:9" ht="12.9">
      <c r="A81" s="484"/>
      <c r="B81" s="484"/>
      <c r="D81" s="1283"/>
      <c r="E81" s="1283"/>
      <c r="F81" s="1283"/>
      <c r="I81" s="490"/>
    </row>
    <row r="82" spans="1:9" ht="12.9">
      <c r="A82" s="484"/>
      <c r="B82" s="484"/>
      <c r="D82" s="1283"/>
      <c r="E82" s="1283"/>
      <c r="F82" s="1283"/>
      <c r="I82" s="490"/>
    </row>
    <row r="83" spans="1:9" ht="12.9">
      <c r="A83" s="484"/>
      <c r="B83" s="484"/>
      <c r="D83" s="1283"/>
      <c r="E83" s="1283"/>
      <c r="F83" s="1283"/>
      <c r="I83" s="490"/>
    </row>
    <row r="84" spans="1:9" ht="12.9">
      <c r="A84" s="484"/>
      <c r="B84" s="484"/>
      <c r="D84" s="1283"/>
      <c r="E84" s="1283"/>
      <c r="F84" s="1283"/>
      <c r="I84" s="490"/>
    </row>
    <row r="85" spans="1:9" ht="12.9">
      <c r="A85" s="484"/>
      <c r="B85" s="484"/>
      <c r="D85" s="1283"/>
      <c r="E85" s="1283"/>
      <c r="F85" s="1283"/>
      <c r="I85" s="490"/>
    </row>
    <row r="86" spans="1:9" ht="12.9">
      <c r="A86" s="484"/>
      <c r="B86" s="484"/>
      <c r="D86" s="1283"/>
      <c r="E86" s="1283"/>
      <c r="F86" s="1283"/>
      <c r="I86" s="490"/>
    </row>
    <row r="87" spans="1:9" ht="12.9">
      <c r="A87" s="484"/>
      <c r="B87" s="484"/>
      <c r="D87" s="1283"/>
      <c r="E87" s="1283"/>
      <c r="F87" s="1283"/>
      <c r="I87" s="490"/>
    </row>
    <row r="88" spans="1:9" ht="12.9">
      <c r="A88" s="484"/>
      <c r="B88" s="484"/>
      <c r="D88" s="385"/>
      <c r="E88" s="385"/>
      <c r="F88" s="385"/>
      <c r="I88" s="490"/>
    </row>
    <row r="89" spans="1:9" ht="15" customHeight="1">
      <c r="A89" s="484"/>
      <c r="B89" s="485" t="s">
        <v>2739</v>
      </c>
      <c r="D89" s="1283" t="s">
        <v>1743</v>
      </c>
      <c r="E89" s="1283"/>
      <c r="F89" s="1283"/>
      <c r="I89" s="490"/>
    </row>
    <row r="90" spans="1:9" ht="12.9">
      <c r="A90" s="484"/>
      <c r="B90" s="484"/>
      <c r="D90" s="1283"/>
      <c r="E90" s="1283"/>
      <c r="F90" s="1283"/>
      <c r="I90" s="490"/>
    </row>
    <row r="91" spans="1:9" ht="12.9">
      <c r="A91" s="484"/>
      <c r="B91" s="484"/>
      <c r="D91" s="445"/>
      <c r="E91" s="445"/>
      <c r="F91" s="445"/>
      <c r="I91" s="490"/>
    </row>
    <row r="92" spans="1:9" ht="12.9">
      <c r="A92" s="484"/>
      <c r="B92" s="485" t="s">
        <v>2739</v>
      </c>
      <c r="D92" s="1283" t="s">
        <v>1746</v>
      </c>
      <c r="E92" s="1283"/>
      <c r="F92" s="1283"/>
      <c r="I92" s="490"/>
    </row>
    <row r="93" spans="1:9" ht="12.9">
      <c r="A93" s="484"/>
      <c r="B93" s="484"/>
      <c r="D93" s="1283"/>
      <c r="E93" s="1283"/>
      <c r="F93" s="1283"/>
      <c r="I93" s="490"/>
    </row>
    <row r="94" spans="1:9" ht="12.9">
      <c r="A94" s="484"/>
      <c r="B94" s="484"/>
      <c r="D94" s="1283"/>
      <c r="E94" s="1283"/>
      <c r="F94" s="1283"/>
      <c r="I94" s="490"/>
    </row>
    <row r="95" spans="1:9" ht="12.9">
      <c r="A95" s="484"/>
      <c r="B95" s="484"/>
      <c r="D95" s="445"/>
      <c r="E95" s="445"/>
      <c r="F95" s="445"/>
      <c r="I95" s="490"/>
    </row>
    <row r="96" spans="1:9" ht="12.9">
      <c r="A96" s="484"/>
      <c r="B96" s="485" t="s">
        <v>2739</v>
      </c>
      <c r="D96" s="1283" t="s">
        <v>1745</v>
      </c>
      <c r="E96" s="1283"/>
      <c r="F96" s="1283"/>
      <c r="I96" s="490"/>
    </row>
    <row r="97" spans="1:9" s="987" customFormat="1" ht="12.9">
      <c r="A97" s="985"/>
      <c r="B97" s="985"/>
      <c r="C97" s="986"/>
      <c r="D97" s="1283"/>
      <c r="E97" s="1283"/>
      <c r="F97" s="1283"/>
      <c r="I97" s="1154"/>
    </row>
    <row r="98" spans="1:9" ht="12.9">
      <c r="A98" s="484"/>
      <c r="B98" s="484"/>
      <c r="D98" s="392"/>
      <c r="E98" s="312" t="s">
        <v>1924</v>
      </c>
      <c r="F98" s="445"/>
      <c r="I98" s="490"/>
    </row>
    <row r="99" spans="1:9" ht="12.9">
      <c r="A99" s="484"/>
      <c r="B99" s="484"/>
      <c r="D99" s="385"/>
      <c r="E99" s="385"/>
      <c r="F99" s="385"/>
      <c r="I99" s="490"/>
    </row>
    <row r="100" spans="1:9" ht="12.9">
      <c r="A100" s="484"/>
      <c r="B100" s="485" t="s">
        <v>2740</v>
      </c>
      <c r="D100" s="1283" t="s">
        <v>1744</v>
      </c>
      <c r="E100" s="1283"/>
      <c r="F100" s="1283"/>
      <c r="I100" s="490"/>
    </row>
    <row r="101" spans="1:9" ht="12.9">
      <c r="A101" s="484"/>
      <c r="B101" s="484"/>
      <c r="D101" s="1283"/>
      <c r="E101" s="1283"/>
      <c r="F101" s="1283"/>
      <c r="I101" s="490"/>
    </row>
    <row r="102" spans="1:9" ht="12.9">
      <c r="A102" s="484"/>
      <c r="B102" s="484"/>
      <c r="D102" s="445"/>
      <c r="E102" s="445"/>
      <c r="F102" s="445"/>
      <c r="I102" s="490"/>
    </row>
    <row r="103" spans="1:9" ht="14.5" customHeight="1">
      <c r="A103" s="484"/>
      <c r="B103" s="485" t="s">
        <v>2740</v>
      </c>
      <c r="D103" s="1283" t="s">
        <v>1195</v>
      </c>
      <c r="E103" s="1283"/>
      <c r="F103" s="1283"/>
      <c r="I103" s="490"/>
    </row>
    <row r="104" spans="1:9" ht="12.9">
      <c r="A104" s="484"/>
      <c r="B104" s="484"/>
      <c r="D104" s="1283"/>
      <c r="E104" s="1283"/>
      <c r="F104" s="1283"/>
      <c r="I104" s="490"/>
    </row>
    <row r="105" spans="1:9" ht="12.9">
      <c r="A105" s="484"/>
      <c r="B105" s="484"/>
      <c r="D105" s="1283"/>
      <c r="E105" s="1283"/>
      <c r="F105" s="1283"/>
      <c r="I105" s="490"/>
    </row>
    <row r="106" spans="1:9" ht="12.9">
      <c r="A106" s="484"/>
      <c r="B106" s="484"/>
      <c r="D106" s="1283"/>
      <c r="E106" s="1283"/>
      <c r="F106" s="1283"/>
      <c r="I106" s="490"/>
    </row>
    <row r="107" spans="1:9" ht="12.9">
      <c r="A107" s="484"/>
      <c r="B107" s="484"/>
      <c r="D107" s="1283"/>
      <c r="E107" s="1283"/>
      <c r="F107" s="1283"/>
      <c r="I107" s="490"/>
    </row>
    <row r="108" spans="1:9" ht="12.9">
      <c r="A108" s="484"/>
      <c r="B108" s="484"/>
      <c r="D108" s="1283"/>
      <c r="E108" s="1283"/>
      <c r="F108" s="1283"/>
      <c r="I108" s="490"/>
    </row>
    <row r="109" spans="1:9" ht="12.9">
      <c r="A109" s="484"/>
      <c r="B109" s="484"/>
      <c r="D109" s="1283"/>
      <c r="E109" s="1283"/>
      <c r="F109" s="1283"/>
      <c r="I109" s="490"/>
    </row>
    <row r="110" spans="1:9" ht="12.9">
      <c r="A110" s="484"/>
      <c r="B110" s="484"/>
      <c r="D110" s="1283"/>
      <c r="E110" s="1283"/>
      <c r="F110" s="1283"/>
      <c r="I110" s="490"/>
    </row>
    <row r="111" spans="1:9" ht="12.9">
      <c r="A111" s="484"/>
      <c r="B111" s="484"/>
      <c r="D111" s="1283"/>
      <c r="E111" s="1283"/>
      <c r="F111" s="1283"/>
      <c r="I111" s="490"/>
    </row>
    <row r="112" spans="1:9" ht="12.9">
      <c r="A112" s="484"/>
      <c r="B112" s="484"/>
      <c r="D112" s="1283"/>
      <c r="E112" s="1283"/>
      <c r="F112" s="1283"/>
      <c r="I112" s="490"/>
    </row>
    <row r="113" spans="1:9" ht="12.9">
      <c r="A113" s="484"/>
      <c r="B113" s="484"/>
      <c r="D113" s="1283"/>
      <c r="E113" s="1283"/>
      <c r="F113" s="1283"/>
      <c r="I113" s="490"/>
    </row>
    <row r="114" spans="1:9" ht="12.9">
      <c r="A114" s="484"/>
      <c r="B114" s="484"/>
      <c r="D114" s="1283"/>
      <c r="E114" s="1283"/>
      <c r="F114" s="1283"/>
      <c r="I114" s="490"/>
    </row>
    <row r="115" spans="1:9" ht="12.9">
      <c r="A115" s="484"/>
      <c r="B115" s="484"/>
      <c r="D115" s="1283"/>
      <c r="E115" s="1283"/>
      <c r="F115" s="1283"/>
      <c r="I115" s="490"/>
    </row>
    <row r="116" spans="1:9" ht="12.9">
      <c r="A116" s="484"/>
      <c r="B116" s="484"/>
      <c r="D116" s="1283"/>
      <c r="E116" s="1283"/>
      <c r="F116" s="1283"/>
      <c r="I116" s="490"/>
    </row>
    <row r="117" spans="1:9" ht="12.9">
      <c r="A117" s="484"/>
      <c r="B117" s="484"/>
      <c r="D117" s="1283"/>
      <c r="E117" s="1283"/>
      <c r="F117" s="1283"/>
      <c r="I117" s="490"/>
    </row>
    <row r="118" spans="1:9" ht="12.9">
      <c r="A118" s="484"/>
      <c r="B118" s="484"/>
      <c r="D118" s="524"/>
      <c r="E118" s="524"/>
      <c r="F118" s="524"/>
      <c r="I118" s="490"/>
    </row>
    <row r="119" spans="1:9" ht="14.25" customHeight="1">
      <c r="A119" s="484"/>
      <c r="B119" s="485" t="s">
        <v>2740</v>
      </c>
      <c r="D119" s="1303" t="s">
        <v>1104</v>
      </c>
      <c r="E119" s="1303"/>
      <c r="F119" s="1303"/>
      <c r="I119" s="490"/>
    </row>
    <row r="120" spans="1:9" ht="12.9">
      <c r="A120" s="484"/>
      <c r="B120" s="484"/>
      <c r="D120" s="1303"/>
      <c r="E120" s="1303"/>
      <c r="F120" s="1303"/>
      <c r="I120" s="490"/>
    </row>
    <row r="121" spans="1:9" ht="12.9">
      <c r="A121" s="484"/>
      <c r="B121" s="484"/>
      <c r="D121" s="1303"/>
      <c r="E121" s="1303"/>
      <c r="F121" s="1303"/>
      <c r="I121" s="490"/>
    </row>
    <row r="122" spans="1:9" ht="12.9">
      <c r="A122" s="484"/>
      <c r="B122" s="484"/>
      <c r="D122" s="1303"/>
      <c r="E122" s="1303"/>
      <c r="F122" s="1303"/>
      <c r="I122" s="490"/>
    </row>
    <row r="123" spans="1:9" ht="12.9">
      <c r="A123" s="484"/>
      <c r="B123" s="484"/>
      <c r="D123" s="1303"/>
      <c r="E123" s="1303"/>
      <c r="F123" s="1303"/>
      <c r="I123" s="490"/>
    </row>
    <row r="124" spans="1:9" ht="12.9">
      <c r="A124" s="484"/>
      <c r="B124" s="484"/>
      <c r="D124" s="1303"/>
      <c r="E124" s="1303"/>
      <c r="F124" s="1303"/>
      <c r="I124" s="490"/>
    </row>
    <row r="125" spans="1:9" ht="12.9">
      <c r="A125" s="484"/>
      <c r="B125" s="484"/>
      <c r="D125" s="1303"/>
      <c r="E125" s="1303"/>
      <c r="F125" s="1303"/>
      <c r="I125" s="490"/>
    </row>
    <row r="126" spans="1:9" ht="12.9">
      <c r="A126" s="484"/>
      <c r="B126" s="484"/>
      <c r="D126" s="1303"/>
      <c r="E126" s="1303"/>
      <c r="F126" s="1303"/>
      <c r="I126" s="490"/>
    </row>
    <row r="127" spans="1:9">
      <c r="C127" s="402"/>
      <c r="D127" s="525"/>
      <c r="E127" s="525"/>
      <c r="F127" s="525"/>
      <c r="I127" s="490"/>
    </row>
    <row r="128" spans="1:9" ht="12.9">
      <c r="A128" s="484"/>
      <c r="B128" s="485" t="s">
        <v>2739</v>
      </c>
      <c r="C128" s="402"/>
      <c r="D128" s="1303" t="s">
        <v>2050</v>
      </c>
      <c r="E128" s="1303"/>
      <c r="F128" s="1303"/>
      <c r="I128" s="490"/>
    </row>
    <row r="129" spans="1:9" ht="12.9">
      <c r="A129" s="484"/>
      <c r="B129" s="484"/>
      <c r="C129" s="402"/>
      <c r="D129" s="1303"/>
      <c r="E129" s="1303"/>
      <c r="F129" s="1303"/>
      <c r="I129" s="490"/>
    </row>
    <row r="130" spans="1:9">
      <c r="I130" s="490"/>
    </row>
    <row r="131" spans="1:9" ht="12.9">
      <c r="A131" s="484"/>
      <c r="B131" s="485" t="s">
        <v>2739</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2.9">
      <c r="A137" s="484"/>
      <c r="B137" s="485" t="s">
        <v>2739</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2740</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2073</v>
      </c>
      <c r="E169" s="1304"/>
      <c r="F169" s="1304"/>
      <c r="G169" s="507"/>
      <c r="I169" s="490"/>
    </row>
    <row r="170" spans="1:9" ht="13.75" customHeight="1">
      <c r="D170" s="1295"/>
      <c r="E170" s="1295"/>
      <c r="F170" s="1295"/>
      <c r="G170" s="1295"/>
      <c r="I170" s="490"/>
    </row>
    <row r="171" spans="1:9" ht="14.5" customHeight="1">
      <c r="A171" s="489"/>
      <c r="B171" s="485" t="s">
        <v>2740</v>
      </c>
      <c r="C171" s="476"/>
      <c r="D171" s="1263" t="s">
        <v>2213</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2740</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2740</v>
      </c>
      <c r="D182" s="1287" t="s">
        <v>2051</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2739</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2740</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2740</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2740</v>
      </c>
      <c r="D209" s="386" t="s">
        <v>1895</v>
      </c>
      <c r="E209" s="385"/>
      <c r="F209" s="385"/>
      <c r="I209" s="490"/>
    </row>
    <row r="210" spans="1:9" ht="12.9">
      <c r="A210" s="484"/>
      <c r="B210" s="484"/>
      <c r="D210" s="1300" t="s">
        <v>1902</v>
      </c>
      <c r="E210" s="1300"/>
      <c r="F210" s="1300"/>
      <c r="I210" s="490"/>
    </row>
    <row r="211" spans="1:9">
      <c r="D211" s="385"/>
      <c r="E211" s="1302" t="s">
        <v>1928</v>
      </c>
      <c r="F211" s="1302"/>
      <c r="I211" s="490"/>
    </row>
    <row r="212" spans="1:9">
      <c r="D212" s="447"/>
      <c r="I212" s="490"/>
    </row>
    <row r="213" spans="1:9">
      <c r="B213" s="485" t="s">
        <v>2740</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2.9">
      <c r="A217" s="484"/>
      <c r="B217" s="485" t="s">
        <v>2740</v>
      </c>
      <c r="D217" s="1283" t="s">
        <v>1217</v>
      </c>
      <c r="E217" s="1283"/>
      <c r="F217" s="1283"/>
      <c r="I217" s="490"/>
    </row>
    <row r="218" spans="1:9" ht="14.5" customHeight="1">
      <c r="A218" s="484"/>
      <c r="B218" s="402"/>
      <c r="D218" s="1283"/>
      <c r="E218" s="1283"/>
      <c r="F218" s="1283"/>
      <c r="I218" s="490"/>
    </row>
    <row r="219" spans="1:9" ht="12.9">
      <c r="A219" s="484"/>
      <c r="D219" s="1283"/>
      <c r="E219" s="1283"/>
      <c r="F219" s="1283"/>
      <c r="I219" s="490"/>
    </row>
    <row r="220" spans="1:9" ht="12.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ht="12.9">
      <c r="A228" s="484"/>
      <c r="B228" s="485" t="s">
        <v>2739</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2.9">
      <c r="A231" s="484"/>
      <c r="B231" s="484"/>
      <c r="D231" s="1283"/>
      <c r="E231" s="1283"/>
      <c r="F231" s="1283"/>
      <c r="I231" s="490"/>
    </row>
    <row r="232" spans="1:9" ht="12.9">
      <c r="A232" s="484"/>
      <c r="B232" s="484"/>
      <c r="D232" s="445"/>
      <c r="E232" s="445"/>
      <c r="F232" s="445"/>
      <c r="I232" s="490"/>
    </row>
    <row r="233" spans="1:9" ht="12.9">
      <c r="A233" s="484"/>
      <c r="B233" s="485" t="s">
        <v>2739</v>
      </c>
      <c r="D233" s="1283" t="s">
        <v>1755</v>
      </c>
      <c r="E233" s="1283"/>
      <c r="F233" s="1283"/>
      <c r="I233" s="490"/>
    </row>
    <row r="234" spans="1:9" ht="12.9">
      <c r="A234" s="484"/>
      <c r="B234" s="484"/>
      <c r="D234" s="1283"/>
      <c r="E234" s="1283"/>
      <c r="F234" s="1283"/>
      <c r="I234" s="490"/>
    </row>
    <row r="235" spans="1:9" ht="12.9">
      <c r="A235" s="484"/>
      <c r="B235" s="484"/>
      <c r="D235" s="1283"/>
      <c r="E235" s="1283"/>
      <c r="F235" s="1283"/>
      <c r="I235" s="490"/>
    </row>
    <row r="236" spans="1:9" ht="12.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2.9">
      <c r="A239" s="484"/>
      <c r="B239" s="484"/>
      <c r="D239" s="1283" t="s">
        <v>1119</v>
      </c>
      <c r="E239" s="1283"/>
      <c r="F239" s="1283"/>
      <c r="I239" s="490"/>
    </row>
    <row r="240" spans="1:9" ht="12.9">
      <c r="A240" s="484"/>
      <c r="B240" s="484"/>
      <c r="D240" s="1283"/>
      <c r="E240" s="1283"/>
      <c r="F240" s="1283"/>
      <c r="I240" s="490"/>
    </row>
    <row r="241" spans="1:9" ht="12.9">
      <c r="A241" s="484"/>
      <c r="B241" s="484"/>
      <c r="D241" s="1283"/>
      <c r="E241" s="1283"/>
      <c r="F241" s="1283"/>
      <c r="I241" s="490"/>
    </row>
    <row r="242" spans="1:9" ht="12.9">
      <c r="A242" s="484"/>
      <c r="B242" s="484"/>
      <c r="D242" s="1283"/>
      <c r="E242" s="1283"/>
      <c r="F242" s="1283"/>
      <c r="I242" s="490"/>
    </row>
    <row r="243" spans="1:9" ht="12.9">
      <c r="A243" s="484"/>
      <c r="B243" s="484"/>
      <c r="D243" s="1283"/>
      <c r="E243" s="1283"/>
      <c r="F243" s="1283"/>
      <c r="I243" s="490"/>
    </row>
    <row r="244" spans="1:9" ht="12.9">
      <c r="A244" s="484"/>
      <c r="B244" s="484"/>
      <c r="D244" s="446"/>
      <c r="E244" s="446"/>
      <c r="F244" s="446"/>
      <c r="I244" s="490"/>
    </row>
    <row r="245" spans="1:9" ht="12.9">
      <c r="A245" s="484"/>
      <c r="B245" s="485" t="s">
        <v>2740</v>
      </c>
      <c r="D245" s="1283" t="s">
        <v>2053</v>
      </c>
      <c r="E245" s="1283"/>
      <c r="F245" s="1283"/>
      <c r="I245" s="490"/>
    </row>
    <row r="246" spans="1:9" ht="12.9">
      <c r="A246" s="484"/>
      <c r="B246" s="484"/>
      <c r="D246" s="1283"/>
      <c r="E246" s="1283"/>
      <c r="F246" s="1283"/>
      <c r="I246" s="490"/>
    </row>
    <row r="247" spans="1:9" ht="12.9">
      <c r="A247" s="484"/>
      <c r="B247" s="484"/>
      <c r="D247" s="1283"/>
      <c r="E247" s="1283"/>
      <c r="F247" s="1283"/>
      <c r="I247" s="490"/>
    </row>
    <row r="248" spans="1:9" ht="12.9">
      <c r="A248" s="484"/>
      <c r="B248" s="484"/>
      <c r="E248" s="1036" t="s">
        <v>1896</v>
      </c>
      <c r="I248" s="490"/>
    </row>
    <row r="249" spans="1:9" ht="12.9">
      <c r="A249" s="484"/>
      <c r="B249" s="484"/>
      <c r="D249" s="446"/>
      <c r="E249" s="446"/>
      <c r="F249" s="446"/>
      <c r="I249" s="490"/>
    </row>
    <row r="250" spans="1:9" ht="14.5" customHeight="1">
      <c r="A250" s="484"/>
      <c r="B250" s="485" t="s">
        <v>2740</v>
      </c>
      <c r="D250" s="1283" t="s">
        <v>2054</v>
      </c>
      <c r="E250" s="1283"/>
      <c r="F250" s="1283"/>
      <c r="I250" s="490"/>
    </row>
    <row r="251" spans="1:9" ht="12.9">
      <c r="A251" s="484"/>
      <c r="B251" s="484"/>
      <c r="D251" s="1283"/>
      <c r="E251" s="1283"/>
      <c r="F251" s="1283"/>
      <c r="I251" s="490"/>
    </row>
    <row r="252" spans="1:9" ht="12.9">
      <c r="A252" s="484"/>
      <c r="B252" s="484"/>
      <c r="D252" s="1283"/>
      <c r="E252" s="1283"/>
      <c r="F252" s="1283"/>
      <c r="I252" s="490"/>
    </row>
    <row r="253" spans="1:9" ht="12.9">
      <c r="A253" s="484"/>
      <c r="B253" s="484"/>
      <c r="D253" s="1283"/>
      <c r="E253" s="1283"/>
      <c r="F253" s="1283"/>
      <c r="I253" s="490"/>
    </row>
    <row r="254" spans="1:9" ht="12.9">
      <c r="A254" s="484"/>
      <c r="B254" s="484"/>
      <c r="D254" s="1283"/>
      <c r="E254" s="1283"/>
      <c r="F254" s="1283"/>
      <c r="I254" s="490"/>
    </row>
    <row r="255" spans="1:9" ht="12.9">
      <c r="A255" s="484"/>
      <c r="B255" s="484"/>
      <c r="D255" s="445"/>
      <c r="E255" s="445"/>
      <c r="F255" s="445"/>
      <c r="I255" s="490"/>
    </row>
    <row r="256" spans="1:9" ht="12.9">
      <c r="A256" s="484"/>
      <c r="B256" s="485" t="s">
        <v>2739</v>
      </c>
      <c r="D256" s="392" t="s">
        <v>2055</v>
      </c>
      <c r="E256" s="445"/>
      <c r="F256" s="445"/>
      <c r="I256" s="490"/>
    </row>
    <row r="257" spans="1:9" ht="12.9">
      <c r="A257" s="484"/>
      <c r="B257" s="484"/>
      <c r="E257" s="1036" t="s">
        <v>1897</v>
      </c>
      <c r="I257" s="490"/>
    </row>
    <row r="258" spans="1:9">
      <c r="D258" s="446"/>
      <c r="E258" s="446"/>
      <c r="F258" s="446"/>
      <c r="I258" s="490"/>
    </row>
    <row r="259" spans="1:9" ht="12.9">
      <c r="A259" s="484"/>
      <c r="B259" s="485" t="s">
        <v>2739</v>
      </c>
      <c r="D259" s="1283" t="s">
        <v>1120</v>
      </c>
      <c r="E259" s="1283"/>
      <c r="F259" s="1283"/>
      <c r="I259" s="490"/>
    </row>
    <row r="260" spans="1:9" ht="12.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2739</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5" customHeight="1">
      <c r="A271" s="484"/>
      <c r="B271" s="485" t="s">
        <v>2740</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2.9">
      <c r="A278" s="484"/>
      <c r="B278" s="485" t="s">
        <v>2740</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2.9">
      <c r="A290" s="484"/>
      <c r="B290" s="485" t="s">
        <v>2740</v>
      </c>
      <c r="D290" s="1283" t="s">
        <v>1126</v>
      </c>
      <c r="E290" s="1283"/>
      <c r="F290" s="1283"/>
      <c r="I290" s="490"/>
    </row>
    <row r="291" spans="1:9" ht="12.9">
      <c r="A291" s="484"/>
      <c r="B291" s="484"/>
      <c r="D291" s="1283"/>
      <c r="E291" s="1283"/>
      <c r="F291" s="1283"/>
      <c r="I291" s="490"/>
    </row>
    <row r="292" spans="1:9">
      <c r="D292" s="446"/>
      <c r="E292" s="446"/>
      <c r="F292" s="446"/>
      <c r="I292" s="490"/>
    </row>
    <row r="293" spans="1:9" ht="12.9">
      <c r="A293" s="484"/>
      <c r="B293" s="485" t="s">
        <v>2740</v>
      </c>
      <c r="D293" s="1283" t="s">
        <v>1127</v>
      </c>
      <c r="E293" s="1283"/>
      <c r="F293" s="1283"/>
      <c r="I293" s="490"/>
    </row>
    <row r="294" spans="1:9" ht="12.9">
      <c r="A294" s="484"/>
      <c r="B294" s="484"/>
      <c r="D294" s="1283"/>
      <c r="E294" s="1283"/>
      <c r="F294" s="1283"/>
      <c r="I294" s="490"/>
    </row>
    <row r="295" spans="1:9" ht="12.9">
      <c r="A295" s="484"/>
      <c r="B295" s="484"/>
      <c r="D295" s="1283"/>
      <c r="E295" s="1283"/>
      <c r="F295" s="1283"/>
      <c r="I295" s="490"/>
    </row>
    <row r="296" spans="1:9">
      <c r="D296" s="446"/>
      <c r="E296" s="446"/>
      <c r="F296" s="446"/>
      <c r="I296" s="490"/>
    </row>
    <row r="297" spans="1:9" ht="12.9">
      <c r="A297" s="484"/>
      <c r="B297" s="485" t="s">
        <v>2740</v>
      </c>
      <c r="D297" s="1283" t="s">
        <v>1128</v>
      </c>
      <c r="E297" s="1283"/>
      <c r="F297" s="1283"/>
      <c r="I297" s="490"/>
    </row>
    <row r="298" spans="1:9" ht="12.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2740</v>
      </c>
      <c r="D305" s="1284" t="s">
        <v>1130</v>
      </c>
      <c r="E305" s="1284"/>
      <c r="F305" s="1284"/>
      <c r="I305" s="490"/>
    </row>
    <row r="306" spans="1:9" ht="12.9">
      <c r="A306" s="484"/>
      <c r="B306" s="484"/>
      <c r="D306" s="494"/>
      <c r="E306" s="495"/>
      <c r="F306" s="495"/>
      <c r="I306" s="490"/>
    </row>
    <row r="307" spans="1:9" ht="13.75" customHeight="1">
      <c r="B307" s="485" t="s">
        <v>2740</v>
      </c>
      <c r="D307" s="1293" t="s">
        <v>1220</v>
      </c>
      <c r="E307" s="1293"/>
      <c r="F307" s="1293"/>
      <c r="I307" s="490"/>
    </row>
    <row r="308" spans="1:9" ht="12.9">
      <c r="A308" s="484"/>
      <c r="B308" s="484"/>
      <c r="D308" s="1293"/>
      <c r="E308" s="1293"/>
      <c r="F308" s="1293"/>
      <c r="I308" s="490"/>
    </row>
    <row r="309" spans="1:9" ht="12.9">
      <c r="A309" s="484"/>
      <c r="B309" s="484"/>
      <c r="D309" s="1293"/>
      <c r="E309" s="1293"/>
      <c r="F309" s="1293"/>
      <c r="I309" s="490"/>
    </row>
    <row r="310" spans="1:9" ht="12.9">
      <c r="A310" s="484"/>
      <c r="B310" s="484"/>
      <c r="D310" s="1293"/>
      <c r="E310" s="1293"/>
      <c r="F310" s="1293"/>
      <c r="I310" s="490"/>
    </row>
    <row r="311" spans="1:9" ht="12.9">
      <c r="A311" s="484"/>
      <c r="B311" s="484"/>
      <c r="D311" s="1293"/>
      <c r="E311" s="1293"/>
      <c r="F311" s="1293"/>
      <c r="I311" s="490"/>
    </row>
    <row r="312" spans="1:9" ht="12.9">
      <c r="A312" s="484"/>
      <c r="B312" s="484"/>
      <c r="D312" s="494"/>
      <c r="E312" s="495"/>
      <c r="F312" s="495"/>
      <c r="I312" s="490"/>
    </row>
    <row r="313" spans="1:9" ht="13.75" customHeight="1">
      <c r="B313" s="485" t="s">
        <v>2740</v>
      </c>
      <c r="D313" s="1293" t="s">
        <v>1131</v>
      </c>
      <c r="E313" s="1293"/>
      <c r="F313" s="1293"/>
      <c r="I313" s="490"/>
    </row>
    <row r="314" spans="1:9">
      <c r="D314" s="1293"/>
      <c r="E314" s="1293"/>
      <c r="F314" s="1293"/>
      <c r="I314" s="490"/>
    </row>
    <row r="315" spans="1:9" ht="12.9">
      <c r="A315" s="484"/>
      <c r="B315" s="484"/>
      <c r="D315" s="494"/>
      <c r="E315" s="495"/>
      <c r="F315" s="495"/>
      <c r="I315" s="490"/>
    </row>
    <row r="316" spans="1:9">
      <c r="B316" s="485" t="s">
        <v>2740</v>
      </c>
      <c r="D316" s="1284" t="s">
        <v>1132</v>
      </c>
      <c r="E316" s="1284"/>
      <c r="F316" s="1284"/>
      <c r="I316" s="490"/>
    </row>
    <row r="317" spans="1:9">
      <c r="E317" s="446"/>
      <c r="F317" s="446"/>
      <c r="I317" s="490"/>
    </row>
    <row r="318" spans="1:9" ht="12.9">
      <c r="A318" s="484"/>
      <c r="B318" s="485" t="s">
        <v>2740</v>
      </c>
      <c r="D318" s="1283" t="s">
        <v>2245</v>
      </c>
      <c r="E318" s="1283"/>
      <c r="F318" s="1283"/>
      <c r="I318" s="490"/>
    </row>
    <row r="319" spans="1:9" ht="12.9">
      <c r="A319" s="484"/>
      <c r="B319" s="484"/>
      <c r="D319" s="1283"/>
      <c r="E319" s="1283"/>
      <c r="F319" s="1283"/>
      <c r="I319" s="490"/>
    </row>
    <row r="320" spans="1:9" ht="12.9">
      <c r="A320" s="484"/>
      <c r="B320" s="484"/>
      <c r="D320" s="1283"/>
      <c r="E320" s="1283"/>
      <c r="F320" s="1283"/>
      <c r="I320" s="490"/>
    </row>
    <row r="321" spans="1:9" ht="12.9">
      <c r="A321" s="484"/>
      <c r="B321" s="484"/>
      <c r="D321" s="1283"/>
      <c r="E321" s="1283"/>
      <c r="F321" s="1283"/>
      <c r="I321" s="490"/>
    </row>
    <row r="322" spans="1:9" ht="12.9">
      <c r="A322" s="484"/>
      <c r="B322" s="484"/>
      <c r="D322" s="1283"/>
      <c r="E322" s="1283"/>
      <c r="F322" s="1283"/>
      <c r="I322" s="490"/>
    </row>
    <row r="323" spans="1:9" ht="12.9">
      <c r="A323" s="484"/>
      <c r="B323" s="484"/>
      <c r="D323" s="1283"/>
      <c r="E323" s="1283"/>
      <c r="F323" s="1283"/>
      <c r="I323" s="490"/>
    </row>
    <row r="324" spans="1:9" ht="12.9">
      <c r="A324" s="484"/>
      <c r="B324" s="484"/>
      <c r="D324" s="1283"/>
      <c r="E324" s="1283"/>
      <c r="F324" s="1283"/>
      <c r="I324" s="490"/>
    </row>
    <row r="325" spans="1:9" ht="12.9">
      <c r="A325" s="484"/>
      <c r="B325" s="484"/>
      <c r="D325" s="1283"/>
      <c r="E325" s="1283"/>
      <c r="F325" s="1283"/>
      <c r="I325" s="490"/>
    </row>
    <row r="326" spans="1:9" ht="12.9">
      <c r="A326" s="484"/>
      <c r="B326" s="484"/>
      <c r="D326" s="1283"/>
      <c r="E326" s="1283"/>
      <c r="F326" s="1283"/>
      <c r="I326" s="490"/>
    </row>
    <row r="327" spans="1:9" ht="12.9">
      <c r="A327" s="484"/>
      <c r="B327" s="484"/>
      <c r="D327" s="1283"/>
      <c r="E327" s="1283"/>
      <c r="F327" s="1283"/>
      <c r="I327" s="490"/>
    </row>
    <row r="328" spans="1:9" ht="12.9">
      <c r="A328" s="484"/>
      <c r="B328" s="484"/>
      <c r="D328" s="1283"/>
      <c r="E328" s="1283"/>
      <c r="F328" s="1283"/>
      <c r="I328" s="490"/>
    </row>
    <row r="329" spans="1:9" ht="12.9">
      <c r="A329" s="484"/>
      <c r="B329" s="484"/>
      <c r="D329" s="1283"/>
      <c r="E329" s="1283"/>
      <c r="F329" s="1283"/>
      <c r="I329" s="490"/>
    </row>
    <row r="330" spans="1:9" ht="12.9">
      <c r="A330" s="484"/>
      <c r="B330" s="484"/>
      <c r="D330" s="1283"/>
      <c r="E330" s="1283"/>
      <c r="F330" s="1283"/>
      <c r="I330" s="490"/>
    </row>
    <row r="331" spans="1:9" ht="12.9">
      <c r="A331" s="484"/>
      <c r="B331" s="484"/>
      <c r="D331" s="1283"/>
      <c r="E331" s="1283"/>
      <c r="F331" s="1283"/>
      <c r="I331" s="490"/>
    </row>
    <row r="332" spans="1:9" ht="12.9">
      <c r="A332" s="484"/>
      <c r="B332" s="484"/>
      <c r="D332" s="1283"/>
      <c r="E332" s="1283"/>
      <c r="F332" s="1283"/>
      <c r="I332" s="490"/>
    </row>
    <row r="333" spans="1:9">
      <c r="D333" s="446"/>
      <c r="E333" s="446"/>
      <c r="F333" s="446"/>
      <c r="I333" s="490"/>
    </row>
    <row r="334" spans="1:9" ht="12.9">
      <c r="A334" s="484"/>
      <c r="B334" s="485" t="s">
        <v>2740</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2740</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2.9" thickBot="1">
      <c r="A351" s="1022"/>
      <c r="B351" s="1022"/>
      <c r="C351" s="1022"/>
      <c r="D351" s="1296" t="s">
        <v>980</v>
      </c>
      <c r="E351" s="1296"/>
      <c r="F351" s="1296"/>
      <c r="G351" s="1027"/>
      <c r="H351" s="1027"/>
      <c r="I351" s="1156"/>
    </row>
    <row r="352" spans="1:9" ht="12.9"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2.9">
      <c r="A355" s="484"/>
      <c r="B355" s="485" t="s">
        <v>2740</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2.9">
      <c r="A360" s="484"/>
      <c r="B360" s="485" t="s">
        <v>2740</v>
      </c>
      <c r="C360" s="476"/>
      <c r="D360" s="1295" t="s">
        <v>2057</v>
      </c>
      <c r="E360" s="1295"/>
      <c r="F360" s="1295"/>
      <c r="I360" s="480"/>
    </row>
    <row r="361" spans="1:9">
      <c r="A361" s="476"/>
      <c r="B361" s="476"/>
      <c r="C361" s="476"/>
      <c r="D361" s="447"/>
      <c r="E361" s="447"/>
      <c r="F361" s="446"/>
      <c r="I361" s="490"/>
    </row>
    <row r="362" spans="1:9">
      <c r="A362" s="476"/>
      <c r="B362" s="485" t="s">
        <v>2740</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2740</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2740</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2.9">
      <c r="A387" s="484"/>
      <c r="B387" s="485" t="s">
        <v>2740</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2740</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2740</v>
      </c>
      <c r="D423" s="1263" t="s">
        <v>1882</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2740</v>
      </c>
      <c r="C429" s="476"/>
      <c r="D429" s="1263" t="s">
        <v>1241</v>
      </c>
      <c r="E429" s="1263"/>
      <c r="F429" s="1263"/>
      <c r="I429" s="490"/>
    </row>
    <row r="430" spans="1:9" ht="12.9">
      <c r="A430" s="497"/>
      <c r="B430" s="497"/>
      <c r="C430" s="476"/>
      <c r="D430" s="1263"/>
      <c r="E430" s="1263"/>
      <c r="F430" s="1263"/>
      <c r="I430" s="490"/>
    </row>
    <row r="431" spans="1:9" ht="12.9">
      <c r="A431" s="497"/>
      <c r="B431" s="497"/>
      <c r="C431" s="476"/>
      <c r="D431" s="1263"/>
      <c r="E431" s="1263"/>
      <c r="F431" s="1263"/>
      <c r="I431" s="490"/>
    </row>
    <row r="432" spans="1:9" ht="12.9">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2.9">
      <c r="A435" s="484"/>
      <c r="B435" s="485" t="s">
        <v>2740</v>
      </c>
      <c r="C435" s="487"/>
      <c r="D435" s="1283" t="s">
        <v>2059</v>
      </c>
      <c r="E435" s="1283"/>
      <c r="F435" s="1283"/>
      <c r="I435" s="490"/>
    </row>
    <row r="436" spans="1:9" ht="12.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ht="12.9">
      <c r="A467" s="484"/>
      <c r="B467" s="485" t="s">
        <v>2740</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2.9">
      <c r="B471" s="485" t="s">
        <v>2740</v>
      </c>
      <c r="C471" s="484"/>
      <c r="D471" s="1283" t="s">
        <v>1198</v>
      </c>
      <c r="E471" s="1283"/>
      <c r="F471" s="1283"/>
      <c r="I471" s="490"/>
    </row>
    <row r="472" spans="1:9">
      <c r="D472" s="1283"/>
      <c r="E472" s="1283"/>
      <c r="F472" s="1283"/>
      <c r="I472" s="490"/>
    </row>
    <row r="473" spans="1:9">
      <c r="D473" s="446"/>
      <c r="E473" s="446"/>
      <c r="F473" s="446"/>
      <c r="I473" s="490"/>
    </row>
    <row r="474" spans="1:9" ht="12.9">
      <c r="B474" s="485" t="s">
        <v>2740</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2740</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2740</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2740</v>
      </c>
      <c r="C486" s="402"/>
      <c r="D486" s="1283"/>
      <c r="E486" s="1283"/>
      <c r="F486" s="1283"/>
      <c r="I486" s="490"/>
    </row>
    <row r="487" spans="1:9">
      <c r="A487" s="402"/>
      <c r="C487" s="402"/>
      <c r="D487" s="1283"/>
      <c r="E487" s="1283"/>
      <c r="F487" s="1283"/>
      <c r="I487" s="490"/>
    </row>
    <row r="488" spans="1:9">
      <c r="A488" s="402"/>
      <c r="B488" s="485" t="s">
        <v>2740</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2740</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2.9">
      <c r="A499" s="484"/>
      <c r="B499" s="484"/>
      <c r="D499" s="1295" t="s">
        <v>1142</v>
      </c>
      <c r="E499" s="1295"/>
      <c r="F499" s="1295"/>
      <c r="I499" s="490"/>
    </row>
    <row r="500" spans="1:9" ht="12.9">
      <c r="A500" s="484"/>
      <c r="B500" s="484"/>
      <c r="D500" s="447"/>
      <c r="I500" s="490"/>
    </row>
    <row r="501" spans="1:9" ht="12.9">
      <c r="A501" s="484"/>
      <c r="B501" s="485" t="s">
        <v>2740</v>
      </c>
      <c r="D501" s="1263" t="s">
        <v>1143</v>
      </c>
      <c r="E501" s="1263"/>
      <c r="F501" s="1263"/>
      <c r="I501" s="490"/>
    </row>
    <row r="502" spans="1:9" ht="12.9">
      <c r="A502" s="484"/>
      <c r="B502" s="484"/>
      <c r="D502" s="1263"/>
      <c r="E502" s="1263"/>
      <c r="F502" s="1263"/>
      <c r="I502" s="490"/>
    </row>
    <row r="503" spans="1:9" ht="12.9">
      <c r="A503" s="484"/>
      <c r="B503" s="484"/>
      <c r="D503" s="446"/>
      <c r="I503" s="490"/>
    </row>
    <row r="504" spans="1:9" ht="12.75" customHeight="1">
      <c r="B504" s="485" t="s">
        <v>2740</v>
      </c>
      <c r="D504" s="1287" t="s">
        <v>1274</v>
      </c>
      <c r="E504" s="1287"/>
      <c r="F504" s="1287"/>
      <c r="I504" s="490"/>
    </row>
    <row r="505" spans="1:9" ht="12.9">
      <c r="A505" s="484"/>
      <c r="D505" s="1287"/>
      <c r="E505" s="1287"/>
      <c r="F505" s="1287"/>
      <c r="I505" s="490"/>
    </row>
    <row r="506" spans="1:9" ht="12.9">
      <c r="A506" s="484"/>
      <c r="B506" s="484"/>
      <c r="D506" s="1287"/>
      <c r="E506" s="1287"/>
      <c r="F506" s="1287"/>
      <c r="I506" s="490"/>
    </row>
    <row r="507" spans="1:9" ht="12.9">
      <c r="A507" s="484"/>
      <c r="B507" s="484"/>
      <c r="D507" s="1287"/>
      <c r="E507" s="1287"/>
      <c r="F507" s="1287"/>
      <c r="I507" s="490"/>
    </row>
    <row r="508" spans="1:9" ht="12.9">
      <c r="A508" s="484"/>
      <c r="D508" s="520"/>
      <c r="E508" s="520"/>
      <c r="F508" s="520"/>
      <c r="I508" s="490"/>
    </row>
    <row r="509" spans="1:9" ht="12.9">
      <c r="A509" s="484"/>
      <c r="B509" s="485" t="s">
        <v>2740</v>
      </c>
      <c r="D509" s="1284" t="s">
        <v>1144</v>
      </c>
      <c r="E509" s="1284"/>
      <c r="F509" s="1284"/>
      <c r="I509" s="490"/>
    </row>
    <row r="510" spans="1:9" ht="12.9">
      <c r="A510" s="484"/>
      <c r="B510" s="484"/>
      <c r="D510" s="446"/>
      <c r="I510" s="490"/>
    </row>
    <row r="511" spans="1:9" ht="12.9">
      <c r="A511" s="484"/>
      <c r="B511" s="485" t="s">
        <v>2740</v>
      </c>
      <c r="D511" s="1283" t="s">
        <v>1145</v>
      </c>
      <c r="E511" s="1283"/>
      <c r="F511" s="1283"/>
      <c r="I511" s="490"/>
    </row>
    <row r="512" spans="1:9" ht="12.9">
      <c r="A512" s="484"/>
      <c r="D512" s="1283"/>
      <c r="E512" s="1283"/>
      <c r="F512" s="1283"/>
      <c r="I512" s="490"/>
    </row>
    <row r="513" spans="1:9">
      <c r="A513" s="490"/>
      <c r="B513" s="490"/>
      <c r="D513" s="447"/>
      <c r="I513" s="490"/>
    </row>
    <row r="514" spans="1:9">
      <c r="A514" s="490"/>
      <c r="B514" s="485" t="s">
        <v>2740</v>
      </c>
      <c r="D514" s="1284" t="s">
        <v>1146</v>
      </c>
      <c r="E514" s="1284"/>
      <c r="F514" s="1284"/>
      <c r="I514" s="490"/>
    </row>
    <row r="515" spans="1:9">
      <c r="D515" s="446"/>
      <c r="E515" s="446"/>
      <c r="F515" s="446"/>
      <c r="I515" s="490"/>
    </row>
    <row r="516" spans="1:9">
      <c r="B516" s="485" t="s">
        <v>2740</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2.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2739</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2740</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2740</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2739</v>
      </c>
      <c r="C548" s="487"/>
      <c r="D548" s="1284" t="s">
        <v>885</v>
      </c>
      <c r="E548" s="1284"/>
      <c r="F548" s="1284"/>
      <c r="I548" s="490"/>
    </row>
    <row r="549" spans="1:9" ht="13.75" customHeight="1">
      <c r="A549" s="487"/>
      <c r="B549" s="487"/>
      <c r="C549" s="487"/>
      <c r="D549" s="446"/>
      <c r="I549" s="490"/>
    </row>
    <row r="550" spans="1:9" ht="12.9">
      <c r="A550" s="484"/>
      <c r="B550" s="485" t="s">
        <v>2739</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2.9">
      <c r="A553" s="484"/>
      <c r="B553" s="485" t="s">
        <v>2739</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2.9">
      <c r="A556" s="484"/>
      <c r="B556" s="485" t="s">
        <v>2739</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2.9">
      <c r="A559" s="484"/>
      <c r="B559" s="485" t="s">
        <v>2739</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2.9">
      <c r="A563" s="484"/>
      <c r="B563" s="485" t="s">
        <v>2740</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2.9">
      <c r="A566" s="484"/>
      <c r="B566" s="485" t="s">
        <v>2739</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2.9">
      <c r="A569" s="484"/>
      <c r="B569" s="485" t="s">
        <v>2739</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2.9">
      <c r="A572" s="484"/>
      <c r="B572" s="484"/>
      <c r="C572" s="487"/>
      <c r="E572" s="446"/>
      <c r="F572" s="446"/>
      <c r="I572" s="490"/>
    </row>
    <row r="573" spans="1:9" ht="12.9">
      <c r="A573" s="484"/>
      <c r="B573" s="485" t="s">
        <v>2739</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2.9">
      <c r="A578" s="484"/>
      <c r="B578" s="485" t="s">
        <v>2739</v>
      </c>
      <c r="C578" s="487"/>
      <c r="D578" s="1283" t="s">
        <v>2063</v>
      </c>
      <c r="E578" s="1283"/>
      <c r="F578" s="1283"/>
      <c r="I578" s="490"/>
    </row>
    <row r="579" spans="1:9" ht="12.9">
      <c r="A579" s="484"/>
      <c r="B579" s="484"/>
      <c r="C579" s="487"/>
      <c r="D579" s="1283"/>
      <c r="E579" s="1283"/>
      <c r="F579" s="1283"/>
      <c r="I579" s="490"/>
    </row>
    <row r="580" spans="1:9" ht="12.9">
      <c r="A580" s="484"/>
      <c r="B580" s="484"/>
      <c r="C580" s="487"/>
      <c r="D580" s="1283"/>
      <c r="E580" s="1283"/>
      <c r="F580" s="1283"/>
      <c r="I580" s="490"/>
    </row>
    <row r="581" spans="1:9" ht="12.9">
      <c r="A581" s="484"/>
      <c r="B581" s="484"/>
      <c r="C581" s="487"/>
      <c r="D581" s="1283"/>
      <c r="E581" s="1283"/>
      <c r="F581" s="1283"/>
      <c r="I581" s="490"/>
    </row>
    <row r="582" spans="1:9" ht="12.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2739</v>
      </c>
      <c r="D588" s="1287" t="s">
        <v>889</v>
      </c>
      <c r="E588" s="1287"/>
      <c r="F588" s="1287"/>
      <c r="I588" s="490"/>
    </row>
    <row r="589" spans="1:9">
      <c r="A589" s="490"/>
      <c r="B589" s="490"/>
      <c r="D589" s="476"/>
      <c r="I589" s="490"/>
    </row>
    <row r="590" spans="1:9">
      <c r="A590" s="490"/>
      <c r="B590" s="485" t="s">
        <v>2739</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2740</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2739</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2740</v>
      </c>
      <c r="D602" s="1287" t="s">
        <v>1070</v>
      </c>
      <c r="E602" s="1287"/>
      <c r="F602" s="1287"/>
      <c r="I602" s="490"/>
    </row>
    <row r="603" spans="1:9">
      <c r="A603" s="490"/>
      <c r="B603" s="490"/>
      <c r="D603" s="1287"/>
      <c r="E603" s="1287"/>
      <c r="F603" s="1287"/>
      <c r="I603" s="490"/>
    </row>
    <row r="604" spans="1:9" ht="12.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2739</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2739</v>
      </c>
      <c r="D620" s="1308" t="s">
        <v>1112</v>
      </c>
      <c r="E620" s="1308"/>
      <c r="F620" s="1308"/>
      <c r="I620" s="490"/>
    </row>
    <row r="621" spans="1:9">
      <c r="D621" s="1308"/>
      <c r="E621" s="1308"/>
      <c r="F621" s="1308"/>
      <c r="I621" s="490"/>
    </row>
    <row r="622" spans="1:9">
      <c r="I622" s="490"/>
    </row>
    <row r="623" spans="1:9">
      <c r="B623" s="485" t="s">
        <v>2739</v>
      </c>
      <c r="D623" s="1308" t="s">
        <v>1113</v>
      </c>
      <c r="E623" s="1308"/>
      <c r="F623" s="1308"/>
      <c r="I623" s="490"/>
    </row>
    <row r="624" spans="1:9">
      <c r="C624" s="500"/>
      <c r="D624" s="1308"/>
      <c r="E624" s="1308"/>
      <c r="F624" s="1308"/>
      <c r="I624" s="490"/>
    </row>
    <row r="625" spans="1:9">
      <c r="C625" s="500"/>
      <c r="I625" s="490"/>
    </row>
    <row r="626" spans="1:9">
      <c r="B626" s="485" t="s">
        <v>2739</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2739</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2.9">
      <c r="A640" s="484"/>
      <c r="B640" s="485" t="s">
        <v>2740</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2.9">
      <c r="A643" s="484"/>
      <c r="B643" s="485" t="s">
        <v>2740</v>
      </c>
      <c r="C643" s="487"/>
      <c r="D643" s="1283" t="s">
        <v>1226</v>
      </c>
      <c r="E643" s="1283"/>
      <c r="F643" s="1283"/>
      <c r="I643" s="490"/>
    </row>
    <row r="644" spans="1:9" ht="12.9">
      <c r="A644" s="484"/>
      <c r="B644" s="484"/>
      <c r="C644" s="487"/>
      <c r="D644" s="1283"/>
      <c r="E644" s="1283"/>
      <c r="F644" s="1283"/>
      <c r="I644" s="490"/>
    </row>
    <row r="645" spans="1:9" ht="12.9">
      <c r="A645" s="484"/>
      <c r="B645" s="484"/>
      <c r="C645" s="487"/>
      <c r="D645" s="1283"/>
      <c r="E645" s="1283"/>
      <c r="F645" s="1283"/>
      <c r="I645" s="490"/>
    </row>
    <row r="646" spans="1:9">
      <c r="A646" s="487"/>
      <c r="B646" s="485" t="s">
        <v>2740</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2740</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2740</v>
      </c>
      <c r="C658" s="487"/>
      <c r="D658" s="1283" t="s">
        <v>1284</v>
      </c>
      <c r="E658" s="1283"/>
      <c r="F658" s="1283"/>
      <c r="I658" s="490"/>
    </row>
    <row r="659" spans="1:9" ht="12.9">
      <c r="A659" s="483"/>
      <c r="B659" s="484"/>
      <c r="C659" s="487"/>
      <c r="D659" s="1283"/>
      <c r="E659" s="1283"/>
      <c r="F659" s="1283"/>
      <c r="I659" s="490"/>
    </row>
    <row r="660" spans="1:9" ht="12.9">
      <c r="A660" s="483"/>
      <c r="B660" s="484"/>
      <c r="C660" s="487"/>
      <c r="D660" s="1283"/>
      <c r="E660" s="1283"/>
      <c r="F660" s="1283"/>
      <c r="I660" s="490"/>
    </row>
    <row r="661" spans="1:9" ht="12.9">
      <c r="A661" s="483"/>
      <c r="B661" s="484"/>
      <c r="C661" s="487"/>
      <c r="D661" s="1283"/>
      <c r="E661" s="1283"/>
      <c r="F661" s="1283"/>
      <c r="I661" s="490"/>
    </row>
    <row r="662" spans="1:9" ht="12.9">
      <c r="A662" s="483"/>
      <c r="B662" s="484"/>
      <c r="C662" s="487"/>
      <c r="D662" s="1283"/>
      <c r="E662" s="1283"/>
      <c r="F662" s="1283"/>
      <c r="I662" s="490"/>
    </row>
    <row r="663" spans="1:9" ht="14.25" customHeight="1">
      <c r="A663" s="483"/>
      <c r="B663" s="484"/>
      <c r="C663" s="487"/>
      <c r="F663" s="386"/>
      <c r="I663" s="490"/>
    </row>
    <row r="664" spans="1:9" ht="12.75" customHeight="1">
      <c r="A664" s="483"/>
      <c r="B664" s="485" t="s">
        <v>2740</v>
      </c>
      <c r="C664" s="487"/>
      <c r="D664" s="1283" t="s">
        <v>1283</v>
      </c>
      <c r="E664" s="1283"/>
      <c r="F664" s="1283"/>
      <c r="I664" s="490"/>
    </row>
    <row r="665" spans="1:9" ht="12.9">
      <c r="A665" s="483"/>
      <c r="B665" s="484"/>
      <c r="C665" s="487"/>
      <c r="D665" s="1283"/>
      <c r="E665" s="1283"/>
      <c r="F665" s="1283"/>
      <c r="I665" s="490"/>
    </row>
    <row r="666" spans="1:9" ht="12.9">
      <c r="A666" s="484"/>
      <c r="B666" s="484"/>
      <c r="C666" s="487"/>
      <c r="D666" s="1283"/>
      <c r="E666" s="1283"/>
      <c r="F666" s="1283"/>
      <c r="I666" s="490"/>
    </row>
    <row r="667" spans="1:9" ht="12.9">
      <c r="A667" s="484"/>
      <c r="B667" s="484"/>
      <c r="C667" s="487"/>
      <c r="D667" s="1283"/>
      <c r="E667" s="1283"/>
      <c r="F667" s="1283"/>
      <c r="I667" s="490"/>
    </row>
    <row r="668" spans="1:9" ht="12.9">
      <c r="A668" s="484"/>
      <c r="B668" s="484"/>
      <c r="C668" s="487"/>
      <c r="D668" s="445"/>
      <c r="E668" s="445"/>
      <c r="F668" s="445"/>
      <c r="I668" s="490"/>
    </row>
    <row r="669" spans="1:9" ht="12.75" customHeight="1">
      <c r="A669" s="483"/>
      <c r="B669" s="485" t="s">
        <v>2740</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2.9">
      <c r="A685" s="484"/>
      <c r="B685" s="485" t="s">
        <v>2739</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ht="12.9">
      <c r="A689" s="483"/>
      <c r="B689" s="483"/>
      <c r="C689" s="483"/>
      <c r="D689" s="502"/>
      <c r="E689" s="446"/>
      <c r="H689" s="501"/>
      <c r="I689" s="483"/>
      <c r="J689" s="501"/>
      <c r="K689" s="501"/>
    </row>
    <row r="690" spans="1:11" ht="12.9">
      <c r="A690" s="484"/>
      <c r="B690" s="485" t="s">
        <v>2740</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2.9">
      <c r="A694" s="484"/>
      <c r="B694" s="485" t="s">
        <v>2739</v>
      </c>
      <c r="C694" s="483"/>
      <c r="D694" s="1284" t="s">
        <v>918</v>
      </c>
      <c r="E694" s="1284"/>
      <c r="F694" s="1284"/>
      <c r="H694" s="501"/>
      <c r="I694" s="483"/>
      <c r="J694" s="501"/>
      <c r="K694" s="501"/>
    </row>
    <row r="695" spans="1:11" ht="12.9">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2.9">
      <c r="A698" s="484"/>
      <c r="B698" s="485" t="s">
        <v>2740</v>
      </c>
      <c r="C698" s="483"/>
      <c r="D698" s="1284" t="s">
        <v>2469</v>
      </c>
      <c r="E698" s="1284"/>
      <c r="F698" s="1284"/>
      <c r="H698" s="501"/>
      <c r="I698" s="483"/>
      <c r="J698" s="501"/>
      <c r="K698" s="501"/>
    </row>
    <row r="699" spans="1:11" ht="12.9">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2.9">
      <c r="A702" s="484"/>
      <c r="B702" s="485" t="s">
        <v>2739</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2739</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2.9">
      <c r="A712" s="484"/>
      <c r="B712" s="485" t="s">
        <v>2740</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2740</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2740</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2740</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2.9">
      <c r="A738" s="484"/>
      <c r="B738" s="485" t="s">
        <v>2740</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2.9">
      <c r="A744" s="484"/>
      <c r="B744" s="485" t="s">
        <v>2739</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2.9">
      <c r="A758" s="484"/>
      <c r="B758" s="485" t="s">
        <v>2739</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2.9">
      <c r="A765" s="503"/>
      <c r="B765" s="485" t="s">
        <v>2740</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2.9">
      <c r="A770" s="484"/>
      <c r="B770" s="485" t="s">
        <v>2739</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2.9">
      <c r="A774" s="484"/>
      <c r="B774" s="485" t="s">
        <v>2740</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2740</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2739</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2740</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2.9">
      <c r="A794" s="175"/>
      <c r="B794" s="485" t="s">
        <v>2740</v>
      </c>
      <c r="C794" s="989"/>
      <c r="D794" s="1316" t="s">
        <v>1759</v>
      </c>
      <c r="E794" s="1316"/>
      <c r="F794" s="1316"/>
      <c r="G794" s="988"/>
      <c r="I794" s="483"/>
    </row>
    <row r="795" spans="1:9" ht="12.9">
      <c r="A795" s="175"/>
      <c r="B795" s="175"/>
      <c r="C795" s="989"/>
      <c r="D795" s="1316"/>
      <c r="E795" s="1316"/>
      <c r="F795" s="1316"/>
      <c r="G795" s="988"/>
      <c r="I795" s="490"/>
    </row>
    <row r="796" spans="1:9" ht="12.9">
      <c r="A796" s="175"/>
      <c r="B796" s="175"/>
      <c r="C796" s="989"/>
      <c r="D796" s="1316"/>
      <c r="E796" s="1316"/>
      <c r="F796" s="1316"/>
      <c r="G796" s="988"/>
      <c r="I796" s="490"/>
    </row>
    <row r="797" spans="1:9" ht="12.9">
      <c r="A797" s="175"/>
      <c r="B797" s="175"/>
      <c r="C797" s="989"/>
      <c r="D797" s="118"/>
      <c r="E797" s="3"/>
      <c r="F797" s="3"/>
      <c r="G797" s="988"/>
      <c r="I797" s="490"/>
    </row>
    <row r="798" spans="1:9" ht="12.9">
      <c r="A798" s="175"/>
      <c r="B798" s="485" t="s">
        <v>2740</v>
      </c>
      <c r="C798" s="989"/>
      <c r="D798" s="1316" t="s">
        <v>1760</v>
      </c>
      <c r="E798" s="1316"/>
      <c r="F798" s="1316"/>
      <c r="G798" s="988"/>
      <c r="I798" s="483"/>
    </row>
    <row r="799" spans="1:9" ht="12.9">
      <c r="A799" s="175"/>
      <c r="B799" s="175"/>
      <c r="C799" s="989"/>
      <c r="D799" s="1316"/>
      <c r="E799" s="1316"/>
      <c r="F799" s="1316"/>
      <c r="G799" s="988"/>
      <c r="I799" s="490"/>
    </row>
    <row r="800" spans="1:9" ht="12.9">
      <c r="A800" s="175"/>
      <c r="B800" s="175"/>
      <c r="C800" s="989"/>
      <c r="D800" s="1316"/>
      <c r="E800" s="1316"/>
      <c r="F800" s="1316"/>
      <c r="G800" s="988"/>
      <c r="I800" s="490"/>
    </row>
    <row r="801" spans="1:9" ht="12.9">
      <c r="A801" s="175"/>
      <c r="B801" s="175"/>
      <c r="C801" s="989"/>
      <c r="D801" s="1316"/>
      <c r="E801" s="1316"/>
      <c r="F801" s="1316"/>
      <c r="G801" s="988"/>
      <c r="I801" s="490"/>
    </row>
    <row r="802" spans="1:9" ht="12.9">
      <c r="A802" s="175"/>
      <c r="B802" s="175"/>
      <c r="C802" s="989"/>
      <c r="D802" s="1316"/>
      <c r="E802" s="1316"/>
      <c r="F802" s="1316"/>
      <c r="G802" s="988"/>
      <c r="I802" s="490"/>
    </row>
    <row r="803" spans="1:9" ht="12.9">
      <c r="A803" s="175"/>
      <c r="B803" s="175"/>
      <c r="C803" s="989"/>
      <c r="D803" s="1316"/>
      <c r="E803" s="1316"/>
      <c r="F803" s="1316"/>
      <c r="G803" s="988"/>
      <c r="I803" s="490"/>
    </row>
    <row r="804" spans="1:9" ht="12.9">
      <c r="A804" s="175"/>
      <c r="B804" s="175"/>
      <c r="C804" s="989"/>
      <c r="D804" s="1316" t="s">
        <v>1803</v>
      </c>
      <c r="E804" s="1316"/>
      <c r="F804" s="1316"/>
      <c r="G804" s="988"/>
      <c r="I804" s="490"/>
    </row>
    <row r="805" spans="1:9" ht="12.9">
      <c r="A805" s="175"/>
      <c r="B805" s="175"/>
      <c r="C805" s="989"/>
      <c r="D805" s="1316"/>
      <c r="E805" s="1316"/>
      <c r="F805" s="1316"/>
      <c r="G805" s="988"/>
      <c r="I805" s="490"/>
    </row>
    <row r="806" spans="1:9" ht="12.9">
      <c r="A806" s="175"/>
      <c r="B806" s="175"/>
      <c r="C806" s="989"/>
      <c r="D806" s="1316"/>
      <c r="E806" s="1316"/>
      <c r="F806" s="1316"/>
      <c r="G806" s="988"/>
      <c r="I806" s="490"/>
    </row>
    <row r="807" spans="1:9" ht="12.9">
      <c r="A807" s="175"/>
      <c r="B807" s="354"/>
      <c r="C807" s="989"/>
      <c r="D807" s="990"/>
      <c r="E807" s="990"/>
      <c r="F807" s="990"/>
      <c r="G807" s="988"/>
      <c r="I807" s="490"/>
    </row>
    <row r="808" spans="1:9" ht="12.9">
      <c r="A808" s="175"/>
      <c r="B808" s="485" t="s">
        <v>2740</v>
      </c>
      <c r="C808" s="989"/>
      <c r="D808" s="1316" t="s">
        <v>1761</v>
      </c>
      <c r="E808" s="1316"/>
      <c r="F808" s="1316"/>
      <c r="G808" s="988"/>
      <c r="I808" s="483"/>
    </row>
    <row r="809" spans="1:9" ht="12.9">
      <c r="A809" s="175"/>
      <c r="B809" s="175"/>
      <c r="C809" s="989"/>
      <c r="D809" s="1316"/>
      <c r="E809" s="1316"/>
      <c r="F809" s="1316"/>
      <c r="G809" s="988"/>
      <c r="I809" s="490"/>
    </row>
    <row r="810" spans="1:9" ht="12.9">
      <c r="A810" s="175"/>
      <c r="B810" s="175"/>
      <c r="C810" s="989"/>
      <c r="D810" s="1316"/>
      <c r="E810" s="1316"/>
      <c r="F810" s="1316"/>
      <c r="G810" s="988"/>
      <c r="I810" s="490"/>
    </row>
    <row r="811" spans="1:9" ht="12.9">
      <c r="A811" s="175"/>
      <c r="B811" s="175"/>
      <c r="C811" s="989"/>
      <c r="D811" s="1316"/>
      <c r="E811" s="1316"/>
      <c r="F811" s="1316"/>
      <c r="G811" s="988"/>
      <c r="I811" s="490"/>
    </row>
    <row r="812" spans="1:9" ht="12.9">
      <c r="A812" s="175"/>
      <c r="B812" s="175"/>
      <c r="C812" s="989"/>
      <c r="D812" s="1316"/>
      <c r="E812" s="1316"/>
      <c r="F812" s="1316"/>
      <c r="G812" s="988"/>
      <c r="I812" s="490"/>
    </row>
    <row r="813" spans="1:9" ht="12.9">
      <c r="A813" s="175"/>
      <c r="B813" s="175"/>
      <c r="C813" s="989"/>
      <c r="D813" s="1316"/>
      <c r="E813" s="1316"/>
      <c r="F813" s="1316"/>
      <c r="G813" s="988"/>
      <c r="I813" s="490"/>
    </row>
    <row r="814" spans="1:9" ht="12.9">
      <c r="A814" s="175"/>
      <c r="B814" s="175"/>
      <c r="C814" s="989"/>
      <c r="D814" s="982"/>
      <c r="E814" s="982"/>
      <c r="F814" s="982"/>
      <c r="G814" s="988"/>
      <c r="I814" s="490"/>
    </row>
    <row r="815" spans="1:9" ht="12.9">
      <c r="A815" s="175"/>
      <c r="B815" s="485" t="s">
        <v>2740</v>
      </c>
      <c r="C815" s="989"/>
      <c r="D815" s="1316" t="s">
        <v>1762</v>
      </c>
      <c r="E815" s="1316"/>
      <c r="F815" s="1316"/>
      <c r="G815" s="988"/>
      <c r="I815" s="483"/>
    </row>
    <row r="816" spans="1:9" ht="12.9">
      <c r="A816" s="175"/>
      <c r="B816" s="175"/>
      <c r="C816" s="989"/>
      <c r="D816" s="1316"/>
      <c r="E816" s="1316"/>
      <c r="F816" s="1316"/>
      <c r="G816" s="988"/>
      <c r="I816" s="490"/>
    </row>
    <row r="817" spans="1:9" ht="12.9">
      <c r="A817" s="175"/>
      <c r="B817" s="175"/>
      <c r="C817" s="989"/>
      <c r="D817" s="1316"/>
      <c r="E817" s="1316"/>
      <c r="F817" s="1316"/>
      <c r="G817" s="988"/>
      <c r="I817" s="490"/>
    </row>
    <row r="818" spans="1:9" ht="12.9">
      <c r="A818" s="175"/>
      <c r="B818" s="175"/>
      <c r="C818" s="989"/>
      <c r="D818" s="1316"/>
      <c r="E818" s="1316"/>
      <c r="F818" s="1316"/>
      <c r="G818" s="988"/>
      <c r="I818" s="490"/>
    </row>
    <row r="819" spans="1:9" ht="12.9">
      <c r="A819" s="175"/>
      <c r="B819" s="175"/>
      <c r="C819" s="989"/>
      <c r="D819" s="1316"/>
      <c r="E819" s="1316"/>
      <c r="F819" s="1316"/>
      <c r="G819" s="988"/>
      <c r="I819" s="490"/>
    </row>
    <row r="820" spans="1:9" ht="12.9">
      <c r="A820" s="175"/>
      <c r="B820" s="175"/>
      <c r="C820" s="989"/>
      <c r="D820" s="1316"/>
      <c r="E820" s="1316"/>
      <c r="F820" s="1316"/>
      <c r="G820" s="988"/>
      <c r="I820" s="490"/>
    </row>
    <row r="821" spans="1:9" ht="12.9">
      <c r="A821" s="175"/>
      <c r="B821" s="175"/>
      <c r="C821" s="989"/>
      <c r="D821" s="982"/>
      <c r="E821" s="982"/>
      <c r="F821" s="982"/>
      <c r="G821" s="988"/>
      <c r="I821" s="490"/>
    </row>
    <row r="822" spans="1:9" ht="12.9">
      <c r="A822" s="175"/>
      <c r="B822" s="485" t="s">
        <v>2740</v>
      </c>
      <c r="C822" s="989"/>
      <c r="D822" s="1288" t="s">
        <v>1763</v>
      </c>
      <c r="E822" s="1288"/>
      <c r="F822" s="1288"/>
      <c r="G822" s="988"/>
      <c r="I822" s="483"/>
    </row>
    <row r="823" spans="1:9" ht="12.9">
      <c r="A823" s="175"/>
      <c r="B823" s="175"/>
      <c r="C823" s="989"/>
      <c r="D823" s="1288"/>
      <c r="E823" s="1288"/>
      <c r="F823" s="1288"/>
      <c r="G823" s="988"/>
      <c r="I823" s="490"/>
    </row>
    <row r="824" spans="1:9">
      <c r="A824" s="13"/>
      <c r="B824" s="13"/>
      <c r="C824" s="989"/>
      <c r="D824" s="1288"/>
      <c r="E824" s="1288"/>
      <c r="F824" s="1288"/>
      <c r="G824" s="988"/>
      <c r="I824" s="490"/>
    </row>
    <row r="825" spans="1:9" ht="12.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2739</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2741</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2740</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2740</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2740</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2739</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2739</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2740</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2740</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2740</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2739</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2739</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2739</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2740</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2740</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2740</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2740</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2740</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2739</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2740</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2740</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2740</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2740</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2739</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2739</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2740</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2740</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2740</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2740</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2739</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2739</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2740</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2740</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2740</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2740</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2739</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2740</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2740</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2740</v>
      </c>
      <c r="C1062" s="402"/>
      <c r="D1062" s="402" t="s">
        <v>1813</v>
      </c>
      <c r="I1062" s="490"/>
    </row>
    <row r="1063" spans="1:9">
      <c r="A1063" s="402"/>
      <c r="B1063" s="402"/>
      <c r="C1063" s="402"/>
      <c r="I1063" s="490"/>
    </row>
    <row r="1064" spans="1:9">
      <c r="A1064" s="402"/>
      <c r="B1064" s="485" t="s">
        <v>2739</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2739</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2740</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2740</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2740</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2740</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2740</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2740</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2740</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2740</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2739</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2740</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79" workbookViewId="0">
      <selection activeCell="AC744" sqref="AC744:AG744"/>
    </sheetView>
  </sheetViews>
  <sheetFormatPr defaultColWidth="0" defaultRowHeight="0" customHeight="1" zeroHeight="1"/>
  <cols>
    <col min="1" max="46" width="2.69140625" customWidth="1"/>
    <col min="47" max="47" width="2.69140625" hidden="1" customWidth="1"/>
    <col min="48" max="50" width="3.69140625" hidden="1" customWidth="1"/>
    <col min="51" max="51" width="4.69140625" hidden="1" customWidth="1"/>
    <col min="52" max="52" width="8.3828125" hidden="1" customWidth="1"/>
    <col min="53" max="53" width="7.3828125" hidden="1" customWidth="1"/>
    <col min="54" max="55" width="3.69140625" hidden="1" customWidth="1"/>
    <col min="56" max="56" width="8.3046875" hidden="1" customWidth="1"/>
    <col min="57" max="57" width="8.3828125" hidden="1" customWidth="1"/>
    <col min="58" max="58" width="8.15234375" hidden="1" customWidth="1"/>
    <col min="59" max="59" width="11.15234375" hidden="1" customWidth="1"/>
    <col min="60" max="60" width="3.69140625" hidden="1" customWidth="1"/>
    <col min="61" max="61" width="8.3046875" hidden="1" customWidth="1"/>
    <col min="62" max="16384" width="3.69140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Bay Area ((Alameda, Contra Costa, Marin, San Francisco, San Mateo, Santa Clara, and Santa Cruz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15</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2510</v>
      </c>
      <c r="BE8" s="1249">
        <f>SUMIF($AC$718:$AC$752,"&lt;=35%",$G$718:G$752)-SUM($BE$5:BE7)</f>
        <v>0</v>
      </c>
    </row>
    <row r="9" spans="1:58" ht="13" customHeight="1">
      <c r="A9" s="1836" t="s">
        <v>2077</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2502</v>
      </c>
      <c r="BE9" s="1249">
        <f>SUMIF($AC$718:$AC$752,"&lt;=40%",$G$718:G$752)-SUM($BE$5:BE8)</f>
        <v>0</v>
      </c>
    </row>
    <row r="10" spans="1:58" ht="13" customHeight="1">
      <c r="A10" s="1836" t="s">
        <v>2459</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2511</v>
      </c>
      <c r="BE10" s="1249">
        <f>SUMIF($AC$718:$AC$752,"&lt;=45%",$G$718:G$752)-SUM($BE$5:BE9)</f>
        <v>0</v>
      </c>
    </row>
    <row r="11" spans="1:58" ht="13" customHeight="1">
      <c r="A11" s="1836" t="s">
        <v>2605</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2503</v>
      </c>
      <c r="BE11" s="1249">
        <f>SUMIF($AC$718:$AC$752,"&lt;=50%",$G$718:G$752)-SUM($BE$5:BE10)</f>
        <v>36</v>
      </c>
    </row>
    <row r="12" spans="1:58" ht="13" customHeight="1">
      <c r="A12" s="1837" t="s">
        <v>2611</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2512</v>
      </c>
      <c r="BE12" s="1249">
        <f>SUMIF($AC$718:$AC$752,"&lt;=55%",$G$718:G$752)-SUM($BE$5:BE11)</f>
        <v>0</v>
      </c>
    </row>
    <row r="13" spans="1:58" ht="13"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41</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39</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574" t="s">
        <v>2613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657</v>
      </c>
      <c r="BE16" s="1249" t="str">
        <f>Application!H18</f>
        <v>Tamien Station Phase II</v>
      </c>
    </row>
    <row r="17" spans="1:58" ht="13" customHeight="1">
      <c r="BD17" s="1247" t="s">
        <v>2519</v>
      </c>
      <c r="BE17" s="1249">
        <f>Application!AA934</f>
        <v>0</v>
      </c>
    </row>
    <row r="18" spans="1:58" ht="13" customHeight="1">
      <c r="A18" s="57" t="s">
        <v>101</v>
      </c>
      <c r="C18" s="4"/>
      <c r="D18" s="4"/>
      <c r="E18" s="4"/>
      <c r="F18" s="4"/>
      <c r="G18" s="4"/>
      <c r="H18" s="1522"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2520</v>
      </c>
      <c r="BE18" s="1249">
        <f>'CalHFA Addendum'!N11</f>
        <v>0</v>
      </c>
    </row>
    <row r="19" spans="1:58" ht="13" customHeight="1">
      <c r="BD19" s="1247" t="s">
        <v>2521</v>
      </c>
      <c r="BE19" s="1249">
        <f>Application!M26</f>
        <v>5334311</v>
      </c>
    </row>
    <row r="20" spans="1:58" ht="13" customHeight="1">
      <c r="A20" s="1838" t="s">
        <v>874</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2522</v>
      </c>
      <c r="BE20" s="1249">
        <f>Application!M27</f>
        <v>26399486</v>
      </c>
    </row>
    <row r="21" spans="1:58" ht="13"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28311000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112730000</v>
      </c>
      <c r="BF22" s="3" t="s">
        <v>2596</v>
      </c>
    </row>
    <row r="23" spans="1:58" ht="13"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109316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3" customHeight="1">
      <c r="A26" s="4"/>
      <c r="C26" s="4"/>
      <c r="D26" s="4"/>
      <c r="E26" s="4"/>
      <c r="F26" s="4"/>
      <c r="G26" s="4"/>
      <c r="H26" s="4"/>
      <c r="I26" s="4"/>
      <c r="J26" s="4"/>
      <c r="K26" s="4"/>
      <c r="L26" s="4"/>
      <c r="M26" s="1840">
        <f>'Basis &amp; Credits'!AB56</f>
        <v>5334311</v>
      </c>
      <c r="N26" s="1840"/>
      <c r="O26" s="1840"/>
      <c r="P26" s="1840"/>
      <c r="Q26" s="1840"/>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9">
        <f>'Basis &amp; Credits'!AB78</f>
        <v>26399486</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4" t="s">
        <v>2148</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2528</v>
      </c>
      <c r="BE29" s="1249" t="b">
        <f>Application!M358="Yes"</f>
        <v>0</v>
      </c>
    </row>
    <row r="30" spans="1:58" ht="13"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3"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1279</v>
      </c>
      <c r="C33" s="519"/>
      <c r="D33" s="519"/>
      <c r="E33" s="519"/>
      <c r="F33" s="519"/>
      <c r="G33" s="519"/>
      <c r="H33" s="519"/>
      <c r="I33" s="519"/>
      <c r="J33" s="519"/>
      <c r="K33" s="519"/>
      <c r="L33" s="519"/>
      <c r="M33" s="519"/>
      <c r="N33" s="519"/>
      <c r="O33" s="1415" t="s">
        <v>546</v>
      </c>
      <c r="P33" s="1415"/>
      <c r="Q33" s="1839" t="s">
        <v>2149</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2597</v>
      </c>
      <c r="BE33" s="1249" t="str">
        <f>Application!D220</f>
        <v>South and West Bay Region: San Mateo and Santa Clara Counties</v>
      </c>
    </row>
    <row r="34" spans="1:57" ht="13" customHeight="1">
      <c r="A34" s="1534" t="s">
        <v>2150</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2531</v>
      </c>
      <c r="BE34" s="1249" t="str">
        <f>Application!I185</f>
        <v>1221 Lick Ave. &amp; 1184 Lelong Street</v>
      </c>
    </row>
    <row r="35" spans="1:57" ht="13"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2532</v>
      </c>
      <c r="BE35" s="1249" t="str">
        <f>IF(Application!E187="","",Application!E187)</f>
        <v/>
      </c>
    </row>
    <row r="36" spans="1:57" ht="13"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2533</v>
      </c>
      <c r="BE36" s="1249" t="str">
        <f>Application!I189</f>
        <v>San Jose</v>
      </c>
    </row>
    <row r="37" spans="1:57" ht="13"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2534</v>
      </c>
      <c r="BE37" s="1249" t="str">
        <f>Application!T189</f>
        <v>Santa Clara</v>
      </c>
    </row>
    <row r="38" spans="1:57" ht="13" customHeight="1">
      <c r="A38" s="3"/>
      <c r="AZ38" s="20"/>
      <c r="BD38" s="1248" t="s">
        <v>2535</v>
      </c>
      <c r="BE38" s="1249">
        <f>Application!I190</f>
        <v>95110</v>
      </c>
    </row>
    <row r="39" spans="1:57" ht="13"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132</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131</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0.56793893129770978</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0.55724930891593571</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854015.15151515149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Core RUP Tamien II, LLC (to be formed)</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Chris Neale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Core Affordable Housing LLC</v>
      </c>
    </row>
    <row r="51" spans="1:57" ht="13"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CVCAH Tamien II LLC (to be formed)</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Chris Alley</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Central Valley Coalition for Affordable Housing</v>
      </c>
    </row>
    <row r="54" spans="1:57" ht="13"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Core Affordable Housing, LLC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470 South Market Street</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Jose, CA 95113</v>
      </c>
    </row>
    <row r="60" spans="1:57" ht="13"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Vince Cantore</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vcantore@thecorecompanies.com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0.88</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544" t="s">
        <v>2157</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2594</v>
      </c>
      <c r="BE65" s="1249" t="str">
        <f>Z205</f>
        <v>$500M</v>
      </c>
    </row>
    <row r="66" spans="1:57" ht="13"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2559</v>
      </c>
      <c r="BE66" s="1249" t="b">
        <f>Application!Z205="State Farmworker Credit"</f>
        <v>0</v>
      </c>
    </row>
    <row r="67" spans="1:57" ht="13"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2560</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4" t="s">
        <v>2158</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2562</v>
      </c>
      <c r="BE69" s="1249" t="str">
        <f>Application!W700</f>
        <v>CMFA</v>
      </c>
    </row>
    <row r="70" spans="1:57" ht="13"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2563</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534" t="s">
        <v>2159</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2565</v>
      </c>
      <c r="BE72" s="1249">
        <f>'Points System'!AF805</f>
        <v>10</v>
      </c>
    </row>
    <row r="73" spans="1:57" ht="13"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3" t="s">
        <v>2160</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2568</v>
      </c>
      <c r="BE75" s="1249">
        <f>'Points System'!AF808</f>
        <v>10</v>
      </c>
    </row>
    <row r="76" spans="1:57" ht="13"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2569</v>
      </c>
      <c r="BE76" s="1249">
        <f>'Points System'!AF811</f>
        <v>10</v>
      </c>
    </row>
    <row r="77" spans="1:57" ht="13"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4" t="s">
        <v>2161</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2572</v>
      </c>
      <c r="BE79" s="1249">
        <f>'Points System'!AF815</f>
        <v>10</v>
      </c>
    </row>
    <row r="80" spans="1:57" ht="13"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2573</v>
      </c>
      <c r="BE80" s="1249">
        <f>'Points System'!AF817</f>
        <v>10</v>
      </c>
    </row>
    <row r="81" spans="1:57" ht="13"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1.271301139365989</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San Jose - Dept. of Housing</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Erik Solivan, Director of Housing</v>
      </c>
    </row>
    <row r="86" spans="1:57" ht="13"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200 E. Santa Clara St., 12th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Jose</v>
      </c>
    </row>
    <row r="89" spans="1:57" ht="13"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2582</v>
      </c>
      <c r="BE89" s="1249">
        <f>Application!O158</f>
        <v>95113</v>
      </c>
    </row>
    <row r="90" spans="1:57" ht="13"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2583</v>
      </c>
      <c r="BE90" s="1249" t="str">
        <f>Application!H16</f>
        <v>CVCAH Tamien II LLC (to be formed)</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470 S. Market Street</v>
      </c>
    </row>
    <row r="92" spans="1:57" ht="13" customHeight="1">
      <c r="A92" s="1543" t="s">
        <v>2165</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2585</v>
      </c>
      <c r="BE92" s="1249" t="str">
        <f>Application!M234</f>
        <v>San Jose</v>
      </c>
    </row>
    <row r="93" spans="1:57" ht="13"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2586</v>
      </c>
      <c r="BE93" s="1249" t="str">
        <f>Application!W234</f>
        <v>CA</v>
      </c>
    </row>
    <row r="94" spans="1:57" ht="13"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2587</v>
      </c>
      <c r="BE94" s="1249">
        <f>Application!AC234</f>
        <v>95113</v>
      </c>
    </row>
    <row r="95" spans="1:57" ht="13"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2588</v>
      </c>
      <c r="BE95" s="1249" t="str">
        <f>Application!M235</f>
        <v>Vince Cantore</v>
      </c>
    </row>
    <row r="96" spans="1:57" ht="13"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2589</v>
      </c>
      <c r="BE96" s="1249" t="str">
        <f>Application!M237</f>
        <v>vcantore@thecorecompanies.com</v>
      </c>
    </row>
    <row r="97" spans="1:57" ht="13"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2590</v>
      </c>
      <c r="BE97" s="1249" t="str">
        <f>Application!M248</f>
        <v>chris@thecorecompanies.com</v>
      </c>
    </row>
    <row r="98" spans="1:57" ht="13"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2591</v>
      </c>
      <c r="BE98" s="1249" t="str">
        <f>Application!M256</f>
        <v>chris@centralvalleycoalition.com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2593</v>
      </c>
      <c r="BE100" s="1249" t="str">
        <f>Application!L279</f>
        <v>vcantore@thecorecompanies.com</v>
      </c>
    </row>
    <row r="101" spans="1:57" ht="13"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2598</v>
      </c>
      <c r="BE101">
        <f>'Sources and Uses Budget'!C105</f>
        <v>112730000</v>
      </c>
    </row>
    <row r="102" spans="1:57" ht="13"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2599</v>
      </c>
      <c r="BE102" t="b">
        <f>T197="Yes"</f>
        <v>0</v>
      </c>
    </row>
    <row r="103" spans="1:57" ht="13"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7"/>
      <c r="H113" s="1547"/>
      <c r="I113" s="3" t="s">
        <v>182</v>
      </c>
      <c r="L113" s="1547"/>
      <c r="M113" s="1547"/>
      <c r="N113" s="1547"/>
      <c r="O113" s="1547"/>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8"/>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7" t="s">
        <v>2732</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3" t="s">
        <v>470</v>
      </c>
      <c r="CV122" s="1694"/>
      <c r="CW122" s="14"/>
      <c r="CX122" s="14" t="s">
        <v>635</v>
      </c>
      <c r="CY122" s="14"/>
      <c r="CZ122" s="14"/>
      <c r="DA122" s="14"/>
      <c r="DB122" s="14"/>
      <c r="DC122" s="14"/>
      <c r="DD122" s="14"/>
      <c r="DE122" s="14"/>
      <c r="DF122" s="14"/>
      <c r="DG122" s="1690" t="str">
        <f>T189</f>
        <v>Santa Clara</v>
      </c>
      <c r="DH122" s="1691"/>
      <c r="DI122" s="1691"/>
      <c r="DJ122" s="1691"/>
      <c r="DK122" s="1691"/>
      <c r="DL122" s="1691"/>
      <c r="DM122" s="1692"/>
    </row>
    <row r="123" spans="1:117" ht="13" customHeight="1">
      <c r="A123" s="3"/>
      <c r="B123" s="3"/>
      <c r="T123" s="3"/>
      <c r="U123" s="3"/>
      <c r="V123" s="3"/>
      <c r="W123" s="3"/>
      <c r="X123" s="3"/>
      <c r="Y123" s="1547" t="s">
        <v>2733</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525"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471" t="s">
        <v>2616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5" t="s">
        <v>2618</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7">
        <v>95113</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2" t="s">
        <v>2619</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38" t="s">
        <v>2620</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5"/>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509"/>
      <c r="V176" s="1509"/>
      <c r="W176" s="1" t="s">
        <v>306</v>
      </c>
      <c r="X176" s="1567"/>
      <c r="Y176" s="156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5" t="s">
        <v>670</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566"/>
      <c r="AG178" s="1566"/>
      <c r="AH178" s="1" t="s">
        <v>306</v>
      </c>
      <c r="AI178" s="1446"/>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3" t="str">
        <f>H18</f>
        <v>Tamien Station Phase II</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1" t="s">
        <v>2734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522" t="s">
        <v>2618</v>
      </c>
      <c r="J189" s="1407"/>
      <c r="K189" s="1407"/>
      <c r="L189" s="1407"/>
      <c r="M189" s="1407"/>
      <c r="N189" s="1407"/>
      <c r="O189" s="1407"/>
      <c r="P189" s="1407"/>
      <c r="Q189" t="s">
        <v>583</v>
      </c>
      <c r="T189" s="1407" t="s">
        <v>192</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95110</v>
      </c>
      <c r="J190" s="1371"/>
      <c r="K190" s="1371"/>
      <c r="L190" s="1371"/>
      <c r="M190" s="1371"/>
      <c r="N190" s="1371"/>
      <c r="O190" t="s">
        <v>586</v>
      </c>
      <c r="T190" s="1555">
        <v>5031.13</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28" t="s">
        <v>2621</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560" t="s">
        <v>1938</v>
      </c>
      <c r="U193" s="1560"/>
      <c r="V193" s="1560"/>
      <c r="W193" s="1560"/>
      <c r="X193" s="1560"/>
      <c r="Y193" s="1560"/>
      <c r="Z193" s="1560"/>
      <c r="AA193" s="1560"/>
      <c r="AB193" s="1560"/>
      <c r="AC193" s="1560"/>
      <c r="AD193" s="1560"/>
      <c r="AE193" s="1560"/>
      <c r="AF193" s="1560"/>
      <c r="AG193" s="1560"/>
      <c r="AH193" s="1560"/>
      <c r="AI193" s="156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5" t="s">
        <v>670</v>
      </c>
      <c r="U195" s="1415"/>
      <c r="W195" t="s">
        <v>685</v>
      </c>
      <c r="AH195" s="1415">
        <v>18</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7" t="s">
        <v>546</v>
      </c>
      <c r="U196" s="1427"/>
      <c r="W196" t="s">
        <v>686</v>
      </c>
      <c r="AH196" s="1415">
        <v>28</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7" t="s">
        <v>670</v>
      </c>
      <c r="U197" s="1427"/>
      <c r="W197" t="s">
        <v>687</v>
      </c>
      <c r="AH197" s="1415">
        <v>15</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27"/>
      <c r="U198" s="1427"/>
      <c r="V198"/>
      <c r="X198" s="1534" t="s">
        <v>2514</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5" t="s">
        <v>670</v>
      </c>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3" t="s">
        <v>385</v>
      </c>
      <c r="E204" s="1483"/>
      <c r="F204" s="1483"/>
      <c r="G204" s="1483"/>
      <c r="H204" s="1483"/>
      <c r="I204" s="1483"/>
      <c r="J204" s="1483"/>
      <c r="K204" s="1483"/>
      <c r="L204" s="1483"/>
      <c r="M204" s="1483"/>
      <c r="P204" s="1550">
        <f>M26</f>
        <v>5334311</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36" t="s">
        <v>1248</v>
      </c>
      <c r="E205" s="1483"/>
      <c r="F205" s="1483"/>
      <c r="G205" s="1483"/>
      <c r="H205" s="1483"/>
      <c r="I205" s="1483"/>
      <c r="J205" s="1483"/>
      <c r="K205" s="1483"/>
      <c r="L205" s="1483"/>
      <c r="M205" s="1483"/>
      <c r="P205" s="1551">
        <f>M27</f>
        <v>26399486</v>
      </c>
      <c r="Q205" s="1551"/>
      <c r="R205" s="1551"/>
      <c r="S205" s="1551"/>
      <c r="T205" s="1551"/>
      <c r="U205" s="1551"/>
      <c r="V205" s="28"/>
      <c r="W205" s="3" t="s">
        <v>1721</v>
      </c>
      <c r="Z205" s="1532" t="s">
        <v>2220</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25" t="s">
        <v>2622</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5"/>
      <c r="R212" s="1415"/>
      <c r="T212" s="1564">
        <f>IFERROR(Q212/AG440,0)</f>
        <v>0</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525" t="s">
        <v>1027</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2466</v>
      </c>
      <c r="AD220" s="1535"/>
      <c r="AE220" s="1535"/>
      <c r="AF220" s="1535"/>
      <c r="AG220" s="1535"/>
      <c r="AH220" s="1535"/>
      <c r="AI220" s="1535"/>
      <c r="AJ220" s="1535"/>
      <c r="AK220" s="1535"/>
      <c r="AL220" s="1535"/>
      <c r="AM220" s="1535"/>
      <c r="AN220" s="1535"/>
      <c r="AO220" s="1535"/>
      <c r="AP220" s="1535"/>
      <c r="AQ220" s="1535"/>
      <c r="BA220" s="3"/>
      <c r="BC220" t="s">
        <v>300</v>
      </c>
    </row>
    <row r="221" spans="1:108" ht="13" customHeight="1">
      <c r="A221" s="2"/>
      <c r="B221" s="14"/>
      <c r="C221" s="2"/>
      <c r="BA221" s="3"/>
    </row>
    <row r="222" spans="1:108" ht="13"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3"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56" t="str">
        <f>H16</f>
        <v>CVCAH Tamien II LLC (to be formed)</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3" customHeight="1">
      <c r="D233" s="4" t="s">
        <v>85</v>
      </c>
      <c r="E233" s="4"/>
      <c r="F233" s="4"/>
      <c r="G233" s="4"/>
      <c r="H233" s="4"/>
      <c r="I233" s="4"/>
      <c r="J233" s="4"/>
      <c r="K233" s="4"/>
      <c r="M233" s="1525" t="s">
        <v>2623</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3" customHeight="1">
      <c r="D234" s="4" t="s">
        <v>581</v>
      </c>
      <c r="E234" s="4"/>
      <c r="M234" s="1525" t="s">
        <v>2618</v>
      </c>
      <c r="N234" s="1525"/>
      <c r="O234" s="1525"/>
      <c r="P234" s="1525"/>
      <c r="Q234" s="1525"/>
      <c r="R234" s="1525"/>
      <c r="S234" s="1525"/>
      <c r="T234" s="1525"/>
      <c r="V234" s="33" t="s">
        <v>86</v>
      </c>
      <c r="W234" s="1559" t="s">
        <v>2625</v>
      </c>
      <c r="X234" s="1471"/>
      <c r="Y234" s="4" t="s">
        <v>584</v>
      </c>
      <c r="AC234" s="1525">
        <v>95113</v>
      </c>
      <c r="AD234" s="1525"/>
      <c r="AE234" s="1525"/>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5" t="s">
        <v>2624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3" customHeight="1">
      <c r="D236" s="4" t="s">
        <v>88</v>
      </c>
      <c r="E236" s="4"/>
      <c r="F236" s="4"/>
      <c r="M236" s="1546" t="s">
        <v>2626</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3" customHeight="1">
      <c r="D237" s="4" t="s">
        <v>90</v>
      </c>
      <c r="E237" s="4"/>
      <c r="F237" s="4"/>
      <c r="M237" s="1538" t="s">
        <v>2627</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1" t="s">
        <v>2628</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3</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40" t="s">
        <v>2629</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2630</v>
      </c>
      <c r="AG243" s="1540"/>
      <c r="AH243" s="1540"/>
      <c r="AI243" s="1540"/>
      <c r="AJ243" s="1540"/>
      <c r="AK243" s="1540"/>
      <c r="AU243" s="4"/>
      <c r="AV243" s="4"/>
      <c r="AW243" s="4"/>
      <c r="AX243" s="4"/>
      <c r="AY243" s="4"/>
      <c r="BG243">
        <f>SUM(BG226:BG241)</f>
        <v>3</v>
      </c>
    </row>
    <row r="244" spans="1:67" ht="13" customHeight="1">
      <c r="A244" s="19"/>
      <c r="B244" s="4"/>
      <c r="C244" s="4"/>
      <c r="D244" s="4" t="s">
        <v>85</v>
      </c>
      <c r="E244" s="4"/>
      <c r="F244" s="4"/>
      <c r="G244" s="4"/>
      <c r="H244" s="4"/>
      <c r="I244" s="4"/>
      <c r="J244" s="4"/>
      <c r="K244" s="4"/>
      <c r="L244" s="4"/>
      <c r="M244" s="1525" t="s">
        <v>2623</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5" t="s">
        <v>2618</v>
      </c>
      <c r="N245" s="1525"/>
      <c r="O245" s="1525"/>
      <c r="P245" s="1525"/>
      <c r="Q245" s="1525"/>
      <c r="R245" s="1525"/>
      <c r="S245" s="1525"/>
      <c r="T245" s="1525"/>
      <c r="V245" s="33" t="s">
        <v>86</v>
      </c>
      <c r="W245" s="1559" t="s">
        <v>2625</v>
      </c>
      <c r="X245" s="1471"/>
      <c r="Y245" s="4" t="s">
        <v>584</v>
      </c>
      <c r="AC245" s="1525">
        <v>95113</v>
      </c>
      <c r="AD245" s="1525"/>
      <c r="AE245" s="1525"/>
      <c r="AF245" s="3" t="s">
        <v>1181</v>
      </c>
      <c r="AU245" s="4"/>
      <c r="AV245" s="4"/>
      <c r="AW245" s="4"/>
      <c r="AX245" s="4"/>
      <c r="AY245" s="4"/>
      <c r="BB245" s="4" t="s">
        <v>280</v>
      </c>
      <c r="BG245">
        <v>2</v>
      </c>
      <c r="BH245" t="s">
        <v>567</v>
      </c>
      <c r="BO245" s="239" t="str">
        <f>VLOOKUP(BG243,BG244:BH247,2,FALSE)</f>
        <v>For Profit</v>
      </c>
    </row>
    <row r="246" spans="1:67" ht="13" customHeight="1">
      <c r="A246" s="19"/>
      <c r="B246" s="4"/>
      <c r="C246" s="4"/>
      <c r="D246" s="4" t="s">
        <v>87</v>
      </c>
      <c r="E246" s="4"/>
      <c r="F246" s="4"/>
      <c r="G246" s="4"/>
      <c r="H246" s="4"/>
      <c r="I246" s="4"/>
      <c r="J246" s="4"/>
      <c r="K246" s="4"/>
      <c r="L246" s="19"/>
      <c r="M246" s="1522" t="s">
        <v>2631</v>
      </c>
      <c r="N246" s="1525"/>
      <c r="O246" s="1525"/>
      <c r="P246" s="1525"/>
      <c r="Q246" s="1525"/>
      <c r="R246" s="1525"/>
      <c r="S246" s="1525"/>
      <c r="T246" s="1525"/>
      <c r="U246" s="1525"/>
      <c r="V246" s="1525"/>
      <c r="W246" s="1525"/>
      <c r="X246" s="1525"/>
      <c r="Y246" s="1525"/>
      <c r="Z246" s="1525"/>
      <c r="AA246" s="1525"/>
      <c r="AB246" s="1525"/>
      <c r="AC246" s="1525"/>
      <c r="AD246" s="1525"/>
      <c r="AE246" s="1525"/>
      <c r="AH246" s="1537">
        <v>5.1000000000000004E-3</v>
      </c>
      <c r="AI246" s="1537"/>
      <c r="AJ246" s="1537"/>
      <c r="AK246" s="153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46" t="s">
        <v>2635</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38" t="s">
        <v>2636</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1" t="s">
        <v>2637</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0" t="s">
        <v>2613</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2642</v>
      </c>
      <c r="AG251" s="1540"/>
      <c r="AH251" s="1540"/>
      <c r="AI251" s="1540"/>
      <c r="AJ251" s="1540"/>
      <c r="AK251" s="1540"/>
      <c r="AU251" s="4"/>
      <c r="AV251" s="4"/>
      <c r="AW251" s="4"/>
      <c r="AX251" s="4"/>
      <c r="AY251" s="4"/>
      <c r="BN251" s="34"/>
    </row>
    <row r="252" spans="1:67" ht="13" customHeight="1">
      <c r="A252" s="19"/>
      <c r="B252" s="4"/>
      <c r="C252" s="4"/>
      <c r="D252" s="4" t="s">
        <v>85</v>
      </c>
      <c r="E252" s="4"/>
      <c r="F252" s="4"/>
      <c r="G252" s="4"/>
      <c r="H252" s="4"/>
      <c r="I252" s="4"/>
      <c r="J252" s="4"/>
      <c r="K252" s="4"/>
      <c r="L252" s="4"/>
      <c r="M252" s="1525" t="s">
        <v>2634</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3" customHeight="1">
      <c r="A253" s="19"/>
      <c r="B253" s="4"/>
      <c r="C253" s="4"/>
      <c r="D253" s="4" t="s">
        <v>581</v>
      </c>
      <c r="E253" s="4"/>
      <c r="M253" s="1525" t="s">
        <v>55</v>
      </c>
      <c r="N253" s="1525"/>
      <c r="O253" s="1525"/>
      <c r="P253" s="1525"/>
      <c r="Q253" s="1525"/>
      <c r="R253" s="1525"/>
      <c r="S253" s="1525"/>
      <c r="T253" s="1525"/>
      <c r="V253" s="33" t="s">
        <v>86</v>
      </c>
      <c r="W253" s="1559" t="s">
        <v>2625</v>
      </c>
      <c r="X253" s="1471"/>
      <c r="Y253" s="4" t="s">
        <v>584</v>
      </c>
      <c r="AC253" s="1525">
        <v>95348</v>
      </c>
      <c r="AD253" s="1525"/>
      <c r="AE253" s="1525"/>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5" t="s">
        <v>2638</v>
      </c>
      <c r="N254" s="1525"/>
      <c r="O254" s="1525"/>
      <c r="P254" s="1525"/>
      <c r="Q254" s="1525"/>
      <c r="R254" s="1525"/>
      <c r="S254" s="1525"/>
      <c r="T254" s="1525"/>
      <c r="U254" s="1525"/>
      <c r="V254" s="1525"/>
      <c r="W254" s="1525"/>
      <c r="X254" s="1525"/>
      <c r="Y254" s="1525"/>
      <c r="Z254" s="1525"/>
      <c r="AA254" s="1525"/>
      <c r="AB254" s="1525"/>
      <c r="AC254" s="1525"/>
      <c r="AD254" s="1525"/>
      <c r="AE254" s="1525"/>
      <c r="AH254" s="1537">
        <v>4.8999999999999998E-3</v>
      </c>
      <c r="AI254" s="1537"/>
      <c r="AJ254" s="1537"/>
      <c r="AK254" s="1537"/>
      <c r="AL254" s="4"/>
      <c r="AM254" s="4"/>
      <c r="AN254" s="4"/>
      <c r="AO254" s="4"/>
      <c r="AP254" s="4"/>
      <c r="AQ254" s="4"/>
      <c r="AR254" s="4"/>
      <c r="AS254" s="4"/>
      <c r="AT254" s="4"/>
    </row>
    <row r="255" spans="1:67" ht="13" customHeight="1">
      <c r="A255" s="19"/>
      <c r="B255" s="4"/>
      <c r="C255" s="4"/>
      <c r="D255" s="4" t="s">
        <v>88</v>
      </c>
      <c r="E255" s="4"/>
      <c r="F255" s="4"/>
      <c r="M255" s="1487" t="s">
        <v>2639</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 customHeight="1">
      <c r="A256" s="19"/>
      <c r="B256" s="4"/>
      <c r="C256" s="4"/>
      <c r="D256" s="4" t="s">
        <v>90</v>
      </c>
      <c r="E256" s="4"/>
      <c r="F256" s="4"/>
      <c r="M256" s="1538" t="s">
        <v>2640</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2" t="s">
        <v>2641</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8" t="str">
        <f>IFERROR(BO245,"")</f>
        <v>For Profit</v>
      </c>
      <c r="U267" s="1568"/>
      <c r="V267" s="1568"/>
      <c r="W267" s="1568"/>
      <c r="X267" s="1568"/>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5" t="s">
        <v>173</v>
      </c>
      <c r="E270" s="1525"/>
      <c r="F270" s="1525"/>
      <c r="G270" s="1525"/>
      <c r="H270" s="1525"/>
      <c r="J270" t="s">
        <v>279</v>
      </c>
      <c r="X270" s="1506">
        <v>45981</v>
      </c>
      <c r="Y270" s="1506"/>
      <c r="Z270" s="1506"/>
      <c r="AA270" s="1506"/>
      <c r="AB270" s="1506"/>
      <c r="AC270" s="1506"/>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4" t="s">
        <v>2632</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2" t="s">
        <v>2623</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581</v>
      </c>
      <c r="E276" s="4"/>
      <c r="L276" s="1522" t="s">
        <v>2618</v>
      </c>
      <c r="M276" s="1525"/>
      <c r="N276" s="1525"/>
      <c r="O276" s="1525"/>
      <c r="P276" s="1525"/>
      <c r="Q276" s="1525"/>
      <c r="R276" s="1525"/>
      <c r="S276" s="1525"/>
      <c r="U276" s="33" t="s">
        <v>86</v>
      </c>
      <c r="V276" s="1559" t="s">
        <v>2625</v>
      </c>
      <c r="W276" s="1471"/>
      <c r="X276" s="4" t="s">
        <v>584</v>
      </c>
      <c r="AB276" s="1525">
        <v>95113</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2624</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487" t="s">
        <v>2626</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3" customHeight="1">
      <c r="D279" s="4" t="s">
        <v>90</v>
      </c>
      <c r="E279" s="4"/>
      <c r="F279" s="4"/>
      <c r="L279" s="1538" t="s">
        <v>2627</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3" customHeight="1">
      <c r="D280" s="3" t="s">
        <v>624</v>
      </c>
      <c r="E280" s="3"/>
      <c r="F280" s="3"/>
      <c r="G280" s="3"/>
      <c r="H280" s="3"/>
      <c r="I280" s="3"/>
      <c r="L280" s="1559" t="s">
        <v>2633</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3"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7" t="s">
        <v>2632</v>
      </c>
      <c r="I287" s="1407"/>
      <c r="J287" s="1407"/>
      <c r="K287" s="1407"/>
      <c r="L287" s="1407"/>
      <c r="M287" s="1407"/>
      <c r="N287" s="1407"/>
      <c r="O287" s="1407"/>
      <c r="P287" s="1407"/>
      <c r="Q287" s="1407"/>
      <c r="R287" s="1407"/>
      <c r="T287" s="3" t="s">
        <v>568</v>
      </c>
      <c r="V287" s="3"/>
      <c r="W287" s="3"/>
      <c r="X287" s="3"/>
      <c r="Y287" s="3"/>
      <c r="AA287" s="1407" t="s">
        <v>2645</v>
      </c>
      <c r="AB287" s="1407"/>
      <c r="AC287" s="1407"/>
      <c r="AD287" s="1407"/>
      <c r="AE287" s="1407"/>
      <c r="AF287" s="1407"/>
      <c r="AG287" s="1407"/>
      <c r="AH287" s="1407"/>
      <c r="AI287" s="1407"/>
      <c r="AJ287" s="1407"/>
      <c r="AK287" s="1407"/>
    </row>
    <row r="288" spans="1:51" ht="13" customHeight="1">
      <c r="B288" s="3" t="s">
        <v>472</v>
      </c>
      <c r="C288" s="3"/>
      <c r="D288" s="3"/>
      <c r="E288" s="3"/>
      <c r="F288" s="3"/>
      <c r="H288" s="1371" t="s">
        <v>2643</v>
      </c>
      <c r="I288" s="1371"/>
      <c r="J288" s="1371"/>
      <c r="K288" s="1371"/>
      <c r="L288" s="1371"/>
      <c r="M288" s="1371"/>
      <c r="N288" s="1371"/>
      <c r="O288" s="1371"/>
      <c r="P288" s="1371"/>
      <c r="Q288" s="1371"/>
      <c r="R288" s="1371"/>
      <c r="T288" s="3" t="s">
        <v>472</v>
      </c>
      <c r="V288" s="3"/>
      <c r="W288" s="3"/>
      <c r="X288" s="3"/>
      <c r="Y288" s="3"/>
      <c r="AA288" s="1371" t="s">
        <v>2646</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2644</v>
      </c>
      <c r="I289" s="1371"/>
      <c r="J289" s="1371"/>
      <c r="K289" s="1371"/>
      <c r="L289" s="1371"/>
      <c r="M289" s="1371"/>
      <c r="N289" s="1371"/>
      <c r="O289" s="1371"/>
      <c r="P289" s="1371"/>
      <c r="Q289" s="1371"/>
      <c r="R289" s="1371"/>
      <c r="T289" s="3" t="s">
        <v>75</v>
      </c>
      <c r="V289" s="3"/>
      <c r="W289" s="3"/>
      <c r="X289" s="3"/>
      <c r="Y289" s="3"/>
      <c r="AA289" s="1371" t="s">
        <v>2647</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2624</v>
      </c>
      <c r="I290" s="1371"/>
      <c r="J290" s="1371"/>
      <c r="K290" s="1371"/>
      <c r="L290" s="1371"/>
      <c r="M290" s="1371"/>
      <c r="N290" s="1371"/>
      <c r="O290" s="1371"/>
      <c r="P290" s="1371"/>
      <c r="Q290" s="1371"/>
      <c r="R290" s="1371"/>
      <c r="T290" s="3" t="s">
        <v>87</v>
      </c>
      <c r="V290" s="3"/>
      <c r="W290" s="3"/>
      <c r="X290" s="3"/>
      <c r="Y290" s="3"/>
      <c r="AA290" s="1371" t="s">
        <v>2648</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2" t="s">
        <v>2626</v>
      </c>
      <c r="I291" s="1542"/>
      <c r="J291" s="1542"/>
      <c r="K291" s="1542"/>
      <c r="L291" s="1542"/>
      <c r="M291" s="1542"/>
      <c r="N291" s="4" t="s">
        <v>206</v>
      </c>
      <c r="O291" s="4"/>
      <c r="P291" s="1525"/>
      <c r="Q291" s="1525"/>
      <c r="R291" s="1525"/>
      <c r="S291" s="3"/>
      <c r="T291" s="3" t="s">
        <v>88</v>
      </c>
      <c r="V291" s="3"/>
      <c r="W291" s="3"/>
      <c r="X291" s="3"/>
      <c r="Y291" s="3"/>
      <c r="AA291" s="1542" t="s">
        <v>2649</v>
      </c>
      <c r="AB291" s="1542"/>
      <c r="AC291" s="1542"/>
      <c r="AD291" s="1542"/>
      <c r="AE291" s="1542"/>
      <c r="AF291" s="1542"/>
      <c r="AG291" s="4" t="s">
        <v>206</v>
      </c>
      <c r="AH291" s="4"/>
      <c r="AI291" s="1525"/>
      <c r="AJ291" s="1525"/>
      <c r="AK291" s="1525"/>
    </row>
    <row r="292" spans="2:37" ht="13"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 customHeight="1">
      <c r="B293" s="3" t="s">
        <v>76</v>
      </c>
      <c r="C293" s="3"/>
      <c r="D293" s="3"/>
      <c r="E293" s="3"/>
      <c r="F293" s="3"/>
      <c r="G293" s="3"/>
      <c r="H293" s="1371" t="s">
        <v>2627</v>
      </c>
      <c r="I293" s="1371"/>
      <c r="J293" s="1371"/>
      <c r="K293" s="1371"/>
      <c r="L293" s="1371"/>
      <c r="M293" s="1371"/>
      <c r="N293" s="1407"/>
      <c r="O293" s="1407"/>
      <c r="P293" s="1407"/>
      <c r="Q293" s="1407"/>
      <c r="R293" s="1407"/>
      <c r="S293" s="3"/>
      <c r="T293" s="3" t="s">
        <v>76</v>
      </c>
      <c r="V293" s="3"/>
      <c r="W293" s="3"/>
      <c r="X293" s="3"/>
      <c r="Y293" s="3"/>
      <c r="AA293" s="1371" t="s">
        <v>2650</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2651</v>
      </c>
      <c r="I295" s="1407"/>
      <c r="J295" s="1407"/>
      <c r="K295" s="1407"/>
      <c r="L295" s="1407"/>
      <c r="M295" s="1407"/>
      <c r="N295" s="1407"/>
      <c r="O295" s="1407"/>
      <c r="P295" s="1407"/>
      <c r="Q295" s="1407"/>
      <c r="R295" s="1407"/>
      <c r="T295" s="3" t="s">
        <v>364</v>
      </c>
      <c r="V295" s="3"/>
      <c r="W295" s="3"/>
      <c r="X295" s="3"/>
      <c r="Y295" s="3"/>
      <c r="AA295" s="1407" t="s">
        <v>2657</v>
      </c>
      <c r="AB295" s="1407"/>
      <c r="AC295" s="1407"/>
      <c r="AD295" s="1407"/>
      <c r="AE295" s="1407"/>
      <c r="AF295" s="1407"/>
      <c r="AG295" s="1407"/>
      <c r="AH295" s="1407"/>
      <c r="AI295" s="1407"/>
      <c r="AJ295" s="1407"/>
      <c r="AK295" s="1407"/>
    </row>
    <row r="296" spans="2:37" ht="13" customHeight="1">
      <c r="B296" s="3" t="s">
        <v>472</v>
      </c>
      <c r="C296" s="3"/>
      <c r="D296" s="3"/>
      <c r="E296" s="3"/>
      <c r="F296" s="3"/>
      <c r="H296" s="1371" t="s">
        <v>2652</v>
      </c>
      <c r="I296" s="1371"/>
      <c r="J296" s="1371"/>
      <c r="K296" s="1371"/>
      <c r="L296" s="1371"/>
      <c r="M296" s="1371"/>
      <c r="N296" s="1371"/>
      <c r="O296" s="1371"/>
      <c r="P296" s="1371"/>
      <c r="Q296" s="1371"/>
      <c r="R296" s="1371"/>
      <c r="T296" s="3" t="s">
        <v>472</v>
      </c>
      <c r="V296" s="3"/>
      <c r="W296" s="3"/>
      <c r="X296" s="3"/>
      <c r="Y296" s="3"/>
      <c r="AA296" s="1371" t="s">
        <v>2623</v>
      </c>
      <c r="AB296" s="1371"/>
      <c r="AC296" s="1371"/>
      <c r="AD296" s="1371"/>
      <c r="AE296" s="1371"/>
      <c r="AF296" s="1371"/>
      <c r="AG296" s="1371"/>
      <c r="AH296" s="1371"/>
      <c r="AI296" s="1371"/>
      <c r="AJ296" s="1371"/>
      <c r="AK296" s="1371"/>
    </row>
    <row r="297" spans="2:37" ht="13" customHeight="1">
      <c r="B297" s="3" t="s">
        <v>473</v>
      </c>
      <c r="C297" s="3"/>
      <c r="D297" s="3"/>
      <c r="E297" s="3"/>
      <c r="F297" s="3"/>
      <c r="H297" s="1371" t="s">
        <v>2653</v>
      </c>
      <c r="I297" s="1371"/>
      <c r="J297" s="1371"/>
      <c r="K297" s="1371"/>
      <c r="L297" s="1371"/>
      <c r="M297" s="1371"/>
      <c r="N297" s="1371"/>
      <c r="O297" s="1371"/>
      <c r="P297" s="1371"/>
      <c r="Q297" s="1371"/>
      <c r="R297" s="1371"/>
      <c r="T297" s="3" t="s">
        <v>75</v>
      </c>
      <c r="V297" s="3"/>
      <c r="W297" s="3"/>
      <c r="X297" s="3"/>
      <c r="Y297" s="3"/>
      <c r="AA297" s="1371" t="s">
        <v>2644</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2654</v>
      </c>
      <c r="I298" s="1371"/>
      <c r="J298" s="1371"/>
      <c r="K298" s="1371"/>
      <c r="L298" s="1371"/>
      <c r="M298" s="1371"/>
      <c r="N298" s="1371"/>
      <c r="O298" s="1371"/>
      <c r="P298" s="1371"/>
      <c r="Q298" s="1371"/>
      <c r="R298" s="1371"/>
      <c r="T298" s="3" t="s">
        <v>87</v>
      </c>
      <c r="V298" s="3"/>
      <c r="W298" s="3"/>
      <c r="X298" s="3"/>
      <c r="Y298" s="3"/>
      <c r="AA298" s="1371" t="s">
        <v>2658</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2" t="s">
        <v>2655</v>
      </c>
      <c r="I299" s="1542"/>
      <c r="J299" s="1542"/>
      <c r="K299" s="1542"/>
      <c r="L299" s="1542"/>
      <c r="M299" s="1542"/>
      <c r="N299" s="4" t="s">
        <v>206</v>
      </c>
      <c r="O299" s="4"/>
      <c r="P299" s="1525"/>
      <c r="Q299" s="1525"/>
      <c r="R299" s="1525"/>
      <c r="S299" s="3"/>
      <c r="T299" s="3" t="s">
        <v>88</v>
      </c>
      <c r="V299" s="3"/>
      <c r="W299" s="3"/>
      <c r="X299" s="3"/>
      <c r="Y299" s="3"/>
      <c r="AA299" s="1541" t="s">
        <v>2660</v>
      </c>
      <c r="AB299" s="1542"/>
      <c r="AC299" s="1542"/>
      <c r="AD299" s="1542"/>
      <c r="AE299" s="1542"/>
      <c r="AF299" s="1542"/>
      <c r="AG299" s="4" t="s">
        <v>206</v>
      </c>
      <c r="AH299" s="4"/>
      <c r="AI299" s="1525"/>
      <c r="AJ299" s="1525"/>
      <c r="AK299" s="1525"/>
    </row>
    <row r="300" spans="2:37" ht="13"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 customHeight="1">
      <c r="B301" s="3" t="s">
        <v>76</v>
      </c>
      <c r="C301" s="3"/>
      <c r="D301" s="3"/>
      <c r="E301" s="3"/>
      <c r="F301" s="3"/>
      <c r="G301" s="3"/>
      <c r="H301" s="1371" t="s">
        <v>2656</v>
      </c>
      <c r="I301" s="1371"/>
      <c r="J301" s="1371"/>
      <c r="K301" s="1371"/>
      <c r="L301" s="1371"/>
      <c r="M301" s="1371"/>
      <c r="N301" s="1407"/>
      <c r="O301" s="1407"/>
      <c r="P301" s="1407"/>
      <c r="Q301" s="1407"/>
      <c r="R301" s="1407"/>
      <c r="S301" s="3"/>
      <c r="T301" s="3" t="s">
        <v>76</v>
      </c>
      <c r="V301" s="3"/>
      <c r="W301" s="3"/>
      <c r="X301" s="3"/>
      <c r="Y301" s="3"/>
      <c r="AA301" s="1371" t="s">
        <v>2659</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2661</v>
      </c>
      <c r="I303" s="1407"/>
      <c r="J303" s="1407"/>
      <c r="K303" s="1407"/>
      <c r="L303" s="1407"/>
      <c r="M303" s="1407"/>
      <c r="N303" s="1407"/>
      <c r="O303" s="1407"/>
      <c r="P303" s="1407"/>
      <c r="Q303" s="1407"/>
      <c r="R303" s="1407"/>
      <c r="T303" s="4" t="s">
        <v>879</v>
      </c>
      <c r="V303" s="3"/>
      <c r="W303" s="3"/>
      <c r="X303" s="3"/>
      <c r="Y303" s="3"/>
      <c r="AA303" s="1407" t="s">
        <v>2666</v>
      </c>
      <c r="AB303" s="1407"/>
      <c r="AC303" s="1407"/>
      <c r="AD303" s="1407"/>
      <c r="AE303" s="1407"/>
      <c r="AF303" s="1407"/>
      <c r="AG303" s="1407"/>
      <c r="AH303" s="1407"/>
      <c r="AI303" s="1407"/>
      <c r="AJ303" s="1407"/>
      <c r="AK303" s="1407"/>
    </row>
    <row r="304" spans="2:37" ht="13" customHeight="1">
      <c r="B304" s="3" t="s">
        <v>472</v>
      </c>
      <c r="C304" s="3"/>
      <c r="D304" s="3"/>
      <c r="E304" s="3"/>
      <c r="F304" s="3"/>
      <c r="H304" s="1371" t="s">
        <v>2663</v>
      </c>
      <c r="I304" s="1371"/>
      <c r="J304" s="1371"/>
      <c r="K304" s="1371"/>
      <c r="L304" s="1371"/>
      <c r="M304" s="1371"/>
      <c r="N304" s="1371"/>
      <c r="O304" s="1371"/>
      <c r="P304" s="1371"/>
      <c r="Q304" s="1371"/>
      <c r="R304" s="1371"/>
      <c r="T304" s="3" t="s">
        <v>472</v>
      </c>
      <c r="V304" s="3"/>
      <c r="W304" s="3"/>
      <c r="X304" s="3"/>
      <c r="Y304" s="3"/>
      <c r="AA304" s="1371" t="s">
        <v>2667</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2653</v>
      </c>
      <c r="I305" s="1371"/>
      <c r="J305" s="1371"/>
      <c r="K305" s="1371"/>
      <c r="L305" s="1371"/>
      <c r="M305" s="1371"/>
      <c r="N305" s="1371"/>
      <c r="O305" s="1371"/>
      <c r="P305" s="1371"/>
      <c r="Q305" s="1371"/>
      <c r="R305" s="1371"/>
      <c r="T305" s="3" t="s">
        <v>75</v>
      </c>
      <c r="V305" s="3"/>
      <c r="W305" s="3"/>
      <c r="X305" s="3"/>
      <c r="Y305" s="3"/>
      <c r="AA305" s="1371" t="s">
        <v>2668</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2662</v>
      </c>
      <c r="I306" s="1371"/>
      <c r="J306" s="1371"/>
      <c r="K306" s="1371"/>
      <c r="L306" s="1371"/>
      <c r="M306" s="1371"/>
      <c r="N306" s="1371"/>
      <c r="O306" s="1371"/>
      <c r="P306" s="1371"/>
      <c r="Q306" s="1371"/>
      <c r="R306" s="1371"/>
      <c r="T306" s="3" t="s">
        <v>87</v>
      </c>
      <c r="V306" s="3"/>
      <c r="W306" s="3"/>
      <c r="X306" s="3"/>
      <c r="Y306" s="3"/>
      <c r="AA306" s="1371" t="s">
        <v>2669</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2" t="s">
        <v>2665</v>
      </c>
      <c r="I307" s="1542"/>
      <c r="J307" s="1542"/>
      <c r="K307" s="1542"/>
      <c r="L307" s="1542"/>
      <c r="M307" s="1542"/>
      <c r="N307" s="4" t="s">
        <v>206</v>
      </c>
      <c r="O307" s="4"/>
      <c r="P307" s="1525"/>
      <c r="Q307" s="1525"/>
      <c r="R307" s="1525"/>
      <c r="S307" s="3"/>
      <c r="T307" s="3" t="s">
        <v>88</v>
      </c>
      <c r="V307" s="3"/>
      <c r="W307" s="3"/>
      <c r="X307" s="3"/>
      <c r="Y307" s="3"/>
      <c r="AA307" s="1542" t="s">
        <v>2670</v>
      </c>
      <c r="AB307" s="1542"/>
      <c r="AC307" s="1542"/>
      <c r="AD307" s="1542"/>
      <c r="AE307" s="1542"/>
      <c r="AF307" s="1542"/>
      <c r="AG307" s="4" t="s">
        <v>206</v>
      </c>
      <c r="AH307" s="4"/>
      <c r="AI307" s="1525"/>
      <c r="AJ307" s="1525"/>
      <c r="AK307" s="1525"/>
    </row>
    <row r="308" spans="2:37" ht="13"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1" t="s">
        <v>2664</v>
      </c>
      <c r="I309" s="1371"/>
      <c r="J309" s="1371"/>
      <c r="K309" s="1371"/>
      <c r="L309" s="1371"/>
      <c r="M309" s="1371"/>
      <c r="N309" s="1407"/>
      <c r="O309" s="1407"/>
      <c r="P309" s="1407"/>
      <c r="Q309" s="1407"/>
      <c r="R309" s="1407"/>
      <c r="S309" s="3"/>
      <c r="T309" s="3" t="s">
        <v>76</v>
      </c>
      <c r="V309" s="3"/>
      <c r="W309" s="3"/>
      <c r="X309" s="3"/>
      <c r="Y309" s="3"/>
      <c r="AA309" s="1371" t="s">
        <v>2671</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7" t="s">
        <v>2661</v>
      </c>
      <c r="I311" s="1407"/>
      <c r="J311" s="1407"/>
      <c r="K311" s="1407"/>
      <c r="L311" s="1407"/>
      <c r="M311" s="1407"/>
      <c r="N311" s="1407"/>
      <c r="O311" s="1407"/>
      <c r="P311" s="1407"/>
      <c r="Q311" s="1407"/>
      <c r="R311" s="1407"/>
      <c r="S311" s="3"/>
      <c r="T311" s="3" t="s">
        <v>365</v>
      </c>
      <c r="V311" s="3"/>
      <c r="W311" s="3"/>
      <c r="X311" s="3"/>
      <c r="Y311" s="3"/>
      <c r="AA311" s="1407" t="s">
        <v>2672</v>
      </c>
      <c r="AB311" s="1407"/>
      <c r="AC311" s="1407"/>
      <c r="AD311" s="1407"/>
      <c r="AE311" s="1407"/>
      <c r="AF311" s="1407"/>
      <c r="AG311" s="1407"/>
      <c r="AH311" s="1407"/>
      <c r="AI311" s="1407"/>
      <c r="AJ311" s="1407"/>
      <c r="AK311" s="1407"/>
    </row>
    <row r="312" spans="2:37" ht="13" customHeight="1">
      <c r="B312" s="3" t="s">
        <v>472</v>
      </c>
      <c r="C312" s="3"/>
      <c r="D312" s="3"/>
      <c r="E312" s="3"/>
      <c r="F312" s="3"/>
      <c r="H312" s="1371" t="s">
        <v>2663</v>
      </c>
      <c r="I312" s="1371"/>
      <c r="J312" s="1371"/>
      <c r="K312" s="1371"/>
      <c r="L312" s="1371"/>
      <c r="M312" s="1371"/>
      <c r="N312" s="1371"/>
      <c r="O312" s="1371"/>
      <c r="P312" s="1371"/>
      <c r="Q312" s="1371"/>
      <c r="R312" s="1371"/>
      <c r="S312" s="3"/>
      <c r="T312" s="3" t="s">
        <v>472</v>
      </c>
      <c r="V312" s="3"/>
      <c r="W312" s="3"/>
      <c r="X312" s="3"/>
      <c r="Y312" s="3"/>
      <c r="AA312" s="1371" t="s">
        <v>2673</v>
      </c>
      <c r="AB312" s="1371"/>
      <c r="AC312" s="1371"/>
      <c r="AD312" s="1371"/>
      <c r="AE312" s="1371"/>
      <c r="AF312" s="1371"/>
      <c r="AG312" s="1371"/>
      <c r="AH312" s="1371"/>
      <c r="AI312" s="1371"/>
      <c r="AJ312" s="1371"/>
      <c r="AK312" s="1371"/>
    </row>
    <row r="313" spans="2:37" ht="13" customHeight="1">
      <c r="B313" s="3" t="s">
        <v>473</v>
      </c>
      <c r="C313" s="3"/>
      <c r="D313" s="3"/>
      <c r="E313" s="3"/>
      <c r="F313" s="3"/>
      <c r="H313" s="1371" t="s">
        <v>2653</v>
      </c>
      <c r="I313" s="1371"/>
      <c r="J313" s="1371"/>
      <c r="K313" s="1371"/>
      <c r="L313" s="1371"/>
      <c r="M313" s="1371"/>
      <c r="N313" s="1371"/>
      <c r="O313" s="1371"/>
      <c r="P313" s="1371"/>
      <c r="Q313" s="1371"/>
      <c r="R313" s="1371"/>
      <c r="S313" s="3"/>
      <c r="T313" s="3" t="s">
        <v>75</v>
      </c>
      <c r="V313" s="3"/>
      <c r="W313" s="3"/>
      <c r="X313" s="3"/>
      <c r="Y313" s="3"/>
      <c r="AA313" s="1371" t="s">
        <v>2674</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2662</v>
      </c>
      <c r="I314" s="1371"/>
      <c r="J314" s="1371"/>
      <c r="K314" s="1371"/>
      <c r="L314" s="1371"/>
      <c r="M314" s="1371"/>
      <c r="N314" s="1371"/>
      <c r="O314" s="1371"/>
      <c r="P314" s="1371"/>
      <c r="Q314" s="1371"/>
      <c r="R314" s="1371"/>
      <c r="S314" s="3"/>
      <c r="T314" s="3" t="s">
        <v>87</v>
      </c>
      <c r="V314" s="3"/>
      <c r="W314" s="3"/>
      <c r="X314" s="3"/>
      <c r="Y314" s="3"/>
      <c r="AA314" s="1371" t="s">
        <v>2675</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2" t="s">
        <v>2665</v>
      </c>
      <c r="I315" s="1542"/>
      <c r="J315" s="1542"/>
      <c r="K315" s="1542"/>
      <c r="L315" s="1542"/>
      <c r="M315" s="1542"/>
      <c r="N315" s="4" t="s">
        <v>206</v>
      </c>
      <c r="O315" s="4"/>
      <c r="P315" s="1525"/>
      <c r="Q315" s="1525"/>
      <c r="R315" s="1525"/>
      <c r="S315" s="3"/>
      <c r="T315" s="3" t="s">
        <v>88</v>
      </c>
      <c r="V315" s="3"/>
      <c r="W315" s="3"/>
      <c r="X315" s="3"/>
      <c r="Y315" s="3"/>
      <c r="AA315" s="1542" t="s">
        <v>2676</v>
      </c>
      <c r="AB315" s="1542"/>
      <c r="AC315" s="1542"/>
      <c r="AD315" s="1542"/>
      <c r="AE315" s="1542"/>
      <c r="AF315" s="1542"/>
      <c r="AG315" s="4" t="s">
        <v>206</v>
      </c>
      <c r="AH315" s="4"/>
      <c r="AI315" s="1525"/>
      <c r="AJ315" s="1525"/>
      <c r="AK315" s="1525"/>
    </row>
    <row r="316" spans="2:37" ht="13"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 customHeight="1">
      <c r="B317" s="3" t="s">
        <v>76</v>
      </c>
      <c r="C317" s="3"/>
      <c r="D317" s="3"/>
      <c r="E317" s="3"/>
      <c r="F317" s="3"/>
      <c r="G317" s="3"/>
      <c r="H317" s="1371" t="s">
        <v>2664</v>
      </c>
      <c r="I317" s="1371"/>
      <c r="J317" s="1371"/>
      <c r="K317" s="1371"/>
      <c r="L317" s="1371"/>
      <c r="M317" s="1371"/>
      <c r="N317" s="1407"/>
      <c r="O317" s="1407"/>
      <c r="P317" s="1407"/>
      <c r="Q317" s="1407"/>
      <c r="R317" s="1407"/>
      <c r="S317" s="3"/>
      <c r="T317" s="3" t="s">
        <v>76</v>
      </c>
      <c r="V317" s="3"/>
      <c r="W317" s="3"/>
      <c r="X317" s="3"/>
      <c r="Y317" s="3"/>
      <c r="AA317" s="1371" t="s">
        <v>2677</v>
      </c>
      <c r="AB317" s="1371"/>
      <c r="AC317" s="1371"/>
      <c r="AD317" s="1371"/>
      <c r="AE317" s="1371"/>
      <c r="AF317" s="1371"/>
      <c r="AG317" s="1407"/>
      <c r="AH317" s="1407"/>
      <c r="AI317" s="1407"/>
      <c r="AJ317" s="1407"/>
      <c r="AK317" s="1407"/>
    </row>
    <row r="318" spans="2:37" ht="13" customHeight="1"/>
    <row r="319" spans="2:37" ht="13"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2661</v>
      </c>
      <c r="AB319" s="1407"/>
      <c r="AC319" s="1407"/>
      <c r="AD319" s="1407"/>
      <c r="AE319" s="1407"/>
      <c r="AF319" s="1407"/>
      <c r="AG319" s="1407"/>
      <c r="AH319" s="1407"/>
      <c r="AI319" s="1407"/>
      <c r="AJ319" s="1407"/>
      <c r="AK319" s="1407"/>
    </row>
    <row r="320" spans="2:37" ht="13"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2678</v>
      </c>
      <c r="AB320" s="1371"/>
      <c r="AC320" s="1371"/>
      <c r="AD320" s="1371"/>
      <c r="AE320" s="1371"/>
      <c r="AF320" s="1371"/>
      <c r="AG320" s="1371"/>
      <c r="AH320" s="1371"/>
      <c r="AI320" s="1371"/>
      <c r="AJ320" s="1371"/>
      <c r="AK320" s="1371"/>
    </row>
    <row r="321" spans="2:37" ht="13"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2679</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2680</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2"/>
      <c r="I323" s="1542"/>
      <c r="J323" s="1542"/>
      <c r="K323" s="1542"/>
      <c r="L323" s="1542"/>
      <c r="M323" s="1542"/>
      <c r="N323" s="4" t="s">
        <v>206</v>
      </c>
      <c r="O323" s="4"/>
      <c r="P323" s="1525"/>
      <c r="Q323" s="1525"/>
      <c r="R323" s="1525"/>
      <c r="S323" s="3"/>
      <c r="T323" s="3" t="s">
        <v>88</v>
      </c>
      <c r="V323" s="3"/>
      <c r="W323" s="3"/>
      <c r="X323" s="3"/>
      <c r="Y323" s="3"/>
      <c r="AA323" s="1542" t="s">
        <v>2681</v>
      </c>
      <c r="AB323" s="1542"/>
      <c r="AC323" s="1542"/>
      <c r="AD323" s="1542"/>
      <c r="AE323" s="1542"/>
      <c r="AF323" s="1542"/>
      <c r="AG323" s="4" t="s">
        <v>206</v>
      </c>
      <c r="AH323" s="4"/>
      <c r="AI323" s="1525"/>
      <c r="AJ323" s="1525"/>
      <c r="AK323" s="1525"/>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2682</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3"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3"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2"/>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2683</v>
      </c>
      <c r="I335" s="1407"/>
      <c r="J335" s="1407"/>
      <c r="K335" s="1407"/>
      <c r="L335" s="1407"/>
      <c r="M335" s="1407"/>
      <c r="N335" s="1407"/>
      <c r="O335" s="1407"/>
      <c r="P335" s="1407"/>
      <c r="Q335" s="1407"/>
      <c r="R335" s="1407"/>
      <c r="T335" s="204" t="s">
        <v>887</v>
      </c>
      <c r="V335" s="3"/>
      <c r="W335" s="3"/>
      <c r="X335" s="3"/>
      <c r="Y335" s="3"/>
      <c r="AA335" s="1407" t="s">
        <v>2689</v>
      </c>
      <c r="AB335" s="1407"/>
      <c r="AC335" s="1407"/>
      <c r="AD335" s="1407"/>
      <c r="AE335" s="1407"/>
      <c r="AF335" s="1407"/>
      <c r="AG335" s="1407"/>
      <c r="AH335" s="1407"/>
      <c r="AI335" s="1407"/>
      <c r="AJ335" s="1407"/>
      <c r="AK335" s="1407"/>
    </row>
    <row r="336" spans="2:37" ht="13" customHeight="1">
      <c r="B336" s="3" t="s">
        <v>472</v>
      </c>
      <c r="C336" s="3"/>
      <c r="D336" s="3"/>
      <c r="E336" s="3"/>
      <c r="F336" s="3"/>
      <c r="H336" s="1371" t="s">
        <v>2684</v>
      </c>
      <c r="I336" s="1371"/>
      <c r="J336" s="1371"/>
      <c r="K336" s="1371"/>
      <c r="L336" s="1371"/>
      <c r="M336" s="1371"/>
      <c r="N336" s="1371"/>
      <c r="O336" s="1371"/>
      <c r="P336" s="1371"/>
      <c r="Q336" s="1371"/>
      <c r="R336" s="1371"/>
      <c r="T336" s="3" t="s">
        <v>472</v>
      </c>
      <c r="V336" s="3"/>
      <c r="W336" s="3"/>
      <c r="X336" s="3"/>
      <c r="Y336" s="3"/>
      <c r="AA336" s="1371" t="s">
        <v>2690</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2685</v>
      </c>
      <c r="I337" s="1371"/>
      <c r="J337" s="1371"/>
      <c r="K337" s="1371"/>
      <c r="L337" s="1371"/>
      <c r="M337" s="1371"/>
      <c r="N337" s="1371"/>
      <c r="O337" s="1371"/>
      <c r="P337" s="1371"/>
      <c r="Q337" s="1371"/>
      <c r="R337" s="1371"/>
      <c r="T337" s="3" t="s">
        <v>75</v>
      </c>
      <c r="V337" s="3"/>
      <c r="W337" s="3"/>
      <c r="X337" s="3"/>
      <c r="Y337" s="3"/>
      <c r="AA337" s="1371" t="s">
        <v>2691</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2686</v>
      </c>
      <c r="I338" s="1371"/>
      <c r="J338" s="1371"/>
      <c r="K338" s="1371"/>
      <c r="L338" s="1371"/>
      <c r="M338" s="1371"/>
      <c r="N338" s="1371"/>
      <c r="O338" s="1371"/>
      <c r="P338" s="1371"/>
      <c r="Q338" s="1371"/>
      <c r="R338" s="1371"/>
      <c r="T338" s="3" t="s">
        <v>87</v>
      </c>
      <c r="V338" s="3"/>
      <c r="W338" s="3"/>
      <c r="X338" s="3"/>
      <c r="Y338" s="3"/>
      <c r="AA338" s="1371" t="s">
        <v>2692</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2" t="s">
        <v>2687</v>
      </c>
      <c r="I339" s="1542"/>
      <c r="J339" s="1542"/>
      <c r="K339" s="1542"/>
      <c r="L339" s="1542"/>
      <c r="M339" s="1542"/>
      <c r="N339" s="4" t="s">
        <v>206</v>
      </c>
      <c r="O339" s="4"/>
      <c r="P339" s="1525"/>
      <c r="Q339" s="1525"/>
      <c r="R339" s="1525"/>
      <c r="S339" s="3"/>
      <c r="T339" s="3" t="s">
        <v>88</v>
      </c>
      <c r="V339" s="3"/>
      <c r="W339" s="3"/>
      <c r="X339" s="3"/>
      <c r="Y339" s="3"/>
      <c r="AA339" s="1542" t="s">
        <v>2693</v>
      </c>
      <c r="AB339" s="1542"/>
      <c r="AC339" s="1542"/>
      <c r="AD339" s="1542"/>
      <c r="AE339" s="1542"/>
      <c r="AF339" s="1542"/>
      <c r="AG339" s="4" t="s">
        <v>206</v>
      </c>
      <c r="AH339" s="4"/>
      <c r="AI339" s="1525"/>
      <c r="AJ339" s="1525"/>
      <c r="AK339" s="1525"/>
    </row>
    <row r="340" spans="1:66" ht="13"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 customHeight="1">
      <c r="B341" s="3" t="s">
        <v>76</v>
      </c>
      <c r="C341" s="3"/>
      <c r="D341" s="3"/>
      <c r="E341" s="3"/>
      <c r="F341" s="3"/>
      <c r="G341" s="3"/>
      <c r="H341" s="1371" t="s">
        <v>2688</v>
      </c>
      <c r="I341" s="1371"/>
      <c r="J341" s="1371"/>
      <c r="K341" s="1371"/>
      <c r="L341" s="1371"/>
      <c r="M341" s="1371"/>
      <c r="N341" s="1407"/>
      <c r="O341" s="1407"/>
      <c r="P341" s="1407"/>
      <c r="Q341" s="1407"/>
      <c r="R341" s="1407"/>
      <c r="S341" s="3"/>
      <c r="T341" s="3" t="s">
        <v>76</v>
      </c>
      <c r="V341" s="3"/>
      <c r="W341" s="3"/>
      <c r="X341" s="3"/>
      <c r="Y341" s="3"/>
      <c r="AA341" s="1371" t="s">
        <v>2694</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3"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415" t="s">
        <v>546</v>
      </c>
      <c r="N355" s="1415"/>
      <c r="P355" t="s">
        <v>1651</v>
      </c>
      <c r="AJ355" s="1415" t="s">
        <v>670</v>
      </c>
      <c r="AK355" s="1415"/>
    </row>
    <row r="356" spans="1:46" ht="13" customHeight="1">
      <c r="D356" s="3" t="s">
        <v>1640</v>
      </c>
      <c r="M356" s="1415" t="s">
        <v>592</v>
      </c>
      <c r="N356" s="1415"/>
      <c r="P356" s="3" t="s">
        <v>1720</v>
      </c>
      <c r="AJ356" s="1382"/>
      <c r="AK356" s="1382"/>
    </row>
    <row r="357" spans="1:46" ht="13" customHeight="1">
      <c r="D357" s="3" t="s">
        <v>705</v>
      </c>
      <c r="M357" s="1415" t="s">
        <v>592</v>
      </c>
      <c r="N357" s="1415"/>
      <c r="P357" t="s">
        <v>1650</v>
      </c>
      <c r="AJ357" s="1415" t="s">
        <v>592</v>
      </c>
      <c r="AK357" s="1415"/>
    </row>
    <row r="358" spans="1:46" ht="13" customHeight="1">
      <c r="D358" s="3" t="s">
        <v>706</v>
      </c>
      <c r="M358" s="1415" t="s">
        <v>592</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3"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3"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3"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443"/>
      <c r="T377" s="1443"/>
      <c r="U377" s="1" t="s">
        <v>306</v>
      </c>
      <c r="V377" s="1443"/>
      <c r="W377" s="1443"/>
      <c r="Y377" t="s">
        <v>2080</v>
      </c>
      <c r="AC377" s="27" t="s">
        <v>305</v>
      </c>
      <c r="AD377" s="1443"/>
      <c r="AE377" s="1443"/>
      <c r="AF377" s="1" t="s">
        <v>306</v>
      </c>
      <c r="AG377" s="1443"/>
      <c r="AH377" s="1443"/>
    </row>
    <row r="378" spans="1:34" ht="13" customHeight="1">
      <c r="E378" s="4" t="s">
        <v>988</v>
      </c>
      <c r="F378" s="4"/>
      <c r="G378" s="4"/>
      <c r="H378" s="4"/>
      <c r="I378" s="4"/>
      <c r="J378" s="4"/>
      <c r="K378" s="4"/>
      <c r="L378" s="4"/>
      <c r="N378" s="1443"/>
      <c r="O378" s="1443"/>
      <c r="P378" s="1443"/>
    </row>
    <row r="379" spans="1:34" ht="13" customHeight="1">
      <c r="E379" s="204" t="s">
        <v>2086</v>
      </c>
      <c r="F379" s="4"/>
      <c r="G379" s="4"/>
      <c r="H379" s="4"/>
      <c r="I379" s="4"/>
      <c r="J379" s="4"/>
      <c r="K379" s="4"/>
      <c r="L379" s="4"/>
      <c r="AG379" s="1446" t="s">
        <v>592</v>
      </c>
      <c r="AH379" s="1446"/>
    </row>
    <row r="380" spans="1:34" ht="13" customHeight="1">
      <c r="E380" s="4"/>
      <c r="F380" s="4"/>
      <c r="G380" s="4" t="s">
        <v>2087</v>
      </c>
      <c r="H380" s="4"/>
      <c r="I380" s="4"/>
      <c r="J380" s="4"/>
      <c r="K380" s="4"/>
      <c r="L380" s="4"/>
      <c r="AG380" s="1446" t="s">
        <v>592</v>
      </c>
      <c r="AH380" s="1446"/>
    </row>
    <row r="381" spans="1:34" ht="13" customHeight="1">
      <c r="E381" s="4"/>
      <c r="F381" s="4"/>
      <c r="G381" s="320" t="s">
        <v>989</v>
      </c>
      <c r="H381" s="4"/>
      <c r="I381" s="4"/>
      <c r="J381" s="4"/>
      <c r="K381" s="4"/>
      <c r="L381" s="4"/>
      <c r="V381" s="1415" t="s">
        <v>592</v>
      </c>
      <c r="W381" s="1415"/>
      <c r="Y381" s="22" t="s">
        <v>981</v>
      </c>
    </row>
    <row r="382" spans="1:34" ht="13" customHeight="1">
      <c r="E382" s="4" t="s">
        <v>982</v>
      </c>
      <c r="F382" s="4"/>
      <c r="G382" s="4"/>
      <c r="H382" s="4"/>
      <c r="I382" s="4"/>
      <c r="J382" s="4"/>
      <c r="K382" s="4"/>
      <c r="L382" s="4"/>
      <c r="V382" s="1415" t="s">
        <v>592</v>
      </c>
      <c r="W382" s="1415"/>
      <c r="Y382" s="4" t="s">
        <v>983</v>
      </c>
    </row>
    <row r="383" spans="1:34" ht="13" customHeight="1"/>
    <row r="384" spans="1:34" ht="13" customHeight="1">
      <c r="A384" s="2" t="s">
        <v>78</v>
      </c>
      <c r="B384" s="2"/>
    </row>
    <row r="385" spans="4:36" ht="13" customHeight="1">
      <c r="D385" t="s">
        <v>428</v>
      </c>
      <c r="J385" s="1407"/>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3"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3"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3" customHeight="1">
      <c r="D388" t="s">
        <v>1179</v>
      </c>
      <c r="J388" s="1427"/>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3" customHeight="1">
      <c r="D389" t="s">
        <v>4</v>
      </c>
      <c r="Q389" s="1589"/>
      <c r="R389" s="1589"/>
      <c r="S389" s="1589"/>
      <c r="T389" s="1589"/>
      <c r="U389" s="1589"/>
      <c r="V389" t="s">
        <v>309</v>
      </c>
      <c r="AI389" s="1415" t="s">
        <v>670</v>
      </c>
      <c r="AJ389" s="1415"/>
    </row>
    <row r="390" spans="4:36" ht="13" customHeight="1">
      <c r="D390" t="s">
        <v>5</v>
      </c>
      <c r="Q390" s="1520"/>
      <c r="R390" s="1521"/>
      <c r="S390" s="1521"/>
      <c r="T390" s="1521"/>
      <c r="U390" s="1521"/>
      <c r="W390" s="21" t="s">
        <v>74</v>
      </c>
      <c r="AG390" s="1448"/>
      <c r="AH390" s="1448"/>
      <c r="AI390" s="1448"/>
      <c r="AJ390" s="1448"/>
    </row>
    <row r="391" spans="4:36" ht="13" customHeight="1">
      <c r="D391" t="s">
        <v>427</v>
      </c>
      <c r="Q391" s="1449"/>
      <c r="R391" s="1449"/>
      <c r="S391" s="1449"/>
      <c r="T391" s="1449"/>
      <c r="U391" s="1449"/>
      <c r="V391" s="3" t="s">
        <v>1182</v>
      </c>
      <c r="AG391" s="1518"/>
      <c r="AH391" s="1518"/>
      <c r="AI391" s="1518"/>
      <c r="AJ391" s="1518"/>
    </row>
    <row r="392" spans="4:36" ht="13" customHeight="1">
      <c r="D392" t="s">
        <v>88</v>
      </c>
      <c r="I392" s="1542"/>
      <c r="J392" s="1542"/>
      <c r="K392" s="1542"/>
      <c r="L392" s="1542"/>
      <c r="M392" s="1542"/>
      <c r="N392" s="1542"/>
      <c r="Q392" s="4" t="s">
        <v>206</v>
      </c>
      <c r="S392" s="1447"/>
      <c r="T392" s="1447"/>
      <c r="U392" s="1447"/>
      <c r="V392" t="s">
        <v>73</v>
      </c>
      <c r="AI392" s="1415" t="s">
        <v>670</v>
      </c>
      <c r="AJ392" s="1415"/>
    </row>
    <row r="393" spans="4:36" ht="13" customHeight="1">
      <c r="D393" t="s">
        <v>310</v>
      </c>
      <c r="Q393" s="1524"/>
      <c r="R393" s="1524"/>
      <c r="S393" s="1524"/>
      <c r="T393" s="1524"/>
      <c r="U393" s="1524"/>
      <c r="V393" t="s">
        <v>311</v>
      </c>
      <c r="AG393" s="1448"/>
      <c r="AH393" s="1448"/>
      <c r="AI393" s="1448"/>
      <c r="AJ393" s="1448"/>
    </row>
    <row r="394" spans="4:36" ht="13" customHeight="1">
      <c r="D394" t="s">
        <v>312</v>
      </c>
      <c r="Q394" s="1579"/>
      <c r="R394" s="1579"/>
      <c r="S394" s="1579"/>
      <c r="T394" s="1579"/>
      <c r="U394" s="1579"/>
      <c r="V394" t="s">
        <v>1164</v>
      </c>
      <c r="AG394" s="1448"/>
      <c r="AH394" s="1448"/>
      <c r="AI394" s="1448"/>
      <c r="AJ394" s="1448"/>
    </row>
    <row r="395" spans="4:36" ht="13" customHeight="1">
      <c r="D395" t="s">
        <v>1163</v>
      </c>
      <c r="AG395" s="1448"/>
      <c r="AH395" s="1448"/>
      <c r="AI395" s="1448"/>
      <c r="AJ395" s="1448"/>
    </row>
    <row r="396" spans="4:36" ht="13" customHeight="1">
      <c r="AG396" s="456"/>
      <c r="AH396" s="456"/>
      <c r="AI396" s="456"/>
      <c r="AJ396" s="456"/>
    </row>
    <row r="397" spans="4:36" ht="13" customHeight="1">
      <c r="D397" s="3" t="s">
        <v>2143</v>
      </c>
      <c r="AG397" s="456"/>
      <c r="AH397" s="456"/>
      <c r="AI397" s="1415" t="s">
        <v>670</v>
      </c>
      <c r="AJ397" s="1415"/>
    </row>
    <row r="398" spans="4:36" ht="13" customHeight="1">
      <c r="D398" s="3" t="s">
        <v>1668</v>
      </c>
      <c r="T398" s="1434" t="s">
        <v>2695</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1661</v>
      </c>
      <c r="S401" s="1434" t="s">
        <v>546</v>
      </c>
      <c r="T401" s="1434"/>
      <c r="U401" s="1434"/>
      <c r="V401" t="s">
        <v>1662</v>
      </c>
      <c r="AG401" s="1523">
        <v>85</v>
      </c>
      <c r="AH401" s="1523"/>
      <c r="AI401" s="1523"/>
      <c r="AJ401" s="1523"/>
    </row>
    <row r="402" spans="1:36" ht="13" customHeight="1">
      <c r="D402" s="3" t="s">
        <v>1659</v>
      </c>
      <c r="S402" s="1434" t="s">
        <v>546</v>
      </c>
      <c r="T402" s="1434"/>
      <c r="U402" s="1434"/>
      <c r="V402" t="s">
        <v>1664</v>
      </c>
      <c r="AE402" s="1517">
        <v>125000</v>
      </c>
      <c r="AF402" s="1517"/>
      <c r="AG402" s="1517"/>
      <c r="AH402" s="1517"/>
      <c r="AI402" s="1517"/>
      <c r="AJ402" s="1517"/>
    </row>
    <row r="403" spans="1:36" ht="13"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1663</v>
      </c>
      <c r="K404" s="1519" t="s">
        <v>2696</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1666</v>
      </c>
      <c r="E405" s="477"/>
      <c r="F405" s="477"/>
      <c r="G405" s="477"/>
      <c r="H405" s="477"/>
      <c r="I405" s="477"/>
      <c r="J405" s="477"/>
      <c r="K405" s="477"/>
      <c r="L405" s="477"/>
      <c r="M405" s="477"/>
      <c r="N405" s="477"/>
      <c r="O405" s="477"/>
      <c r="P405" s="477"/>
      <c r="Q405" s="477"/>
      <c r="R405" s="477"/>
      <c r="S405" s="1445" t="s">
        <v>2697</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522" t="s">
        <v>2698</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5" t="s">
        <v>546</v>
      </c>
      <c r="S411" s="1415"/>
      <c r="AC411" s="27" t="s">
        <v>571</v>
      </c>
      <c r="AD411" s="1390">
        <v>4</v>
      </c>
      <c r="AE411" s="1390"/>
    </row>
    <row r="412" spans="1:36" ht="13" customHeight="1">
      <c r="E412" t="s">
        <v>107</v>
      </c>
      <c r="R412" s="1415" t="s">
        <v>592</v>
      </c>
      <c r="S412" s="1415"/>
      <c r="AC412" s="27" t="s">
        <v>571</v>
      </c>
      <c r="AD412" s="1390"/>
      <c r="AE412" s="1390"/>
    </row>
    <row r="413" spans="1:36" ht="13" customHeight="1">
      <c r="E413" t="s">
        <v>108</v>
      </c>
      <c r="S413" s="1415" t="s">
        <v>592</v>
      </c>
      <c r="T413" s="1415"/>
    </row>
    <row r="414" spans="1:36" ht="13" customHeight="1">
      <c r="E414" t="s">
        <v>170</v>
      </c>
      <c r="H414" s="1580" t="s">
        <v>334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3"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3" customHeight="1"/>
    <row r="417" spans="1:39" ht="13" customHeight="1">
      <c r="A417" s="2" t="s">
        <v>591</v>
      </c>
      <c r="B417" s="2"/>
      <c r="C417" s="2"/>
      <c r="D417" s="2" t="s">
        <v>114</v>
      </c>
      <c r="AF417" s="2" t="s">
        <v>958</v>
      </c>
    </row>
    <row r="418" spans="1:39" ht="13" customHeight="1">
      <c r="E418" s="1443"/>
      <c r="F418" s="1443"/>
      <c r="G418" s="1443"/>
      <c r="H418" s="13" t="s">
        <v>115</v>
      </c>
      <c r="I418" s="1443"/>
      <c r="J418" s="1443"/>
      <c r="K418" s="1443"/>
      <c r="L418" t="s">
        <v>116</v>
      </c>
      <c r="N418" s="27" t="s">
        <v>576</v>
      </c>
      <c r="P418" s="1583">
        <v>3.4</v>
      </c>
      <c r="Q418" s="1583"/>
      <c r="R418" s="1583"/>
      <c r="S418" t="s">
        <v>117</v>
      </c>
      <c r="W418" s="1444">
        <f>IF(E418&gt;0,(E418*I418),(P418*43560))</f>
        <v>148104</v>
      </c>
      <c r="X418" s="1444"/>
      <c r="Y418" s="1444"/>
      <c r="Z418" t="s">
        <v>118</v>
      </c>
      <c r="AF418" s="1584">
        <f>IFERROR(IF(P418&gt;0,(AG437/P418),(AG437/(W418/43560))),0)</f>
        <v>38.82352941176471</v>
      </c>
      <c r="AG418" s="1584"/>
      <c r="AH418" s="1584"/>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1737</v>
      </c>
      <c r="F421" s="1013"/>
      <c r="G421" s="1013"/>
      <c r="H421" s="1013"/>
      <c r="I421" s="1582">
        <v>3.4</v>
      </c>
      <c r="J421" s="1582"/>
      <c r="K421" s="1582"/>
      <c r="L421" s="1013"/>
      <c r="M421" s="118"/>
      <c r="N421" s="1013"/>
      <c r="O421" s="1013"/>
      <c r="P421" s="1834">
        <f>(DU755+DU778+DU800)/I421</f>
        <v>69.117647058823536</v>
      </c>
      <c r="Q421" s="1834"/>
      <c r="R421" s="1834"/>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5">
        <v>1</v>
      </c>
      <c r="Q424" s="1415"/>
      <c r="S424" t="s">
        <v>189</v>
      </c>
      <c r="AE424" s="1415">
        <v>1</v>
      </c>
      <c r="AF424" s="1415"/>
    </row>
    <row r="425" spans="1:39" ht="13" customHeight="1">
      <c r="E425" t="s">
        <v>190</v>
      </c>
      <c r="P425" s="1415">
        <v>0</v>
      </c>
      <c r="Q425" s="1415"/>
      <c r="S425" t="s">
        <v>131</v>
      </c>
      <c r="AE425" s="1415" t="s">
        <v>592</v>
      </c>
      <c r="AF425" s="1415"/>
    </row>
    <row r="426" spans="1:39" ht="13" customHeight="1">
      <c r="F426" s="28" t="s">
        <v>132</v>
      </c>
    </row>
    <row r="427" spans="1:39" ht="13"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 customHeight="1">
      <c r="E429" t="s">
        <v>609</v>
      </c>
      <c r="P429" s="1"/>
      <c r="Q429" s="1415" t="s">
        <v>546</v>
      </c>
      <c r="R429" s="1415"/>
    </row>
    <row r="430" spans="1:39" ht="13" customHeight="1">
      <c r="F430" t="s">
        <v>610</v>
      </c>
      <c r="P430" s="1"/>
      <c r="Q430" s="1"/>
      <c r="AF430" s="1415" t="s">
        <v>592</v>
      </c>
      <c r="AG430" s="1505"/>
    </row>
    <row r="431" spans="1:39" ht="13" customHeight="1"/>
    <row r="432" spans="1:39" ht="13" customHeight="1">
      <c r="A432" s="2"/>
      <c r="B432" s="2"/>
      <c r="C432" s="2"/>
      <c r="E432" s="4" t="s">
        <v>308</v>
      </c>
      <c r="Z432" s="1415" t="s">
        <v>670</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132</v>
      </c>
      <c r="AH437" s="1385"/>
      <c r="AI437" s="1385"/>
      <c r="AJ437" s="1385"/>
    </row>
    <row r="438" spans="1:55" ht="13"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131</v>
      </c>
      <c r="AH439" s="1385"/>
      <c r="AI439" s="1385"/>
      <c r="AJ439" s="1385"/>
    </row>
    <row r="440" spans="1:55" ht="13"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131</v>
      </c>
      <c r="AH440" s="1385"/>
      <c r="AI440" s="1385"/>
      <c r="AJ440" s="1385"/>
    </row>
    <row r="441" spans="1:55" ht="13"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91562</v>
      </c>
      <c r="AH442" s="1416"/>
      <c r="AI442" s="1416"/>
      <c r="AJ442" s="1416"/>
    </row>
    <row r="443" spans="1:55" ht="13"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91562</v>
      </c>
      <c r="AH443" s="1416"/>
      <c r="AI443" s="1416"/>
      <c r="AJ443" s="1416"/>
    </row>
    <row r="444" spans="1:55" ht="13"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f>484+799+675</f>
        <v>1958</v>
      </c>
      <c r="AH446" s="1416"/>
      <c r="AI446" s="1416"/>
      <c r="AJ446" s="1416"/>
      <c r="AZ446" s="34"/>
      <c r="BA446" s="34"/>
      <c r="BB446" s="34"/>
      <c r="BC446" s="34"/>
    </row>
    <row r="447" spans="1:55" ht="13"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15058+738</f>
        <v>15796</v>
      </c>
      <c r="AH448" s="1416"/>
      <c r="AI448" s="1416"/>
      <c r="AJ448" s="1416"/>
      <c r="AZ448" s="3"/>
      <c r="BA448" s="3"/>
      <c r="BB448" s="3"/>
      <c r="BC448" s="3"/>
    </row>
    <row r="449" spans="1:55" ht="13"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109316</v>
      </c>
      <c r="AH450" s="1429"/>
      <c r="AI450" s="1429"/>
      <c r="AJ450" s="1429"/>
      <c r="AZ450" s="3"/>
      <c r="BA450" s="3"/>
      <c r="BB450" s="3"/>
      <c r="BC450" s="3"/>
    </row>
    <row r="451" spans="1:55" ht="13" customHeight="1">
      <c r="D451" s="1585" t="s">
        <v>1207</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3"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854015.15151515149</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854015.15151515149</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777143.25757575757</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20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1" t="s">
        <v>2735</v>
      </c>
      <c r="H474" s="1672"/>
      <c r="I474" s="1672"/>
      <c r="J474" s="1672"/>
      <c r="K474" s="1672"/>
      <c r="L474" s="1672"/>
      <c r="M474" s="1672"/>
      <c r="N474" s="1672"/>
      <c r="O474" s="1672"/>
      <c r="P474" s="1672"/>
      <c r="Q474" s="1672"/>
      <c r="R474" s="1672"/>
      <c r="S474" s="1672"/>
      <c r="T474" s="1672"/>
      <c r="U474" s="1672"/>
      <c r="V474" s="1673"/>
      <c r="W474" s="1391">
        <v>132</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t="s">
        <v>2736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3"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2699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2700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2701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2702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2703</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v>148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v>148</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6</v>
      </c>
      <c r="AD501" s="1390"/>
      <c r="AE501" s="1390"/>
      <c r="AF501" s="1390"/>
      <c r="AG501" s="13" t="s">
        <v>403</v>
      </c>
      <c r="AH501" s="1427">
        <v>2020</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9</v>
      </c>
      <c r="AD502" s="1390"/>
      <c r="AE502" s="1390"/>
      <c r="AF502" s="1390"/>
      <c r="AG502" s="38" t="s">
        <v>403</v>
      </c>
      <c r="AH502" s="1427">
        <v>2019</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3</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4</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7"/>
      <c r="AI512" s="1587"/>
      <c r="AJ512" s="1587"/>
      <c r="AK512" s="1588"/>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3"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3"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2</v>
      </c>
      <c r="AD519" s="1390"/>
      <c r="AE519" s="1390"/>
      <c r="AF519" s="1390"/>
      <c r="AG519" s="38" t="s">
        <v>403</v>
      </c>
      <c r="AH519" s="1427">
        <v>2029</v>
      </c>
      <c r="AI519" s="1427"/>
      <c r="AJ519" s="1427"/>
      <c r="AK519" s="1428"/>
      <c r="BB519" s="3"/>
      <c r="BC519" s="3"/>
      <c r="BD519" s="3"/>
      <c r="BE519" s="3"/>
      <c r="BF519" s="3"/>
      <c r="BG519" s="3"/>
      <c r="BH519" s="3"/>
      <c r="BI519" s="3"/>
      <c r="BJ519" s="3"/>
      <c r="BK519" s="3"/>
      <c r="BL519" s="3"/>
      <c r="BM519" s="3"/>
      <c r="BN519" s="3" t="s">
        <v>2111</v>
      </c>
    </row>
    <row r="520" spans="2:66" ht="13"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3"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2113</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2114</v>
      </c>
    </row>
    <row r="523" spans="2:66" ht="13"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3"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3"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3"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3"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3"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3"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10</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12</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12</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403</v>
      </c>
      <c r="AH542" s="1427">
        <v>2028</v>
      </c>
      <c r="AI542" s="1427"/>
      <c r="AJ542" s="1427"/>
      <c r="AK542" s="1428"/>
      <c r="BB542" s="3"/>
      <c r="BC542" s="3"/>
      <c r="BD542" s="3"/>
      <c r="BE542" s="3"/>
      <c r="BF542" s="3"/>
      <c r="BG542" s="3"/>
      <c r="BH542" s="3" t="s">
        <v>112</v>
      </c>
      <c r="BI542" s="3" t="str">
        <f>N649</f>
        <v>No</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2704</v>
      </c>
      <c r="D554" s="1439"/>
      <c r="E554" s="1439"/>
      <c r="F554" s="1439"/>
      <c r="G554" s="1439"/>
      <c r="H554" s="1439"/>
      <c r="I554" s="1439"/>
      <c r="J554" s="1439"/>
      <c r="K554" s="1439"/>
      <c r="L554" s="1439"/>
      <c r="M554" s="1439" t="s">
        <v>2120</v>
      </c>
      <c r="N554" s="1439"/>
      <c r="O554" s="1439"/>
      <c r="P554" s="1439"/>
      <c r="Q554" s="1425">
        <v>33</v>
      </c>
      <c r="R554" s="1425"/>
      <c r="S554" s="1426"/>
      <c r="T554" s="1424">
        <f>40*12</f>
        <v>480</v>
      </c>
      <c r="U554" s="1425"/>
      <c r="V554" s="1426"/>
      <c r="W554" s="1421">
        <v>6.4000000000000001E-2</v>
      </c>
      <c r="X554" s="1422"/>
      <c r="Y554" s="1423"/>
      <c r="Z554" s="1430" t="s">
        <v>2705</v>
      </c>
      <c r="AA554" s="1430"/>
      <c r="AB554" s="1430"/>
      <c r="AC554" s="1430"/>
      <c r="AD554" s="1430"/>
      <c r="AE554" s="1412">
        <v>1</v>
      </c>
      <c r="AF554" s="1413"/>
      <c r="AG554" s="1413"/>
      <c r="AH554" s="1414"/>
      <c r="AI554" s="1436"/>
      <c r="AJ554" s="1437"/>
      <c r="AK554" s="1437"/>
      <c r="AL554" s="1438"/>
      <c r="AM554" s="1465">
        <v>28311000</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2737</v>
      </c>
      <c r="D555" s="1440"/>
      <c r="E555" s="1440"/>
      <c r="F555" s="1440"/>
      <c r="G555" s="1440"/>
      <c r="H555" s="1440"/>
      <c r="I555" s="1440"/>
      <c r="J555" s="1440"/>
      <c r="K555" s="1440"/>
      <c r="L555" s="1440"/>
      <c r="M555" s="1439" t="s">
        <v>2119</v>
      </c>
      <c r="N555" s="1439"/>
      <c r="O555" s="1439"/>
      <c r="P555" s="1439"/>
      <c r="Q555" s="1424">
        <v>33</v>
      </c>
      <c r="R555" s="1425"/>
      <c r="S555" s="1426"/>
      <c r="T555" s="1424">
        <v>480</v>
      </c>
      <c r="U555" s="1425"/>
      <c r="V555" s="1426"/>
      <c r="W555" s="1421">
        <v>6.9000000000000006E-2</v>
      </c>
      <c r="X555" s="1422"/>
      <c r="Y555" s="1423"/>
      <c r="Z555" s="1430" t="s">
        <v>2705</v>
      </c>
      <c r="AA555" s="1430"/>
      <c r="AB555" s="1430"/>
      <c r="AC555" s="1430"/>
      <c r="AD555" s="1430"/>
      <c r="AE555" s="1412">
        <v>2</v>
      </c>
      <c r="AF555" s="1413"/>
      <c r="AG555" s="1413"/>
      <c r="AH555" s="1414"/>
      <c r="AI555" s="1436"/>
      <c r="AJ555" s="1437"/>
      <c r="AK555" s="1437"/>
      <c r="AL555" s="1438"/>
      <c r="AM555" s="1465">
        <v>50292000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2704</v>
      </c>
      <c r="D556" s="1440"/>
      <c r="E556" s="1440"/>
      <c r="F556" s="1440"/>
      <c r="G556" s="1440"/>
      <c r="H556" s="1440"/>
      <c r="I556" s="1440"/>
      <c r="J556" s="1440"/>
      <c r="K556" s="1440"/>
      <c r="L556" s="1440"/>
      <c r="M556" s="1439" t="s">
        <v>2121</v>
      </c>
      <c r="N556" s="1439"/>
      <c r="O556" s="1439"/>
      <c r="P556" s="1439"/>
      <c r="Q556" s="1424">
        <v>33</v>
      </c>
      <c r="R556" s="1425"/>
      <c r="S556" s="1426"/>
      <c r="T556" s="1424">
        <v>480</v>
      </c>
      <c r="U556" s="1425"/>
      <c r="V556" s="1426"/>
      <c r="W556" s="1421">
        <v>6.4000000000000001E-2</v>
      </c>
      <c r="X556" s="1422"/>
      <c r="Y556" s="1423"/>
      <c r="Z556" s="1430" t="s">
        <v>2705</v>
      </c>
      <c r="AA556" s="1430"/>
      <c r="AB556" s="1430"/>
      <c r="AC556" s="1430"/>
      <c r="AD556" s="1430"/>
      <c r="AE556" s="1412">
        <v>1</v>
      </c>
      <c r="AF556" s="1413"/>
      <c r="AG556" s="1413"/>
      <c r="AH556" s="1414"/>
      <c r="AI556" s="1436"/>
      <c r="AJ556" s="1437"/>
      <c r="AK556" s="1437"/>
      <c r="AL556" s="1438"/>
      <c r="AM556" s="1465">
        <v>9150000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582</v>
      </c>
      <c r="C557" s="1440" t="s">
        <v>2706</v>
      </c>
      <c r="D557" s="1440"/>
      <c r="E557" s="1440"/>
      <c r="F557" s="1440"/>
      <c r="G557" s="1440"/>
      <c r="H557" s="1440"/>
      <c r="I557" s="1440"/>
      <c r="J557" s="1440"/>
      <c r="K557" s="1440"/>
      <c r="L557" s="1440"/>
      <c r="M557" s="1439" t="s">
        <v>2111</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v>10429780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764</v>
      </c>
      <c r="C558" s="1440" t="s">
        <v>2707</v>
      </c>
      <c r="D558" s="1440"/>
      <c r="E558" s="1440"/>
      <c r="F558" s="1440"/>
      <c r="G558" s="1440"/>
      <c r="H558" s="1440"/>
      <c r="I558" s="1440"/>
      <c r="J558" s="1440"/>
      <c r="K558" s="1440"/>
      <c r="L558" s="1440"/>
      <c r="M558" s="1439" t="s">
        <v>2106</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f>112730000-SUM(AM554:AS557)</f>
        <v>14547220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3"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3"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112730000</v>
      </c>
      <c r="AN566" s="1473"/>
      <c r="AO566" s="1473"/>
      <c r="AP566" s="1473"/>
      <c r="AQ566" s="1473"/>
      <c r="AR566" s="1473"/>
      <c r="AS566" s="1474"/>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3" t="str">
        <f>C554</f>
        <v>Citibank - Tax Exempt Bonds</v>
      </c>
      <c r="H568" s="1483"/>
      <c r="I568" s="1483"/>
      <c r="J568" s="1483"/>
      <c r="K568" s="1483"/>
      <c r="L568" s="1483"/>
      <c r="M568" s="1483"/>
      <c r="N568" s="1483"/>
      <c r="O568" s="1483"/>
      <c r="P568" s="1483"/>
      <c r="Q568" s="1483"/>
      <c r="R568" s="1483"/>
      <c r="S568" s="8"/>
      <c r="T568" s="55" t="s">
        <v>113</v>
      </c>
      <c r="U568" t="s">
        <v>464</v>
      </c>
      <c r="Z568" s="1483" t="str">
        <f>C555</f>
        <v>Citibank - Taxable Bonds</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2708</v>
      </c>
      <c r="H569" s="1407"/>
      <c r="I569" s="1407"/>
      <c r="J569" s="1407"/>
      <c r="K569" s="1407"/>
      <c r="L569" s="1407"/>
      <c r="M569" s="1407"/>
      <c r="N569" s="1407"/>
      <c r="O569" s="1407"/>
      <c r="P569" s="1407"/>
      <c r="Q569" s="1407"/>
      <c r="R569" s="1407"/>
      <c r="S569" s="8"/>
      <c r="T569" s="22"/>
      <c r="U569" t="s">
        <v>85</v>
      </c>
      <c r="Z569" s="1407" t="s">
        <v>2708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581</v>
      </c>
      <c r="G570" s="1407" t="s">
        <v>731</v>
      </c>
      <c r="H570" s="1407"/>
      <c r="I570" s="1407"/>
      <c r="J570" s="1407"/>
      <c r="K570" s="1407"/>
      <c r="L570" s="1407"/>
      <c r="M570" s="1407"/>
      <c r="N570" s="1407"/>
      <c r="O570" s="1407"/>
      <c r="P570" s="1407"/>
      <c r="Q570" s="1407"/>
      <c r="R570" s="1407"/>
      <c r="T570" s="22"/>
      <c r="U570" t="s">
        <v>581</v>
      </c>
      <c r="Z570" s="1371" t="s">
        <v>731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2709</v>
      </c>
      <c r="H571" s="1407"/>
      <c r="I571" s="1407"/>
      <c r="J571" s="1407"/>
      <c r="K571" s="1407"/>
      <c r="L571" s="1407"/>
      <c r="M571" s="1407"/>
      <c r="N571" s="1407"/>
      <c r="O571" s="1407"/>
      <c r="P571" s="1407"/>
      <c r="Q571" s="1407"/>
      <c r="R571" s="1407"/>
      <c r="S571" s="8"/>
      <c r="T571" s="22"/>
      <c r="U571" t="s">
        <v>17</v>
      </c>
      <c r="Z571" s="1371" t="s">
        <v>2709</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87" t="s">
        <v>2710</v>
      </c>
      <c r="H572" s="1487"/>
      <c r="I572" s="1487"/>
      <c r="J572" s="1487"/>
      <c r="K572" s="1487"/>
      <c r="L572" s="1487"/>
      <c r="O572" s="33" t="s">
        <v>206</v>
      </c>
      <c r="P572" s="1471"/>
      <c r="Q572" s="1471"/>
      <c r="R572" s="1471"/>
      <c r="S572" s="10"/>
      <c r="T572" s="22"/>
      <c r="U572" t="s">
        <v>316</v>
      </c>
      <c r="Z572" s="1487" t="s">
        <v>2710</v>
      </c>
      <c r="AA572" s="1487"/>
      <c r="AB572" s="1487"/>
      <c r="AC572" s="1487"/>
      <c r="AD572" s="1487"/>
      <c r="AE572" s="1487"/>
      <c r="AH572" s="33" t="s">
        <v>206</v>
      </c>
      <c r="AI572" s="1471"/>
      <c r="AJ572" s="1471"/>
      <c r="AK572" s="1471"/>
      <c r="BB572" s="3"/>
      <c r="BC572" s="3"/>
      <c r="BD572" s="3"/>
      <c r="BE572" s="3"/>
      <c r="BF572" s="3"/>
      <c r="BG572" s="3"/>
      <c r="BH572" s="3"/>
      <c r="BI572" s="3"/>
    </row>
    <row r="573" spans="1:61" ht="13" customHeight="1">
      <c r="A573" s="22"/>
      <c r="B573" t="s">
        <v>18</v>
      </c>
      <c r="H573" s="1407" t="s">
        <v>2712</v>
      </c>
      <c r="I573" s="1407"/>
      <c r="J573" s="1407"/>
      <c r="K573" s="1407"/>
      <c r="L573" s="1407"/>
      <c r="M573" s="1407"/>
      <c r="N573" s="1407"/>
      <c r="O573" s="1407"/>
      <c r="P573" s="1407"/>
      <c r="Q573" s="1407"/>
      <c r="R573" s="1407"/>
      <c r="S573" s="8"/>
      <c r="T573" s="22"/>
      <c r="U573" t="s">
        <v>18</v>
      </c>
      <c r="AA573" s="1407" t="s">
        <v>2711</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1186</v>
      </c>
      <c r="H574" s="8"/>
      <c r="I574" s="8"/>
      <c r="J574" s="8"/>
      <c r="K574" s="8"/>
      <c r="L574" s="8"/>
      <c r="M574" s="1599" t="s">
        <v>2738</v>
      </c>
      <c r="N574" s="1599"/>
      <c r="O574" s="1599"/>
      <c r="P574" s="1599"/>
      <c r="Q574" s="1599"/>
      <c r="R574" s="1599"/>
      <c r="S574" s="8"/>
      <c r="T574" s="22"/>
      <c r="U574" s="320" t="s">
        <v>1186</v>
      </c>
      <c r="AA574" s="8"/>
      <c r="AB574" s="8"/>
      <c r="AC574" s="8"/>
      <c r="AD574" s="8"/>
      <c r="AE574" s="8"/>
      <c r="AF574" s="1599"/>
      <c r="AG574" s="1599"/>
      <c r="AH574" s="1599"/>
      <c r="AI574" s="1599"/>
      <c r="AJ574" s="1599"/>
      <c r="AK574" s="1599"/>
      <c r="BB574" s="3"/>
      <c r="BC574" s="3"/>
      <c r="BD574" s="3"/>
      <c r="BE574" s="3"/>
      <c r="BF574" s="3"/>
      <c r="BG574" s="3"/>
      <c r="BH574" s="3"/>
      <c r="BI574" s="3"/>
    </row>
    <row r="575" spans="1:61" ht="13" customHeight="1">
      <c r="A575" s="22"/>
      <c r="B575" t="s">
        <v>20</v>
      </c>
      <c r="N575" s="1415" t="s">
        <v>546</v>
      </c>
      <c r="O575" s="1415"/>
      <c r="T575" s="22"/>
      <c r="U575" t="s">
        <v>20</v>
      </c>
      <c r="AG575" s="1415"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3" t="str">
        <f>C556</f>
        <v>Citibank - Tax Exempt Bonds</v>
      </c>
      <c r="H577" s="1483"/>
      <c r="I577" s="1483"/>
      <c r="J577" s="1483"/>
      <c r="K577" s="1483"/>
      <c r="L577" s="1483"/>
      <c r="M577" s="1483"/>
      <c r="N577" s="1483"/>
      <c r="O577" s="1483"/>
      <c r="P577" s="1483"/>
      <c r="Q577" s="1483"/>
      <c r="R577" s="1483"/>
      <c r="T577" s="55" t="s">
        <v>582</v>
      </c>
      <c r="U577" t="s">
        <v>464</v>
      </c>
      <c r="Z577" s="1483" t="str">
        <f>C557</f>
        <v xml:space="preserve">Raymond James </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2713</v>
      </c>
      <c r="H578" s="1407"/>
      <c r="I578" s="1407"/>
      <c r="J578" s="1407"/>
      <c r="K578" s="1407"/>
      <c r="L578" s="1407"/>
      <c r="M578" s="1407"/>
      <c r="N578" s="1407"/>
      <c r="O578" s="1407"/>
      <c r="P578" s="1407"/>
      <c r="Q578" s="1407"/>
      <c r="R578" s="1407"/>
      <c r="T578" s="22"/>
      <c r="U578" t="s">
        <v>85</v>
      </c>
      <c r="Z578" s="1407" t="s">
        <v>2716</v>
      </c>
      <c r="AA578" s="1407"/>
      <c r="AB578" s="1407"/>
      <c r="AC578" s="1407"/>
      <c r="AD578" s="1407"/>
      <c r="AE578" s="1407"/>
      <c r="AF578" s="1407"/>
      <c r="AG578" s="1407"/>
      <c r="AH578" s="1407"/>
      <c r="AI578" s="1407"/>
      <c r="AJ578" s="1407"/>
      <c r="AK578" s="1407"/>
      <c r="BB578" s="3"/>
      <c r="BC578" s="3"/>
    </row>
    <row r="579" spans="1:55" ht="13" customHeight="1">
      <c r="A579" s="22"/>
      <c r="B579" t="s">
        <v>581</v>
      </c>
      <c r="G579" s="1371" t="s">
        <v>2714</v>
      </c>
      <c r="H579" s="1371"/>
      <c r="I579" s="1371"/>
      <c r="J579" s="1371"/>
      <c r="K579" s="1371"/>
      <c r="L579" s="1371"/>
      <c r="M579" s="1371"/>
      <c r="N579" s="1371"/>
      <c r="O579" s="1371"/>
      <c r="P579" s="1371"/>
      <c r="Q579" s="1371"/>
      <c r="R579" s="1371"/>
      <c r="T579" s="22"/>
      <c r="U579" t="s">
        <v>581</v>
      </c>
      <c r="Z579" s="1371" t="s">
        <v>2717</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2686</v>
      </c>
      <c r="H580" s="1371"/>
      <c r="I580" s="1371"/>
      <c r="J580" s="1371"/>
      <c r="K580" s="1371"/>
      <c r="L580" s="1371"/>
      <c r="M580" s="1371"/>
      <c r="N580" s="1371"/>
      <c r="O580" s="1371"/>
      <c r="P580" s="1371"/>
      <c r="Q580" s="1371"/>
      <c r="R580" s="1371"/>
      <c r="T580" s="22"/>
      <c r="U580" t="s">
        <v>17</v>
      </c>
      <c r="Z580" s="1371" t="s">
        <v>2675</v>
      </c>
      <c r="AA580" s="1371"/>
      <c r="AB580" s="1371"/>
      <c r="AC580" s="1371"/>
      <c r="AD580" s="1371"/>
      <c r="AE580" s="1371"/>
      <c r="AF580" s="1371"/>
      <c r="AG580" s="1371"/>
      <c r="AH580" s="1371"/>
      <c r="AI580" s="1371"/>
      <c r="AJ580" s="1371"/>
      <c r="AK580" s="1371"/>
      <c r="BB580" s="3"/>
      <c r="BC580" s="3"/>
    </row>
    <row r="581" spans="1:55" ht="13" customHeight="1">
      <c r="A581" s="22"/>
      <c r="B581" t="s">
        <v>316</v>
      </c>
      <c r="G581" s="1487" t="s">
        <v>2687</v>
      </c>
      <c r="H581" s="1487"/>
      <c r="I581" s="1487"/>
      <c r="J581" s="1487"/>
      <c r="K581" s="1487"/>
      <c r="L581" s="1487"/>
      <c r="O581" s="33" t="s">
        <v>206</v>
      </c>
      <c r="P581" s="1471"/>
      <c r="Q581" s="1471"/>
      <c r="R581" s="1471"/>
      <c r="T581" s="22"/>
      <c r="U581" t="s">
        <v>316</v>
      </c>
      <c r="Z581" s="1487" t="s">
        <v>2676</v>
      </c>
      <c r="AA581" s="1487"/>
      <c r="AB581" s="1487"/>
      <c r="AC581" s="1487"/>
      <c r="AD581" s="1487"/>
      <c r="AE581" s="1487"/>
      <c r="AH581" s="33" t="s">
        <v>206</v>
      </c>
      <c r="AI581" s="1471"/>
      <c r="AJ581" s="1471"/>
      <c r="AK581" s="1471"/>
      <c r="BB581" s="3"/>
      <c r="BC581" s="3"/>
    </row>
    <row r="582" spans="1:55" ht="13" customHeight="1">
      <c r="A582" s="22"/>
      <c r="B582" t="s">
        <v>18</v>
      </c>
      <c r="H582" s="1407" t="s">
        <v>2715</v>
      </c>
      <c r="I582" s="1407"/>
      <c r="J582" s="1407"/>
      <c r="K582" s="1407"/>
      <c r="L582" s="1407"/>
      <c r="M582" s="1407"/>
      <c r="N582" s="1407"/>
      <c r="O582" s="1407"/>
      <c r="P582" s="1407"/>
      <c r="Q582" s="1407"/>
      <c r="R582" s="1407"/>
      <c r="T582" s="22"/>
      <c r="U582" t="s">
        <v>18</v>
      </c>
      <c r="AA582" s="1407" t="s">
        <v>2718</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3" t="str">
        <f>C558</f>
        <v>Deferred Costs</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2623</v>
      </c>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3" customHeight="1">
      <c r="A587" s="22"/>
      <c r="B587" t="s">
        <v>581</v>
      </c>
      <c r="G587" s="1407" t="s">
        <v>2618</v>
      </c>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2631</v>
      </c>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3" customHeight="1">
      <c r="A589" s="22"/>
      <c r="B589" t="s">
        <v>316</v>
      </c>
      <c r="G589" s="1487" t="s">
        <v>2635</v>
      </c>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3" customHeight="1">
      <c r="A590" s="22"/>
      <c r="B590" t="s">
        <v>18</v>
      </c>
      <c r="H590" s="1407" t="s">
        <v>2707</v>
      </c>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670</v>
      </c>
      <c r="AH591" s="1415"/>
      <c r="AZ591" s="3"/>
      <c r="BA591" s="3"/>
      <c r="BB591" s="3"/>
      <c r="BC591" s="3"/>
    </row>
    <row r="592" spans="1:55" ht="13" customHeight="1">
      <c r="A592" s="22"/>
      <c r="T592" s="22"/>
      <c r="AZ592" s="3"/>
      <c r="BA592" s="3"/>
      <c r="BB592" s="3"/>
      <c r="BC592" s="3"/>
    </row>
    <row r="593" spans="1:55" ht="13"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670</v>
      </c>
      <c r="O599" s="1415"/>
      <c r="T599" s="22"/>
      <c r="U599" t="s">
        <v>20</v>
      </c>
      <c r="AG599" s="1415" t="s">
        <v>670</v>
      </c>
      <c r="AH599" s="1415"/>
      <c r="BB599" s="3"/>
      <c r="BC599" s="3"/>
    </row>
    <row r="600" spans="1:55" ht="13" customHeight="1">
      <c r="A600" s="22"/>
      <c r="T600" s="22"/>
      <c r="BB600" s="3"/>
      <c r="BC600" s="3"/>
    </row>
    <row r="601" spans="1:55" ht="13"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670</v>
      </c>
      <c r="O615" s="1415"/>
      <c r="U615" t="s">
        <v>20</v>
      </c>
      <c r="AG615" s="1415" t="s">
        <v>670</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669" t="s">
        <v>2103</v>
      </c>
      <c r="C624" s="1669"/>
      <c r="D624" s="1669"/>
      <c r="E624" s="1669"/>
      <c r="F624" s="1669"/>
      <c r="G624" s="1669"/>
      <c r="H624" s="1669"/>
      <c r="I624" s="1669"/>
      <c r="J624" s="1669"/>
      <c r="K624" s="1669"/>
      <c r="L624" s="1669"/>
      <c r="M624" s="1674" t="s">
        <v>2104</v>
      </c>
      <c r="N624" s="1674"/>
      <c r="O624" s="1674"/>
      <c r="P624" s="1674"/>
      <c r="Q624" s="1674" t="s">
        <v>1853</v>
      </c>
      <c r="R624" s="1674"/>
      <c r="S624" s="1674"/>
      <c r="T624" s="1674" t="s">
        <v>1851</v>
      </c>
      <c r="U624" s="1674"/>
      <c r="V624" s="1674"/>
      <c r="W624" s="1670" t="s">
        <v>454</v>
      </c>
      <c r="X624" s="1670"/>
      <c r="Y624" s="1670"/>
      <c r="Z624" s="1397" t="s">
        <v>2133</v>
      </c>
      <c r="AA624" s="1397"/>
      <c r="AB624" s="1398"/>
      <c r="AC624" s="1675" t="s">
        <v>1677</v>
      </c>
      <c r="AD624" s="1676"/>
      <c r="AE624" s="1677"/>
      <c r="AF624" s="1396" t="s">
        <v>1931</v>
      </c>
      <c r="AG624" s="1397"/>
      <c r="AH624" s="1397"/>
      <c r="AI624" s="1397"/>
      <c r="AJ624" s="1398"/>
      <c r="AK624" s="1590" t="s">
        <v>1932</v>
      </c>
      <c r="AL624" s="1591"/>
      <c r="AM624" s="1591"/>
      <c r="AN624" s="1592"/>
      <c r="AO624" s="1674" t="s">
        <v>455</v>
      </c>
      <c r="AP624" s="1674"/>
      <c r="AQ624" s="1674"/>
      <c r="AR624" s="1674"/>
      <c r="AS624" s="1674"/>
      <c r="AU624" s="3"/>
      <c r="AZ624" s="3"/>
      <c r="BA624" s="3"/>
      <c r="BB624" s="3"/>
      <c r="BC624" s="3"/>
    </row>
    <row r="625" spans="2:157" ht="13"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8"/>
      <c r="AD625" s="1679"/>
      <c r="AE625" s="1680"/>
      <c r="AF625" s="1399"/>
      <c r="AG625" s="1400"/>
      <c r="AH625" s="1400"/>
      <c r="AI625" s="1400"/>
      <c r="AJ625" s="1401"/>
      <c r="AK625" s="1593"/>
      <c r="AL625" s="1594"/>
      <c r="AM625" s="1594"/>
      <c r="AN625" s="1595"/>
      <c r="AO625" s="1674"/>
      <c r="AP625" s="1674"/>
      <c r="AQ625" s="1674"/>
      <c r="AR625" s="1674"/>
      <c r="AS625" s="1674"/>
      <c r="AU625" s="3"/>
      <c r="AZ625" s="3"/>
      <c r="BA625" s="3"/>
      <c r="BB625" s="3"/>
      <c r="BC625" s="3"/>
      <c r="BD625" s="3"/>
    </row>
    <row r="626" spans="2:157" ht="13"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1"/>
      <c r="AD626" s="1682"/>
      <c r="AE626" s="1683"/>
      <c r="AF626" s="1402"/>
      <c r="AG626" s="1403"/>
      <c r="AH626" s="1403"/>
      <c r="AI626" s="1403"/>
      <c r="AJ626" s="1404"/>
      <c r="AK626" s="1596"/>
      <c r="AL626" s="1597"/>
      <c r="AM626" s="1597"/>
      <c r="AN626" s="1598"/>
      <c r="AO626" s="1674"/>
      <c r="AP626" s="1674"/>
      <c r="AQ626" s="1674"/>
      <c r="AR626" s="1674"/>
      <c r="AS626" s="1674"/>
      <c r="AT626" s="3"/>
      <c r="AU626" s="3"/>
      <c r="AZ626" s="3"/>
      <c r="BA626" s="3"/>
      <c r="BB626" s="3"/>
      <c r="BC626" s="3"/>
      <c r="BD626" s="3"/>
    </row>
    <row r="627" spans="2:157" ht="13" customHeight="1">
      <c r="B627" s="51" t="s">
        <v>112</v>
      </c>
      <c r="C627" s="1479" t="s">
        <v>2719</v>
      </c>
      <c r="D627" s="1479"/>
      <c r="E627" s="1479"/>
      <c r="F627" s="1479"/>
      <c r="G627" s="1479"/>
      <c r="H627" s="1479"/>
      <c r="I627" s="1479"/>
      <c r="J627" s="1479"/>
      <c r="K627" s="1479"/>
      <c r="L627" s="1479"/>
      <c r="M627" s="1493" t="s">
        <v>2120</v>
      </c>
      <c r="N627" s="1493"/>
      <c r="O627" s="1493"/>
      <c r="P627" s="1493"/>
      <c r="Q627" s="1509">
        <v>180</v>
      </c>
      <c r="R627" s="1509"/>
      <c r="S627" s="1510"/>
      <c r="T627" s="1508">
        <f>40*12</f>
        <v>480</v>
      </c>
      <c r="U627" s="1509"/>
      <c r="V627" s="1510"/>
      <c r="W627" s="1480">
        <v>6.2E-2</v>
      </c>
      <c r="X627" s="1481"/>
      <c r="Y627" s="1482"/>
      <c r="Z627" s="1476" t="s">
        <v>2132</v>
      </c>
      <c r="AA627" s="1477"/>
      <c r="AB627" s="1478"/>
      <c r="AC627" s="1381">
        <v>1</v>
      </c>
      <c r="AD627" s="1382"/>
      <c r="AE627" s="1383"/>
      <c r="AF627" s="1490">
        <v>2103247</v>
      </c>
      <c r="AG627" s="1491"/>
      <c r="AH627" s="1491"/>
      <c r="AI627" s="1491"/>
      <c r="AJ627" s="1492"/>
      <c r="AK627" s="1484"/>
      <c r="AL627" s="1485"/>
      <c r="AM627" s="1485"/>
      <c r="AN627" s="1486"/>
      <c r="AO627" s="1638">
        <v>31064000</v>
      </c>
      <c r="AP627" s="1638"/>
      <c r="AQ627" s="1638"/>
      <c r="AR627" s="1638"/>
      <c r="AS627" s="1638"/>
      <c r="AT627" s="3"/>
      <c r="AU627" s="3"/>
      <c r="AZ627" s="3"/>
      <c r="BA627" s="3"/>
      <c r="BB627" s="3"/>
      <c r="BC627" s="3"/>
      <c r="BD627" s="3"/>
    </row>
    <row r="628" spans="2:157" ht="13" customHeight="1">
      <c r="B628" s="52" t="s">
        <v>113</v>
      </c>
      <c r="C628" s="1479" t="s">
        <v>2321</v>
      </c>
      <c r="D628" s="1479"/>
      <c r="E628" s="1479"/>
      <c r="F628" s="1479"/>
      <c r="G628" s="1479"/>
      <c r="H628" s="1479"/>
      <c r="I628" s="1479"/>
      <c r="J628" s="1479"/>
      <c r="K628" s="1479"/>
      <c r="L628" s="1479"/>
      <c r="M628" s="1493" t="s">
        <v>2107</v>
      </c>
      <c r="N628" s="1493"/>
      <c r="O628" s="1493"/>
      <c r="P628" s="1493"/>
      <c r="Q628" s="1508"/>
      <c r="R628" s="1509"/>
      <c r="S628" s="1510"/>
      <c r="T628" s="1508"/>
      <c r="U628" s="1509"/>
      <c r="V628" s="1510"/>
      <c r="W628" s="1480"/>
      <c r="X628" s="1481"/>
      <c r="Y628" s="1482"/>
      <c r="Z628" s="1476" t="s">
        <v>1185</v>
      </c>
      <c r="AA628" s="1477"/>
      <c r="AB628" s="1478"/>
      <c r="AC628" s="1381"/>
      <c r="AD628" s="1382"/>
      <c r="AE628" s="1383"/>
      <c r="AF628" s="1490"/>
      <c r="AG628" s="1491"/>
      <c r="AH628" s="1491"/>
      <c r="AI628" s="1491"/>
      <c r="AJ628" s="1492"/>
      <c r="AK628" s="1484"/>
      <c r="AL628" s="1485"/>
      <c r="AM628" s="1485"/>
      <c r="AN628" s="1486"/>
      <c r="AO628" s="1475">
        <f>10703854-AO631</f>
        <v>9475854</v>
      </c>
      <c r="AP628" s="1338"/>
      <c r="AQ628" s="1338"/>
      <c r="AR628" s="1338"/>
      <c r="AS628" s="1339"/>
      <c r="AT628" s="1148" t="str">
        <f>IF(AND(NOT(C627=""),C628="",NOT(C629="")),"!","")</f>
        <v/>
      </c>
      <c r="AU628" s="3"/>
      <c r="AZ628" s="3"/>
      <c r="BA628" s="3"/>
      <c r="BB628" s="3"/>
      <c r="BC628" s="3"/>
      <c r="BD628" s="3"/>
    </row>
    <row r="629" spans="2:157" ht="13" customHeight="1">
      <c r="B629" s="52" t="s">
        <v>119</v>
      </c>
      <c r="C629" s="1479" t="s">
        <v>2722</v>
      </c>
      <c r="D629" s="1479"/>
      <c r="E629" s="1479"/>
      <c r="F629" s="1479"/>
      <c r="G629" s="1479"/>
      <c r="H629" s="1479"/>
      <c r="I629" s="1479"/>
      <c r="J629" s="1479"/>
      <c r="K629" s="1479"/>
      <c r="L629" s="1479"/>
      <c r="M629" s="1493" t="s">
        <v>2108</v>
      </c>
      <c r="N629" s="1493"/>
      <c r="O629" s="1493"/>
      <c r="P629" s="1493"/>
      <c r="Q629" s="1508"/>
      <c r="R629" s="1509"/>
      <c r="S629" s="1510"/>
      <c r="T629" s="1508"/>
      <c r="U629" s="1509"/>
      <c r="V629" s="1510"/>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v>1430146</v>
      </c>
      <c r="AP629" s="1338"/>
      <c r="AQ629" s="1338"/>
      <c r="AR629" s="1338"/>
      <c r="AS629" s="1339"/>
      <c r="AT629" s="1148" t="str">
        <f t="shared" ref="AT629:AT638" si="1">IF(AND(NOT(C628=""),C629="",NOT(C630="")),"!","")</f>
        <v/>
      </c>
      <c r="AU629" s="3"/>
      <c r="AZ629" s="3"/>
      <c r="BA629" s="3"/>
      <c r="BB629" s="3"/>
      <c r="BC629" s="3"/>
      <c r="BD629" s="3"/>
    </row>
    <row r="630" spans="2:157" ht="13" customHeight="1">
      <c r="B630" s="52" t="s">
        <v>582</v>
      </c>
      <c r="C630" s="1479" t="s">
        <v>2721</v>
      </c>
      <c r="D630" s="1489"/>
      <c r="E630" s="1489"/>
      <c r="F630" s="1489"/>
      <c r="G630" s="1489"/>
      <c r="H630" s="1489"/>
      <c r="I630" s="1489"/>
      <c r="J630" s="1489"/>
      <c r="K630" s="1489"/>
      <c r="L630" s="1489"/>
      <c r="M630" s="1493" t="s">
        <v>2111</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150500</v>
      </c>
      <c r="AP630" s="1338"/>
      <c r="AQ630" s="1338"/>
      <c r="AR630" s="1338"/>
      <c r="AS630" s="1339"/>
      <c r="AT630" s="1148" t="str">
        <f t="shared" si="1"/>
        <v/>
      </c>
      <c r="AU630" s="3"/>
      <c r="AZ630" s="3"/>
      <c r="BA630" s="3"/>
      <c r="BB630" s="3"/>
      <c r="BC630" s="3"/>
      <c r="BD630" s="3"/>
    </row>
    <row r="631" spans="2:157" ht="13" customHeight="1">
      <c r="B631" s="52" t="s">
        <v>764</v>
      </c>
      <c r="C631" s="1479" t="s">
        <v>2720</v>
      </c>
      <c r="D631" s="1489"/>
      <c r="E631" s="1489"/>
      <c r="F631" s="1489"/>
      <c r="G631" s="1489"/>
      <c r="H631" s="1489"/>
      <c r="I631" s="1489"/>
      <c r="J631" s="1489"/>
      <c r="K631" s="1489"/>
      <c r="L631" s="1489"/>
      <c r="M631" s="1493" t="s">
        <v>2122</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v>1228000</v>
      </c>
      <c r="AP631" s="1338"/>
      <c r="AQ631" s="1338"/>
      <c r="AR631" s="1338"/>
      <c r="AS631" s="1339"/>
      <c r="AT631" s="1148" t="str">
        <f t="shared" si="1"/>
        <v/>
      </c>
      <c r="AU631" s="3"/>
      <c r="AZ631" s="3"/>
      <c r="BA631" s="3"/>
      <c r="BB631" s="3"/>
      <c r="BC631" s="3"/>
      <c r="BD631" s="3"/>
    </row>
    <row r="632" spans="2:157" ht="13"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3"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3"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3"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121.03225806451613</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588.70967741935488</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1065.483870967742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191.20967741935485</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43348500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141.88888888888889</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69532000-150500</f>
        <v>69381500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484.66666666666663</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112730000</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1914.6666666666665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177.45454545454547</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83" t="str">
        <f>C627</f>
        <v>Citibank</v>
      </c>
      <c r="H643" s="1483"/>
      <c r="I643" s="1483"/>
      <c r="J643" s="1483"/>
      <c r="K643" s="1483"/>
      <c r="L643" s="1483"/>
      <c r="M643" s="1483"/>
      <c r="N643" s="1483"/>
      <c r="O643" s="1483"/>
      <c r="P643" s="1483"/>
      <c r="Q643" s="1483"/>
      <c r="R643" s="1483"/>
      <c r="S643" s="8"/>
      <c r="T643" s="55" t="s">
        <v>113</v>
      </c>
      <c r="U643" t="s">
        <v>464</v>
      </c>
      <c r="Z643" s="1483" t="str">
        <f>C628</f>
        <v>Deferred Developer Fee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608.24242424242425</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2708</v>
      </c>
      <c r="H644" s="1407"/>
      <c r="I644" s="1407"/>
      <c r="J644" s="1407"/>
      <c r="K644" s="1407"/>
      <c r="L644" s="1407"/>
      <c r="M644" s="1407"/>
      <c r="N644" s="1407"/>
      <c r="O644" s="1407"/>
      <c r="P644" s="1407"/>
      <c r="Q644" s="1407"/>
      <c r="R644" s="1407"/>
      <c r="S644" s="8"/>
      <c r="T644" s="22"/>
      <c r="U644" t="s">
        <v>85</v>
      </c>
      <c r="Z644" s="1407" t="s">
        <v>2623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1010.3333333333333</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407" t="s">
        <v>731</v>
      </c>
      <c r="H645" s="1407"/>
      <c r="I645" s="1407"/>
      <c r="J645" s="1407"/>
      <c r="K645" s="1407"/>
      <c r="L645" s="1407"/>
      <c r="M645" s="1407"/>
      <c r="N645" s="1407"/>
      <c r="O645" s="1407"/>
      <c r="P645" s="1407"/>
      <c r="Q645" s="1407"/>
      <c r="R645" s="1407"/>
      <c r="T645" s="22"/>
      <c r="U645" t="s">
        <v>581</v>
      </c>
      <c r="Z645" s="1371" t="s">
        <v>2618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1076.6666666666667</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2709</v>
      </c>
      <c r="H646" s="1407"/>
      <c r="I646" s="1407"/>
      <c r="J646" s="1407"/>
      <c r="K646" s="1407"/>
      <c r="L646" s="1407"/>
      <c r="M646" s="1407"/>
      <c r="N646" s="1407"/>
      <c r="O646" s="1407"/>
      <c r="P646" s="1407"/>
      <c r="Q646" s="1407"/>
      <c r="R646" s="1407"/>
      <c r="S646" s="8"/>
      <c r="T646" s="22"/>
      <c r="U646" t="s">
        <v>17</v>
      </c>
      <c r="Z646" s="1371" t="s">
        <v>2631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487" t="s">
        <v>2710</v>
      </c>
      <c r="H647" s="1487"/>
      <c r="I647" s="1487"/>
      <c r="J647" s="1487"/>
      <c r="K647" s="1487"/>
      <c r="L647" s="1487"/>
      <c r="O647" s="33" t="s">
        <v>206</v>
      </c>
      <c r="P647" s="1471"/>
      <c r="Q647" s="1471"/>
      <c r="R647" s="1471"/>
      <c r="S647" s="10"/>
      <c r="T647" s="22"/>
      <c r="U647" t="s">
        <v>316</v>
      </c>
      <c r="Z647" s="1487" t="s">
        <v>2635</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2723</v>
      </c>
      <c r="I648" s="1407"/>
      <c r="J648" s="1407"/>
      <c r="K648" s="1407"/>
      <c r="L648" s="1407"/>
      <c r="M648" s="1407"/>
      <c r="N648" s="1407"/>
      <c r="O648" s="1407"/>
      <c r="P648" s="1407"/>
      <c r="Q648" s="1407"/>
      <c r="R648" s="1407"/>
      <c r="S648" s="8"/>
      <c r="T648" s="22"/>
      <c r="U648" t="s">
        <v>18</v>
      </c>
      <c r="AA648" s="1407" t="s">
        <v>2720</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670</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83" t="str">
        <f>C629</f>
        <v>Contribution Developer Fee</v>
      </c>
      <c r="H651" s="1483"/>
      <c r="I651" s="1483"/>
      <c r="J651" s="1483"/>
      <c r="K651" s="1483"/>
      <c r="L651" s="1483"/>
      <c r="M651" s="1483"/>
      <c r="N651" s="1483"/>
      <c r="O651" s="1483"/>
      <c r="P651" s="1483"/>
      <c r="Q651" s="1483"/>
      <c r="R651" s="1483"/>
      <c r="T651" s="55" t="s">
        <v>582</v>
      </c>
      <c r="U651" t="s">
        <v>464</v>
      </c>
      <c r="Z651" s="1483" t="str">
        <f>C630</f>
        <v xml:space="preserve">Solar Credit </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2623</v>
      </c>
      <c r="H652" s="1407"/>
      <c r="I652" s="1407"/>
      <c r="J652" s="1407"/>
      <c r="K652" s="1407"/>
      <c r="L652" s="1407"/>
      <c r="M652" s="1407"/>
      <c r="N652" s="1407"/>
      <c r="O652" s="1407"/>
      <c r="P652" s="1407"/>
      <c r="Q652" s="1407"/>
      <c r="R652" s="1407"/>
      <c r="T652" s="22"/>
      <c r="U652" t="s">
        <v>85</v>
      </c>
      <c r="Z652" s="1407" t="s">
        <v>2623</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371" t="s">
        <v>2618</v>
      </c>
      <c r="H653" s="1371"/>
      <c r="I653" s="1371"/>
      <c r="J653" s="1371"/>
      <c r="K653" s="1371"/>
      <c r="L653" s="1371"/>
      <c r="M653" s="1371"/>
      <c r="N653" s="1371"/>
      <c r="O653" s="1371"/>
      <c r="P653" s="1371"/>
      <c r="Q653" s="1371"/>
      <c r="R653" s="1371"/>
      <c r="T653" s="22"/>
      <c r="U653" t="s">
        <v>581</v>
      </c>
      <c r="Z653" s="1371" t="s">
        <v>2618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2631</v>
      </c>
      <c r="H654" s="1371"/>
      <c r="I654" s="1371"/>
      <c r="J654" s="1371"/>
      <c r="K654" s="1371"/>
      <c r="L654" s="1371"/>
      <c r="M654" s="1371"/>
      <c r="N654" s="1371"/>
      <c r="O654" s="1371"/>
      <c r="P654" s="1371"/>
      <c r="Q654" s="1371"/>
      <c r="R654" s="1371"/>
      <c r="T654" s="22"/>
      <c r="U654" t="s">
        <v>17</v>
      </c>
      <c r="Z654" s="1371" t="s">
        <v>2631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87" t="s">
        <v>2635</v>
      </c>
      <c r="H655" s="1487"/>
      <c r="I655" s="1487"/>
      <c r="J655" s="1487"/>
      <c r="K655" s="1487"/>
      <c r="L655" s="1487"/>
      <c r="O655" s="33" t="s">
        <v>206</v>
      </c>
      <c r="P655" s="1471"/>
      <c r="Q655" s="1471"/>
      <c r="R655" s="1471"/>
      <c r="T655" s="22"/>
      <c r="U655" t="s">
        <v>316</v>
      </c>
      <c r="Z655" s="1487" t="s">
        <v>2635</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2321</v>
      </c>
      <c r="I656" s="1407"/>
      <c r="J656" s="1407"/>
      <c r="K656" s="1407"/>
      <c r="L656" s="1407"/>
      <c r="M656" s="1407"/>
      <c r="N656" s="1407"/>
      <c r="O656" s="1407"/>
      <c r="P656" s="1407"/>
      <c r="Q656" s="1407"/>
      <c r="R656" s="1407"/>
      <c r="T656" s="22"/>
      <c r="U656" t="s">
        <v>18</v>
      </c>
      <c r="AA656" s="1407" t="s">
        <v>2722</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83" t="str">
        <f>C631</f>
        <v>Cash from Operations</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1966.4354838709678</v>
      </c>
      <c r="ED670" s="1369"/>
      <c r="EE670" s="1369"/>
      <c r="EF670" s="1369"/>
      <c r="EG670" s="1369"/>
      <c r="EH670" s="1369">
        <f>SUMIF(EH635:EL669,"&gt;0")</f>
        <v>2541.2222222222222</v>
      </c>
      <c r="EI670" s="1369"/>
      <c r="EJ670" s="1369"/>
      <c r="EK670" s="1369"/>
      <c r="EL670" s="1369"/>
      <c r="EM670" s="1369">
        <f>SUMIF(EM635:EQ669,"&gt;0")</f>
        <v>2872.69696969697</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670</v>
      </c>
      <c r="O673" s="1415"/>
      <c r="T673" s="22"/>
      <c r="U673" t="s">
        <v>20</v>
      </c>
      <c r="AG673" s="1415" t="s">
        <v>670</v>
      </c>
      <c r="AH673" s="1415"/>
      <c r="AZ673" s="3"/>
    </row>
    <row r="674" spans="1:52" ht="13" customHeight="1">
      <c r="A674" s="22"/>
      <c r="T674" s="22"/>
      <c r="AZ674" s="3"/>
    </row>
    <row r="675" spans="1:52" ht="13"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670</v>
      </c>
      <c r="O681" s="1415"/>
      <c r="T681" s="22"/>
      <c r="U681" t="s">
        <v>20</v>
      </c>
      <c r="AG681" s="1415" t="s">
        <v>670</v>
      </c>
      <c r="AH681" s="1415"/>
      <c r="AZ681" s="3"/>
    </row>
    <row r="682" spans="1:52" ht="13" customHeight="1">
      <c r="A682" s="22"/>
      <c r="T682" s="22"/>
      <c r="AZ682" s="3"/>
    </row>
    <row r="683" spans="1:52" ht="13"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670</v>
      </c>
      <c r="AF693" s="1415"/>
      <c r="AZ693" s="3"/>
    </row>
    <row r="694" spans="1:67" ht="13" customHeight="1">
      <c r="B694" s="135"/>
      <c r="C694" s="135"/>
      <c r="D694" s="136" t="s">
        <v>438</v>
      </c>
      <c r="E694" s="135"/>
      <c r="F694" s="135"/>
      <c r="G694" s="135"/>
      <c r="H694" s="135"/>
      <c r="AE694" s="1415" t="s">
        <v>670</v>
      </c>
      <c r="AF694" s="1415"/>
      <c r="AZ694" s="3"/>
    </row>
    <row r="695" spans="1:67" ht="13" customHeight="1">
      <c r="B695" s="135"/>
      <c r="C695" s="135"/>
      <c r="D695" s="136" t="s">
        <v>921</v>
      </c>
      <c r="E695" s="135"/>
      <c r="F695" s="135"/>
      <c r="G695" s="135"/>
      <c r="H695" s="135"/>
      <c r="AE695" s="1506">
        <v>45909</v>
      </c>
      <c r="AF695" s="1506"/>
      <c r="AG695" s="1506"/>
      <c r="AH695" s="1506"/>
      <c r="AI695" s="1506"/>
    </row>
    <row r="696" spans="1:67" ht="13" customHeight="1">
      <c r="B696" s="135"/>
      <c r="C696" s="135"/>
      <c r="D696" s="317" t="s">
        <v>984</v>
      </c>
      <c r="E696" s="135"/>
      <c r="F696" s="135"/>
      <c r="G696" s="135"/>
      <c r="H696" s="135"/>
      <c r="AE696" s="1665">
        <v>45980</v>
      </c>
      <c r="AF696" s="1665"/>
      <c r="AG696" s="1665"/>
      <c r="AH696" s="1665"/>
      <c r="AI696" s="1665"/>
    </row>
    <row r="697" spans="1:67" ht="13" customHeight="1">
      <c r="B697" s="135"/>
      <c r="C697" s="135"/>
    </row>
    <row r="698" spans="1:67" ht="13" customHeight="1">
      <c r="B698" s="135"/>
      <c r="C698" s="135"/>
      <c r="D698" s="136" t="s">
        <v>817</v>
      </c>
      <c r="E698" s="135"/>
      <c r="F698" s="135"/>
      <c r="G698" s="135"/>
      <c r="H698" s="135"/>
      <c r="AE698" s="1506">
        <v>46161</v>
      </c>
      <c r="AF698" s="1506"/>
      <c r="AG698" s="1506"/>
      <c r="AH698" s="1506"/>
      <c r="AI698" s="1506"/>
    </row>
    <row r="699" spans="1:67" ht="13" customHeight="1">
      <c r="B699" s="135"/>
      <c r="C699" s="135"/>
      <c r="D699" s="136" t="s">
        <v>436</v>
      </c>
      <c r="E699" s="135"/>
      <c r="F699" s="135"/>
      <c r="G699" s="135"/>
      <c r="H699" s="135"/>
      <c r="AE699" s="1685">
        <v>0.27600000000000002</v>
      </c>
      <c r="AF699" s="1685"/>
      <c r="AG699" s="1685"/>
      <c r="AH699" s="1685"/>
      <c r="AI699" s="1685"/>
    </row>
    <row r="700" spans="1:67" ht="13" customHeight="1">
      <c r="B700" s="135"/>
      <c r="C700" s="135"/>
      <c r="D700" s="136" t="s">
        <v>437</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5" t="s">
        <v>634</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3" customHeight="1">
      <c r="A718" s="4"/>
      <c r="B718" s="1355" t="s">
        <v>325</v>
      </c>
      <c r="C718" s="1356"/>
      <c r="D718" s="1356"/>
      <c r="E718" s="1356"/>
      <c r="F718" s="1357"/>
      <c r="G718" s="1364">
        <v>7</v>
      </c>
      <c r="H718" s="1365"/>
      <c r="I718" s="1365"/>
      <c r="J718" s="1366"/>
      <c r="K718" s="1604">
        <v>511</v>
      </c>
      <c r="L718" s="1605"/>
      <c r="M718" s="1605"/>
      <c r="N718" s="1606"/>
      <c r="O718" s="1468">
        <v>1072</v>
      </c>
      <c r="P718" s="1469"/>
      <c r="Q718" s="1469"/>
      <c r="R718" s="1469"/>
      <c r="S718" s="1470"/>
      <c r="T718" s="1468">
        <v>59</v>
      </c>
      <c r="U718" s="1469"/>
      <c r="V718" s="1469"/>
      <c r="W718" s="1470"/>
      <c r="X718" s="1358">
        <f t="shared" ref="X718:X741" si="8">O718+T718</f>
        <v>1131</v>
      </c>
      <c r="Y718" s="1359"/>
      <c r="Z718" s="1359"/>
      <c r="AA718" s="1359"/>
      <c r="AB718" s="1360"/>
      <c r="AC718" s="1613">
        <v>0.3</v>
      </c>
      <c r="AD718" s="1614"/>
      <c r="AE718" s="1614"/>
      <c r="AF718" s="1614"/>
      <c r="AG718" s="1615"/>
      <c r="AH718" s="1361">
        <f>IF($AC718&gt;0,($X718/$AZ718), "")</f>
        <v>0.30015923566878983</v>
      </c>
      <c r="AI718" s="1362"/>
      <c r="AJ718" s="1363"/>
      <c r="AK718" s="1355" t="s">
        <v>592</v>
      </c>
      <c r="AL718" s="1356"/>
      <c r="AM718" s="1356"/>
      <c r="AN718" s="1356"/>
      <c r="AO718" s="1357"/>
      <c r="AP718" s="3"/>
      <c r="AQ718" s="3"/>
      <c r="AR718" s="3"/>
      <c r="AS718" s="3"/>
      <c r="AZ718" s="118">
        <f t="shared" ref="AZ718:AZ752" si="9">IF($G718=0,"N/A",VLOOKUP($T$189,TC_Rent,(MATCH($B718,bedrooms,FALSE)),FALSE))</f>
        <v>3768</v>
      </c>
      <c r="BA718" s="3"/>
      <c r="BB718" s="3"/>
      <c r="BC718" s="3"/>
      <c r="BD718" s="3"/>
      <c r="BE718" s="204"/>
      <c r="BF718" s="293">
        <f t="shared" ref="BF718:BF752" si="10">G718</f>
        <v>7</v>
      </c>
      <c r="BG718" s="297">
        <f t="shared" ref="BG718:BG752" si="11">IF($BF$753=0,0,BF718/$BF$753)</f>
        <v>5.3435114503816793E-2</v>
      </c>
      <c r="BH718" s="298">
        <f t="shared" ref="BH718:BH752" si="12">IF(BG718=0,"",BG718*AC718)</f>
        <v>1.6030534351145036E-2</v>
      </c>
      <c r="BI718" s="3"/>
      <c r="BJ718" s="3"/>
      <c r="BK718" s="3"/>
      <c r="BL718" s="3"/>
      <c r="BM718" s="3"/>
      <c r="BN718" s="3"/>
      <c r="BS718" s="293">
        <f t="shared" ref="BS718:BS752" si="13">G718</f>
        <v>7</v>
      </c>
      <c r="BT718" s="297">
        <f t="shared" ref="BT718:BT752" si="14">IF($BS$753=0,0,BS718/$BS$753)</f>
        <v>5.3435114503816793E-2</v>
      </c>
      <c r="BU718" s="298">
        <f t="shared" ref="BU718:BU752" si="15">IF(BT718=0,"",BT718*AH718)</f>
        <v>1.6039043127339912E-2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7</v>
      </c>
      <c r="CN718" s="1337"/>
      <c r="CO718" s="3"/>
      <c r="CP718" s="1332">
        <f t="shared" ref="CP718:CP752" si="18">IF(B718="SRO/Studio",G718,0)</f>
        <v>0</v>
      </c>
      <c r="CQ718" s="1333"/>
      <c r="CR718" s="1333"/>
      <c r="CS718" s="1333"/>
      <c r="CT718" s="1334"/>
      <c r="CU718" s="1354">
        <f t="shared" ref="CU718:CU752" si="19">IF(B718="1 Bedroom",G718,0)</f>
        <v>7</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7</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1072</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325</v>
      </c>
      <c r="C719" s="1356"/>
      <c r="D719" s="1356"/>
      <c r="E719" s="1356"/>
      <c r="F719" s="1357"/>
      <c r="G719" s="1364">
        <v>20</v>
      </c>
      <c r="H719" s="1365"/>
      <c r="I719" s="1365"/>
      <c r="J719" s="1366"/>
      <c r="K719" s="1604">
        <v>511</v>
      </c>
      <c r="L719" s="1605"/>
      <c r="M719" s="1605"/>
      <c r="N719" s="1606"/>
      <c r="O719" s="1468">
        <v>1825</v>
      </c>
      <c r="P719" s="1469"/>
      <c r="Q719" s="1469"/>
      <c r="R719" s="1469"/>
      <c r="S719" s="1470"/>
      <c r="T719" s="1468">
        <v>59</v>
      </c>
      <c r="U719" s="1469"/>
      <c r="V719" s="1469"/>
      <c r="W719" s="1470"/>
      <c r="X719" s="1358">
        <f t="shared" si="8"/>
        <v>1884</v>
      </c>
      <c r="Y719" s="1359"/>
      <c r="Z719" s="1359"/>
      <c r="AA719" s="1359"/>
      <c r="AB719" s="1360"/>
      <c r="AC719" s="1613">
        <v>0.5</v>
      </c>
      <c r="AD719" s="1614"/>
      <c r="AE719" s="1614"/>
      <c r="AF719" s="1614"/>
      <c r="AG719" s="1615"/>
      <c r="AH719" s="1361">
        <f t="shared" ref="AH719:AH752" si="36">IF($AC719&gt;0,($X719/$AZ719), "")</f>
        <v>0.5</v>
      </c>
      <c r="AI719" s="1362"/>
      <c r="AJ719" s="1363"/>
      <c r="AK719" s="1355" t="s">
        <v>592</v>
      </c>
      <c r="AL719" s="1356"/>
      <c r="AM719" s="1356"/>
      <c r="AN719" s="1356"/>
      <c r="AO719" s="1357"/>
      <c r="AP719" s="3"/>
      <c r="AQ719" s="3"/>
      <c r="AR719" s="3"/>
      <c r="AS719" s="3"/>
      <c r="AZ719" s="118">
        <f t="shared" si="9"/>
        <v>3768</v>
      </c>
      <c r="BA719" s="3"/>
      <c r="BB719" s="3"/>
      <c r="BC719" s="3"/>
      <c r="BD719" s="3"/>
      <c r="BE719" s="204"/>
      <c r="BF719" s="294">
        <f t="shared" si="10"/>
        <v>20</v>
      </c>
      <c r="BG719" s="297">
        <f t="shared" si="11"/>
        <v>0.15267175572519084</v>
      </c>
      <c r="BH719" s="298">
        <f t="shared" si="12"/>
        <v>7.6335877862595422E-2</v>
      </c>
      <c r="BI719" s="3"/>
      <c r="BJ719" s="3"/>
      <c r="BK719" s="3"/>
      <c r="BL719" s="3"/>
      <c r="BM719" s="3"/>
      <c r="BN719" s="3"/>
      <c r="BS719" s="294">
        <f t="shared" si="13"/>
        <v>20</v>
      </c>
      <c r="BT719" s="297">
        <f t="shared" si="14"/>
        <v>0.15267175572519084</v>
      </c>
      <c r="BU719" s="298">
        <f t="shared" si="15"/>
        <v>7.6335877862595422E-2</v>
      </c>
      <c r="CC719" s="3"/>
      <c r="CD719" s="3"/>
      <c r="CE719" s="3"/>
      <c r="CF719" s="3"/>
      <c r="CG719" s="1351">
        <f t="shared" ref="CG719:CG752" si="37">IF(AND(AC719&lt;=0.5,AC719&gt;=0.36),1,0)</f>
        <v>1</v>
      </c>
      <c r="CH719" s="1353"/>
      <c r="CI719" s="1335">
        <f t="shared" ref="CI719:CI752" si="38">IF(CG719=1,G719,0)</f>
        <v>20</v>
      </c>
      <c r="CJ719" s="1337"/>
      <c r="CK719" s="1351">
        <f t="shared" si="16"/>
        <v>0</v>
      </c>
      <c r="CL719" s="1353"/>
      <c r="CM719" s="1335">
        <f t="shared" si="17"/>
        <v>0</v>
      </c>
      <c r="CN719" s="1337"/>
      <c r="CO719" s="3"/>
      <c r="CP719" s="1332">
        <f t="shared" si="18"/>
        <v>0</v>
      </c>
      <c r="CQ719" s="1333"/>
      <c r="CR719" s="1333"/>
      <c r="CS719" s="1333"/>
      <c r="CT719" s="1334"/>
      <c r="CU719" s="1354">
        <f t="shared" si="19"/>
        <v>20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1825</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325</v>
      </c>
      <c r="C720" s="1356"/>
      <c r="D720" s="1356"/>
      <c r="E720" s="1356"/>
      <c r="F720" s="1357"/>
      <c r="G720" s="1364">
        <v>30</v>
      </c>
      <c r="H720" s="1365"/>
      <c r="I720" s="1365"/>
      <c r="J720" s="1366"/>
      <c r="K720" s="1604">
        <v>511</v>
      </c>
      <c r="L720" s="1605"/>
      <c r="M720" s="1605"/>
      <c r="N720" s="1606"/>
      <c r="O720" s="1468">
        <v>2202</v>
      </c>
      <c r="P720" s="1469"/>
      <c r="Q720" s="1469"/>
      <c r="R720" s="1469"/>
      <c r="S720" s="1470"/>
      <c r="T720" s="1468">
        <v>59</v>
      </c>
      <c r="U720" s="1469"/>
      <c r="V720" s="1469"/>
      <c r="W720" s="1470"/>
      <c r="X720" s="1358">
        <f t="shared" si="8"/>
        <v>2261</v>
      </c>
      <c r="Y720" s="1359"/>
      <c r="Z720" s="1359"/>
      <c r="AA720" s="1359"/>
      <c r="AB720" s="1360"/>
      <c r="AC720" s="1613">
        <v>0.6</v>
      </c>
      <c r="AD720" s="1614"/>
      <c r="AE720" s="1614"/>
      <c r="AF720" s="1614"/>
      <c r="AG720" s="1615"/>
      <c r="AH720" s="1361">
        <f t="shared" si="36"/>
        <v>0.60005307855626322</v>
      </c>
      <c r="AI720" s="1362"/>
      <c r="AJ720" s="1363"/>
      <c r="AK720" s="1355" t="s">
        <v>592</v>
      </c>
      <c r="AL720" s="1356"/>
      <c r="AM720" s="1356"/>
      <c r="AN720" s="1356"/>
      <c r="AO720" s="1357"/>
      <c r="AP720" s="3"/>
      <c r="AQ720" s="3"/>
      <c r="AR720" s="3"/>
      <c r="AS720" s="3"/>
      <c r="AZ720" s="118">
        <f t="shared" si="9"/>
        <v>3768</v>
      </c>
      <c r="BA720" s="3"/>
      <c r="BB720" s="3"/>
      <c r="BC720" s="3"/>
      <c r="BD720" s="3"/>
      <c r="BE720" s="204"/>
      <c r="BF720" s="294">
        <f t="shared" si="10"/>
        <v>30</v>
      </c>
      <c r="BG720" s="297">
        <f t="shared" si="11"/>
        <v>0.22900763358778625</v>
      </c>
      <c r="BH720" s="298">
        <f t="shared" si="12"/>
        <v>0.13740458015267173</v>
      </c>
      <c r="BI720" s="3"/>
      <c r="BJ720" s="3"/>
      <c r="BK720" s="3"/>
      <c r="BL720" s="3"/>
      <c r="BM720" s="3"/>
      <c r="BN720" s="3"/>
      <c r="BS720" s="294">
        <f t="shared" si="13"/>
        <v>30</v>
      </c>
      <c r="BT720" s="297">
        <f t="shared" si="14"/>
        <v>0.22900763358778625</v>
      </c>
      <c r="BU720" s="298">
        <f t="shared" si="15"/>
        <v>0.13741673554723585</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30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2202</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325</v>
      </c>
      <c r="C721" s="1356"/>
      <c r="D721" s="1356"/>
      <c r="E721" s="1356"/>
      <c r="F721" s="1357"/>
      <c r="G721" s="1364">
        <v>5</v>
      </c>
      <c r="H721" s="1365"/>
      <c r="I721" s="1365"/>
      <c r="J721" s="1366"/>
      <c r="K721" s="1604">
        <v>511</v>
      </c>
      <c r="L721" s="1605"/>
      <c r="M721" s="1605"/>
      <c r="N721" s="1606"/>
      <c r="O721" s="1468">
        <v>2371</v>
      </c>
      <c r="P721" s="1469"/>
      <c r="Q721" s="1469"/>
      <c r="R721" s="1469"/>
      <c r="S721" s="1470"/>
      <c r="T721" s="1468">
        <v>59</v>
      </c>
      <c r="U721" s="1469"/>
      <c r="V721" s="1469"/>
      <c r="W721" s="1470"/>
      <c r="X721" s="1358">
        <f t="shared" si="8"/>
        <v>2430</v>
      </c>
      <c r="Y721" s="1359"/>
      <c r="Z721" s="1359"/>
      <c r="AA721" s="1359"/>
      <c r="AB721" s="1360"/>
      <c r="AC721" s="1613">
        <v>0.7</v>
      </c>
      <c r="AD721" s="1614"/>
      <c r="AE721" s="1614"/>
      <c r="AF721" s="1614"/>
      <c r="AG721" s="1615"/>
      <c r="AH721" s="1361">
        <f t="shared" si="36"/>
        <v>0.64490445859872614</v>
      </c>
      <c r="AI721" s="1362"/>
      <c r="AJ721" s="1363"/>
      <c r="AK721" s="1355" t="s">
        <v>592</v>
      </c>
      <c r="AL721" s="1356"/>
      <c r="AM721" s="1356"/>
      <c r="AN721" s="1356"/>
      <c r="AO721" s="1357"/>
      <c r="AP721" s="3"/>
      <c r="AQ721" s="3"/>
      <c r="AR721" s="3"/>
      <c r="AS721" s="3"/>
      <c r="AY721" s="116"/>
      <c r="AZ721" s="118">
        <f t="shared" si="9"/>
        <v>3768</v>
      </c>
      <c r="BA721" s="3"/>
      <c r="BB721" s="3"/>
      <c r="BC721" s="3"/>
      <c r="BD721" s="3"/>
      <c r="BE721" s="204"/>
      <c r="BF721" s="294">
        <f t="shared" si="10"/>
        <v>5</v>
      </c>
      <c r="BG721" s="297">
        <f t="shared" si="11"/>
        <v>3.8167938931297711E-2</v>
      </c>
      <c r="BH721" s="298">
        <f t="shared" si="12"/>
        <v>2.6717557251908396E-2</v>
      </c>
      <c r="BI721" s="3"/>
      <c r="BJ721" s="3"/>
      <c r="BK721" s="3"/>
      <c r="BL721" s="3"/>
      <c r="BM721" s="3"/>
      <c r="BN721" s="3"/>
      <c r="BS721" s="294">
        <f t="shared" si="13"/>
        <v>5</v>
      </c>
      <c r="BT721" s="297">
        <f t="shared" si="14"/>
        <v>3.8167938931297711E-2</v>
      </c>
      <c r="BU721" s="298">
        <f t="shared" si="15"/>
        <v>2.4614673992317791E-2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5</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2371</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163</v>
      </c>
      <c r="C722" s="1356"/>
      <c r="D722" s="1356"/>
      <c r="E722" s="1356"/>
      <c r="F722" s="1357"/>
      <c r="G722" s="1364">
        <v>4</v>
      </c>
      <c r="H722" s="1365"/>
      <c r="I722" s="1365"/>
      <c r="J722" s="1366"/>
      <c r="K722" s="1604">
        <v>755</v>
      </c>
      <c r="L722" s="1605"/>
      <c r="M722" s="1605"/>
      <c r="N722" s="1606"/>
      <c r="O722" s="1468">
        <v>1277</v>
      </c>
      <c r="P722" s="1469"/>
      <c r="Q722" s="1469"/>
      <c r="R722" s="1469"/>
      <c r="S722" s="1470"/>
      <c r="T722" s="1468">
        <v>80</v>
      </c>
      <c r="U722" s="1469"/>
      <c r="V722" s="1469"/>
      <c r="W722" s="1470"/>
      <c r="X722" s="1358">
        <f t="shared" si="8"/>
        <v>1357</v>
      </c>
      <c r="Y722" s="1359"/>
      <c r="Z722" s="1359"/>
      <c r="AA722" s="1359"/>
      <c r="AB722" s="1360"/>
      <c r="AC722" s="1613">
        <v>0.3</v>
      </c>
      <c r="AD722" s="1614"/>
      <c r="AE722" s="1614"/>
      <c r="AF722" s="1614"/>
      <c r="AG722" s="1615"/>
      <c r="AH722" s="1361">
        <f t="shared" si="36"/>
        <v>0.30008845643520565</v>
      </c>
      <c r="AI722" s="1362"/>
      <c r="AJ722" s="1363"/>
      <c r="AK722" s="1355" t="s">
        <v>592</v>
      </c>
      <c r="AL722" s="1356"/>
      <c r="AM722" s="1356"/>
      <c r="AN722" s="1356"/>
      <c r="AO722" s="1357"/>
      <c r="AP722" s="3"/>
      <c r="AQ722" s="3"/>
      <c r="AR722" s="3"/>
      <c r="AS722" s="3"/>
      <c r="AY722" s="116"/>
      <c r="AZ722" s="118">
        <f t="shared" si="9"/>
        <v>4522</v>
      </c>
      <c r="BA722" s="3"/>
      <c r="BB722" s="3"/>
      <c r="BC722" s="3"/>
      <c r="BD722" s="3"/>
      <c r="BE722" s="204"/>
      <c r="BF722" s="294">
        <f t="shared" si="10"/>
        <v>4</v>
      </c>
      <c r="BG722" s="297">
        <f t="shared" si="11"/>
        <v>3.0534351145038167E-2</v>
      </c>
      <c r="BH722" s="298">
        <f t="shared" si="12"/>
        <v>9.160305343511449E-3</v>
      </c>
      <c r="BI722" s="3"/>
      <c r="BJ722" s="3"/>
      <c r="BK722" s="3"/>
      <c r="BL722" s="3"/>
      <c r="BM722" s="3"/>
      <c r="BN722" s="3"/>
      <c r="BS722" s="294">
        <f t="shared" si="13"/>
        <v>4</v>
      </c>
      <c r="BT722" s="297">
        <f t="shared" si="14"/>
        <v>3.0534351145038167E-2</v>
      </c>
      <c r="BU722" s="298">
        <f t="shared" si="15"/>
        <v>9.1630063033650583E-3</v>
      </c>
      <c r="CC722" s="3"/>
      <c r="CD722" s="3"/>
      <c r="CE722" s="3"/>
      <c r="CF722" s="3"/>
      <c r="CG722" s="1351">
        <f t="shared" si="37"/>
        <v>0</v>
      </c>
      <c r="CH722" s="1353"/>
      <c r="CI722" s="1335">
        <f t="shared" si="38"/>
        <v>0</v>
      </c>
      <c r="CJ722" s="1337"/>
      <c r="CK722" s="1351">
        <f t="shared" si="16"/>
        <v>1</v>
      </c>
      <c r="CL722" s="1353"/>
      <c r="CM722" s="1335">
        <f t="shared" si="17"/>
        <v>4</v>
      </c>
      <c r="CN722" s="1337"/>
      <c r="CO722" s="3"/>
      <c r="CP722" s="1332">
        <f t="shared" si="18"/>
        <v>0</v>
      </c>
      <c r="CQ722" s="1333"/>
      <c r="CR722" s="1333"/>
      <c r="CS722" s="1333"/>
      <c r="CT722" s="1334"/>
      <c r="CU722" s="1354">
        <f t="shared" si="19"/>
        <v>0</v>
      </c>
      <c r="CV722" s="1354"/>
      <c r="CW722" s="1354"/>
      <c r="CX722" s="1354"/>
      <c r="CY722" s="1354"/>
      <c r="CZ722" s="1354">
        <f t="shared" si="20"/>
        <v>4</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4</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1277</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163</v>
      </c>
      <c r="C723" s="1356"/>
      <c r="D723" s="1356"/>
      <c r="E723" s="1356"/>
      <c r="F723" s="1357"/>
      <c r="G723" s="1364">
        <v>8</v>
      </c>
      <c r="H723" s="1365"/>
      <c r="I723" s="1365"/>
      <c r="J723" s="1366"/>
      <c r="K723" s="1604">
        <v>755</v>
      </c>
      <c r="L723" s="1605"/>
      <c r="M723" s="1605"/>
      <c r="N723" s="1606"/>
      <c r="O723" s="1468">
        <v>2181</v>
      </c>
      <c r="P723" s="1469"/>
      <c r="Q723" s="1469"/>
      <c r="R723" s="1469"/>
      <c r="S723" s="1470"/>
      <c r="T723" s="1468">
        <v>80</v>
      </c>
      <c r="U723" s="1469"/>
      <c r="V723" s="1469"/>
      <c r="W723" s="1470"/>
      <c r="X723" s="1358">
        <f t="shared" si="8"/>
        <v>2261</v>
      </c>
      <c r="Y723" s="1359"/>
      <c r="Z723" s="1359"/>
      <c r="AA723" s="1359"/>
      <c r="AB723" s="1360"/>
      <c r="AC723" s="1613">
        <v>0.5</v>
      </c>
      <c r="AD723" s="1614"/>
      <c r="AE723" s="1614"/>
      <c r="AF723" s="1614"/>
      <c r="AG723" s="1615"/>
      <c r="AH723" s="1361">
        <f t="shared" si="36"/>
        <v>0.5</v>
      </c>
      <c r="AI723" s="1362"/>
      <c r="AJ723" s="1363"/>
      <c r="AK723" s="1355" t="s">
        <v>592</v>
      </c>
      <c r="AL723" s="1356"/>
      <c r="AM723" s="1356"/>
      <c r="AN723" s="1356"/>
      <c r="AO723" s="1357"/>
      <c r="AP723" s="3"/>
      <c r="AQ723" s="3"/>
      <c r="AR723" s="3"/>
      <c r="AS723" s="3"/>
      <c r="AY723" s="116"/>
      <c r="AZ723" s="118">
        <f t="shared" si="9"/>
        <v>4522</v>
      </c>
      <c r="BA723" s="3"/>
      <c r="BB723" s="3"/>
      <c r="BC723" s="3"/>
      <c r="BD723" s="3"/>
      <c r="BE723" s="204"/>
      <c r="BF723" s="294">
        <f t="shared" si="10"/>
        <v>8</v>
      </c>
      <c r="BG723" s="297">
        <f t="shared" si="11"/>
        <v>6.1068702290076333E-2</v>
      </c>
      <c r="BH723" s="298">
        <f t="shared" si="12"/>
        <v>3.0534351145038167E-2</v>
      </c>
      <c r="BI723" s="3"/>
      <c r="BJ723" s="3"/>
      <c r="BK723" s="3"/>
      <c r="BL723" s="3"/>
      <c r="BM723" s="3"/>
      <c r="BN723" s="3"/>
      <c r="BS723" s="294">
        <f t="shared" si="13"/>
        <v>8</v>
      </c>
      <c r="BT723" s="297">
        <f t="shared" si="14"/>
        <v>6.1068702290076333E-2</v>
      </c>
      <c r="BU723" s="298">
        <f t="shared" si="15"/>
        <v>3.0534351145038167E-2</v>
      </c>
      <c r="CC723" s="3"/>
      <c r="CD723" s="3"/>
      <c r="CE723" s="3"/>
      <c r="CF723" s="3"/>
      <c r="CG723" s="1351">
        <f t="shared" si="37"/>
        <v>1</v>
      </c>
      <c r="CH723" s="1353"/>
      <c r="CI723" s="1335">
        <f t="shared" si="38"/>
        <v>8</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8</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2181</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163</v>
      </c>
      <c r="C724" s="1356"/>
      <c r="D724" s="1356"/>
      <c r="E724" s="1356"/>
      <c r="F724" s="1357"/>
      <c r="G724" s="1364">
        <v>24</v>
      </c>
      <c r="H724" s="1365"/>
      <c r="I724" s="1365"/>
      <c r="J724" s="1366"/>
      <c r="K724" s="1604">
        <v>755</v>
      </c>
      <c r="L724" s="1605"/>
      <c r="M724" s="1605"/>
      <c r="N724" s="1606"/>
      <c r="O724" s="1468">
        <v>2872</v>
      </c>
      <c r="P724" s="1469"/>
      <c r="Q724" s="1469"/>
      <c r="R724" s="1469"/>
      <c r="S724" s="1470"/>
      <c r="T724" s="1468">
        <v>80</v>
      </c>
      <c r="U724" s="1469"/>
      <c r="V724" s="1469"/>
      <c r="W724" s="1470"/>
      <c r="X724" s="1358">
        <f t="shared" si="8"/>
        <v>2952</v>
      </c>
      <c r="Y724" s="1359"/>
      <c r="Z724" s="1359"/>
      <c r="AA724" s="1359"/>
      <c r="AB724" s="1360"/>
      <c r="AC724" s="1613">
        <v>0.7</v>
      </c>
      <c r="AD724" s="1614"/>
      <c r="AE724" s="1614"/>
      <c r="AF724" s="1614"/>
      <c r="AG724" s="1615"/>
      <c r="AH724" s="1361">
        <f t="shared" si="36"/>
        <v>0.65280849181777978</v>
      </c>
      <c r="AI724" s="1362"/>
      <c r="AJ724" s="1363"/>
      <c r="AK724" s="1355" t="s">
        <v>592</v>
      </c>
      <c r="AL724" s="1356"/>
      <c r="AM724" s="1356"/>
      <c r="AN724" s="1356"/>
      <c r="AO724" s="1357"/>
      <c r="AP724" s="3"/>
      <c r="AQ724" s="3"/>
      <c r="AR724" s="3"/>
      <c r="AS724" s="3"/>
      <c r="AY724" s="116"/>
      <c r="AZ724" s="118">
        <f t="shared" si="9"/>
        <v>4522</v>
      </c>
      <c r="BA724" s="3"/>
      <c r="BB724" s="3"/>
      <c r="BC724" s="3"/>
      <c r="BD724" s="3"/>
      <c r="BE724" s="204"/>
      <c r="BF724" s="294">
        <f t="shared" si="10"/>
        <v>24</v>
      </c>
      <c r="BG724" s="297">
        <f t="shared" si="11"/>
        <v>0.18320610687022901</v>
      </c>
      <c r="BH724" s="298">
        <f t="shared" si="12"/>
        <v>0.12824427480916029</v>
      </c>
      <c r="BI724" s="3"/>
      <c r="BJ724" s="3"/>
      <c r="BK724" s="3"/>
      <c r="BL724" s="3"/>
      <c r="BM724" s="3"/>
      <c r="BN724" s="3"/>
      <c r="BS724" s="294">
        <f t="shared" si="13"/>
        <v>24</v>
      </c>
      <c r="BT724" s="297">
        <f t="shared" si="14"/>
        <v>0.18320610687022901</v>
      </c>
      <c r="BU724" s="298">
        <f t="shared" si="15"/>
        <v>0.11959850231776117</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24</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2872</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164</v>
      </c>
      <c r="C725" s="1356"/>
      <c r="D725" s="1356"/>
      <c r="E725" s="1356"/>
      <c r="F725" s="1357"/>
      <c r="G725" s="1364">
        <v>4</v>
      </c>
      <c r="H725" s="1365"/>
      <c r="I725" s="1365"/>
      <c r="J725" s="1366"/>
      <c r="K725" s="1604">
        <v>989</v>
      </c>
      <c r="L725" s="1605"/>
      <c r="M725" s="1605"/>
      <c r="N725" s="1606"/>
      <c r="O725" s="1468">
        <v>1464</v>
      </c>
      <c r="P725" s="1469"/>
      <c r="Q725" s="1469"/>
      <c r="R725" s="1469"/>
      <c r="S725" s="1470"/>
      <c r="T725" s="1468">
        <v>103</v>
      </c>
      <c r="U725" s="1469"/>
      <c r="V725" s="1469"/>
      <c r="W725" s="1470"/>
      <c r="X725" s="1358">
        <f t="shared" si="8"/>
        <v>1567</v>
      </c>
      <c r="Y725" s="1359"/>
      <c r="Z725" s="1359"/>
      <c r="AA725" s="1359"/>
      <c r="AB725" s="1360"/>
      <c r="AC725" s="1613">
        <v>0.3</v>
      </c>
      <c r="AD725" s="1614"/>
      <c r="AE725" s="1614"/>
      <c r="AF725" s="1614"/>
      <c r="AG725" s="1615"/>
      <c r="AH725" s="1361">
        <f t="shared" si="36"/>
        <v>0.30007659900421296</v>
      </c>
      <c r="AI725" s="1362"/>
      <c r="AJ725" s="1363"/>
      <c r="AK725" s="1355" t="s">
        <v>592</v>
      </c>
      <c r="AL725" s="1356"/>
      <c r="AM725" s="1356"/>
      <c r="AN725" s="1356"/>
      <c r="AO725" s="1357"/>
      <c r="AP725" s="3"/>
      <c r="AQ725" s="3"/>
      <c r="AR725" s="3"/>
      <c r="AS725" s="3"/>
      <c r="AY725" s="1085"/>
      <c r="AZ725" s="118">
        <f t="shared" si="9"/>
        <v>5222</v>
      </c>
      <c r="BA725" s="3"/>
      <c r="BB725" s="3"/>
      <c r="BC725" s="3"/>
      <c r="BD725" s="3"/>
      <c r="BE725" s="204"/>
      <c r="BF725" s="294">
        <f t="shared" si="10"/>
        <v>4</v>
      </c>
      <c r="BG725" s="297">
        <f t="shared" si="11"/>
        <v>3.0534351145038167E-2</v>
      </c>
      <c r="BH725" s="298">
        <f t="shared" si="12"/>
        <v>9.160305343511449E-3</v>
      </c>
      <c r="BI725" s="3"/>
      <c r="BJ725" s="3"/>
      <c r="BK725" s="3"/>
      <c r="BL725" s="3"/>
      <c r="BM725" s="3"/>
      <c r="BN725" s="3"/>
      <c r="BS725" s="294">
        <f t="shared" si="13"/>
        <v>4</v>
      </c>
      <c r="BT725" s="297">
        <f t="shared" si="14"/>
        <v>3.0534351145038167E-2</v>
      </c>
      <c r="BU725" s="298">
        <f t="shared" si="15"/>
        <v>9.1626442444034482E-3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4</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4</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4</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1464</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164</v>
      </c>
      <c r="C726" s="1356"/>
      <c r="D726" s="1356"/>
      <c r="E726" s="1356"/>
      <c r="F726" s="1357"/>
      <c r="G726" s="1364">
        <v>8</v>
      </c>
      <c r="H726" s="1365"/>
      <c r="I726" s="1365"/>
      <c r="J726" s="1366"/>
      <c r="K726" s="1604">
        <v>989</v>
      </c>
      <c r="L726" s="1605"/>
      <c r="M726" s="1605"/>
      <c r="N726" s="1606"/>
      <c r="O726" s="1468">
        <v>2509</v>
      </c>
      <c r="P726" s="1469"/>
      <c r="Q726" s="1469"/>
      <c r="R726" s="1469"/>
      <c r="S726" s="1470"/>
      <c r="T726" s="1468">
        <v>103</v>
      </c>
      <c r="U726" s="1469"/>
      <c r="V726" s="1469"/>
      <c r="W726" s="1470"/>
      <c r="X726" s="1358">
        <f t="shared" si="8"/>
        <v>2612</v>
      </c>
      <c r="Y726" s="1359"/>
      <c r="Z726" s="1359"/>
      <c r="AA726" s="1359"/>
      <c r="AB726" s="1360"/>
      <c r="AC726" s="1613">
        <v>0.5</v>
      </c>
      <c r="AD726" s="1614"/>
      <c r="AE726" s="1614"/>
      <c r="AF726" s="1614"/>
      <c r="AG726" s="1615"/>
      <c r="AH726" s="1361">
        <f t="shared" si="36"/>
        <v>0.50019149751053238</v>
      </c>
      <c r="AI726" s="1362"/>
      <c r="AJ726" s="1363"/>
      <c r="AK726" s="1355" t="s">
        <v>592</v>
      </c>
      <c r="AL726" s="1356"/>
      <c r="AM726" s="1356"/>
      <c r="AN726" s="1356"/>
      <c r="AO726" s="1357"/>
      <c r="AP726" s="3"/>
      <c r="AQ726" s="3"/>
      <c r="AR726" s="3"/>
      <c r="AS726" s="3"/>
      <c r="AY726" s="1085"/>
      <c r="AZ726" s="118">
        <f t="shared" si="9"/>
        <v>5222</v>
      </c>
      <c r="BA726" s="3"/>
      <c r="BB726" s="3"/>
      <c r="BC726" s="3"/>
      <c r="BD726" s="3"/>
      <c r="BE726" s="204"/>
      <c r="BF726" s="294">
        <f t="shared" si="10"/>
        <v>8</v>
      </c>
      <c r="BG726" s="297">
        <f t="shared" si="11"/>
        <v>6.1068702290076333E-2</v>
      </c>
      <c r="BH726" s="298">
        <f t="shared" si="12"/>
        <v>3.0534351145038167E-2</v>
      </c>
      <c r="BI726" s="3"/>
      <c r="BJ726" s="3"/>
      <c r="BK726" s="3"/>
      <c r="BL726" s="3"/>
      <c r="BM726" s="3"/>
      <c r="BN726" s="3"/>
      <c r="BS726" s="294">
        <f t="shared" si="13"/>
        <v>8</v>
      </c>
      <c r="BT726" s="297">
        <f t="shared" si="14"/>
        <v>6.1068702290076333E-2</v>
      </c>
      <c r="BU726" s="298">
        <f t="shared" si="15"/>
        <v>3.0546045649498161E-2</v>
      </c>
      <c r="BV726" s="3"/>
      <c r="BW726" s="3"/>
      <c r="BX726" s="3"/>
      <c r="BY726" s="3"/>
      <c r="BZ726" s="3"/>
      <c r="CA726" s="3"/>
      <c r="CB726" s="3"/>
      <c r="CC726" s="3"/>
      <c r="CE726" s="3"/>
      <c r="CF726" s="3"/>
      <c r="CG726" s="1351">
        <f t="shared" si="37"/>
        <v>1</v>
      </c>
      <c r="CH726" s="1353"/>
      <c r="CI726" s="1335">
        <f t="shared" si="38"/>
        <v>8</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8</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2509</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164</v>
      </c>
      <c r="C727" s="1356"/>
      <c r="D727" s="1356"/>
      <c r="E727" s="1356"/>
      <c r="F727" s="1357"/>
      <c r="G727" s="1364">
        <v>11</v>
      </c>
      <c r="H727" s="1365"/>
      <c r="I727" s="1365"/>
      <c r="J727" s="1366"/>
      <c r="K727" s="1604">
        <v>989</v>
      </c>
      <c r="L727" s="1605"/>
      <c r="M727" s="1605"/>
      <c r="N727" s="1606"/>
      <c r="O727" s="1468">
        <v>3031</v>
      </c>
      <c r="P727" s="1469"/>
      <c r="Q727" s="1469"/>
      <c r="R727" s="1469"/>
      <c r="S727" s="1470"/>
      <c r="T727" s="1468">
        <v>103</v>
      </c>
      <c r="U727" s="1469"/>
      <c r="V727" s="1469"/>
      <c r="W727" s="1470"/>
      <c r="X727" s="1358">
        <f t="shared" si="8"/>
        <v>3134</v>
      </c>
      <c r="Y727" s="1359"/>
      <c r="Z727" s="1359"/>
      <c r="AA727" s="1359"/>
      <c r="AB727" s="1360"/>
      <c r="AC727" s="1613">
        <v>0.6</v>
      </c>
      <c r="AD727" s="1614"/>
      <c r="AE727" s="1614"/>
      <c r="AF727" s="1614"/>
      <c r="AG727" s="1615"/>
      <c r="AH727" s="1361">
        <f t="shared" si="36"/>
        <v>0.60015319800842593</v>
      </c>
      <c r="AI727" s="1362"/>
      <c r="AJ727" s="1363"/>
      <c r="AK727" s="1355" t="s">
        <v>592</v>
      </c>
      <c r="AL727" s="1356"/>
      <c r="AM727" s="1356"/>
      <c r="AN727" s="1356"/>
      <c r="AO727" s="1357"/>
      <c r="AP727" s="3"/>
      <c r="AQ727" s="3"/>
      <c r="AR727" s="3"/>
      <c r="AS727" s="3"/>
      <c r="AY727" s="1085"/>
      <c r="AZ727" s="118">
        <f t="shared" si="9"/>
        <v>5222</v>
      </c>
      <c r="BA727" s="3"/>
      <c r="BB727" s="3"/>
      <c r="BC727" s="3"/>
      <c r="BD727" s="3"/>
      <c r="BE727" s="204"/>
      <c r="BF727" s="294">
        <f t="shared" si="10"/>
        <v>11</v>
      </c>
      <c r="BG727" s="297">
        <f t="shared" si="11"/>
        <v>8.3969465648854963E-2</v>
      </c>
      <c r="BH727" s="298">
        <f t="shared" si="12"/>
        <v>5.0381679389312976E-2</v>
      </c>
      <c r="BI727" s="3"/>
      <c r="BJ727" s="3"/>
      <c r="BK727" s="3"/>
      <c r="BL727" s="3"/>
      <c r="BM727" s="3"/>
      <c r="BN727" s="3"/>
      <c r="BS727" s="294">
        <f t="shared" si="13"/>
        <v>11</v>
      </c>
      <c r="BT727" s="297">
        <f t="shared" si="14"/>
        <v>8.3969465648854963E-2</v>
      </c>
      <c r="BU727" s="298">
        <f t="shared" si="15"/>
        <v>5.0394543344218973E-2</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11</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3031</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t="s">
        <v>164</v>
      </c>
      <c r="C728" s="1356"/>
      <c r="D728" s="1356"/>
      <c r="E728" s="1356"/>
      <c r="F728" s="1357"/>
      <c r="G728" s="1364">
        <v>10</v>
      </c>
      <c r="H728" s="1365"/>
      <c r="I728" s="1365"/>
      <c r="J728" s="1366"/>
      <c r="K728" s="1604">
        <v>989</v>
      </c>
      <c r="L728" s="1605"/>
      <c r="M728" s="1605"/>
      <c r="N728" s="1606"/>
      <c r="O728" s="1468">
        <v>3553</v>
      </c>
      <c r="P728" s="1469"/>
      <c r="Q728" s="1469"/>
      <c r="R728" s="1469"/>
      <c r="S728" s="1470"/>
      <c r="T728" s="1468">
        <v>103</v>
      </c>
      <c r="U728" s="1469"/>
      <c r="V728" s="1469"/>
      <c r="W728" s="1470"/>
      <c r="X728" s="1358">
        <f t="shared" si="8"/>
        <v>3656</v>
      </c>
      <c r="Y728" s="1359"/>
      <c r="Z728" s="1359"/>
      <c r="AA728" s="1359"/>
      <c r="AB728" s="1360"/>
      <c r="AC728" s="1613">
        <v>0.7</v>
      </c>
      <c r="AD728" s="1614"/>
      <c r="AE728" s="1614"/>
      <c r="AF728" s="1614"/>
      <c r="AG728" s="1615"/>
      <c r="AH728" s="1361">
        <f t="shared" si="36"/>
        <v>0.70011489850631947</v>
      </c>
      <c r="AI728" s="1362"/>
      <c r="AJ728" s="1363"/>
      <c r="AK728" s="1355" t="s">
        <v>592</v>
      </c>
      <c r="AL728" s="1356"/>
      <c r="AM728" s="1356"/>
      <c r="AN728" s="1356"/>
      <c r="AO728" s="1357"/>
      <c r="AP728" s="3"/>
      <c r="AQ728" s="3"/>
      <c r="AR728" s="3"/>
      <c r="AS728" s="3"/>
      <c r="AY728" s="1085"/>
      <c r="AZ728" s="118">
        <f t="shared" si="9"/>
        <v>5222</v>
      </c>
      <c r="BA728" s="3"/>
      <c r="BB728" s="3"/>
      <c r="BC728" s="3"/>
      <c r="BD728" s="3"/>
      <c r="BE728" s="204"/>
      <c r="BF728" s="294">
        <f t="shared" si="10"/>
        <v>10</v>
      </c>
      <c r="BG728" s="297">
        <f t="shared" si="11"/>
        <v>7.6335877862595422E-2</v>
      </c>
      <c r="BH728" s="298">
        <f t="shared" si="12"/>
        <v>5.3435114503816793E-2</v>
      </c>
      <c r="BI728" s="3"/>
      <c r="BJ728" s="3"/>
      <c r="BK728" s="3"/>
      <c r="BL728" s="3"/>
      <c r="BM728" s="3"/>
      <c r="BN728" s="3"/>
      <c r="BS728" s="294">
        <f t="shared" si="13"/>
        <v>10</v>
      </c>
      <c r="BT728" s="297">
        <f t="shared" si="14"/>
        <v>7.6335877862595422E-2</v>
      </c>
      <c r="BU728" s="298">
        <f t="shared" si="15"/>
        <v>5.3443885382161792E-2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3553</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c r="C729" s="1356"/>
      <c r="D729" s="1356"/>
      <c r="E729" s="1356"/>
      <c r="F729" s="1357"/>
      <c r="G729" s="1364"/>
      <c r="H729" s="1365"/>
      <c r="I729" s="1365"/>
      <c r="J729" s="1366"/>
      <c r="K729" s="1604"/>
      <c r="L729" s="1605"/>
      <c r="M729" s="1605"/>
      <c r="N729" s="1606"/>
      <c r="O729" s="1468"/>
      <c r="P729" s="1469"/>
      <c r="Q729" s="1469"/>
      <c r="R729" s="1469"/>
      <c r="S729" s="1470"/>
      <c r="T729" s="1468"/>
      <c r="U729" s="1469"/>
      <c r="V729" s="1469"/>
      <c r="W729" s="1470"/>
      <c r="X729" s="1358">
        <f t="shared" si="8"/>
        <v>0</v>
      </c>
      <c r="Y729" s="1359"/>
      <c r="Z729" s="1359"/>
      <c r="AA729" s="1359"/>
      <c r="AB729" s="1360"/>
      <c r="AC729" s="1613"/>
      <c r="AD729" s="1614"/>
      <c r="AE729" s="1614"/>
      <c r="AF729" s="1614"/>
      <c r="AG729" s="1615"/>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c r="C730" s="1356"/>
      <c r="D730" s="1356"/>
      <c r="E730" s="1356"/>
      <c r="F730" s="1357"/>
      <c r="G730" s="1364"/>
      <c r="H730" s="1365"/>
      <c r="I730" s="1365"/>
      <c r="J730" s="1366"/>
      <c r="K730" s="1604"/>
      <c r="L730" s="1605"/>
      <c r="M730" s="1605"/>
      <c r="N730" s="1606"/>
      <c r="O730" s="1468"/>
      <c r="P730" s="1469"/>
      <c r="Q730" s="1469"/>
      <c r="R730" s="1469"/>
      <c r="S730" s="1470"/>
      <c r="T730" s="1468"/>
      <c r="U730" s="1469"/>
      <c r="V730" s="1469"/>
      <c r="W730" s="1470"/>
      <c r="X730" s="1358">
        <f t="shared" si="8"/>
        <v>0</v>
      </c>
      <c r="Y730" s="1359"/>
      <c r="Z730" s="1359"/>
      <c r="AA730" s="1359"/>
      <c r="AB730" s="1360"/>
      <c r="AC730" s="1613"/>
      <c r="AD730" s="1614"/>
      <c r="AE730" s="1614"/>
      <c r="AF730" s="1614"/>
      <c r="AG730" s="1615"/>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c r="C731" s="1356"/>
      <c r="D731" s="1356"/>
      <c r="E731" s="1356"/>
      <c r="F731" s="1357"/>
      <c r="G731" s="1364"/>
      <c r="H731" s="1365"/>
      <c r="I731" s="1365"/>
      <c r="J731" s="1366"/>
      <c r="K731" s="1604"/>
      <c r="L731" s="1605"/>
      <c r="M731" s="1605"/>
      <c r="N731" s="1606"/>
      <c r="O731" s="1468"/>
      <c r="P731" s="1469"/>
      <c r="Q731" s="1469"/>
      <c r="R731" s="1469"/>
      <c r="S731" s="1470"/>
      <c r="T731" s="1468"/>
      <c r="U731" s="1469"/>
      <c r="V731" s="1469"/>
      <c r="W731" s="1470"/>
      <c r="X731" s="1358">
        <f t="shared" si="8"/>
        <v>0</v>
      </c>
      <c r="Y731" s="1359"/>
      <c r="Z731" s="1359"/>
      <c r="AA731" s="1359"/>
      <c r="AB731" s="1360"/>
      <c r="AC731" s="1613"/>
      <c r="AD731" s="1614"/>
      <c r="AE731" s="1614"/>
      <c r="AF731" s="1614"/>
      <c r="AG731" s="1615"/>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c r="C732" s="1356"/>
      <c r="D732" s="1356"/>
      <c r="E732" s="1356"/>
      <c r="F732" s="1357"/>
      <c r="G732" s="1364"/>
      <c r="H732" s="1365"/>
      <c r="I732" s="1365"/>
      <c r="J732" s="1366"/>
      <c r="K732" s="1604"/>
      <c r="L732" s="1605"/>
      <c r="M732" s="1605"/>
      <c r="N732" s="1606"/>
      <c r="O732" s="1468"/>
      <c r="P732" s="1469"/>
      <c r="Q732" s="1469"/>
      <c r="R732" s="1469"/>
      <c r="S732" s="1470"/>
      <c r="T732" s="1468"/>
      <c r="U732" s="1469"/>
      <c r="V732" s="1469"/>
      <c r="W732" s="1470"/>
      <c r="X732" s="1358">
        <f t="shared" si="8"/>
        <v>0</v>
      </c>
      <c r="Y732" s="1359"/>
      <c r="Z732" s="1359"/>
      <c r="AA732" s="1359"/>
      <c r="AB732" s="1360"/>
      <c r="AC732" s="1613"/>
      <c r="AD732" s="1614"/>
      <c r="AE732" s="1614"/>
      <c r="AF732" s="1614"/>
      <c r="AG732" s="1615"/>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c r="C733" s="1356"/>
      <c r="D733" s="1356"/>
      <c r="E733" s="1356"/>
      <c r="F733" s="1357"/>
      <c r="G733" s="1364"/>
      <c r="H733" s="1365"/>
      <c r="I733" s="1365"/>
      <c r="J733" s="1366"/>
      <c r="K733" s="1604"/>
      <c r="L733" s="1605"/>
      <c r="M733" s="1605"/>
      <c r="N733" s="1606"/>
      <c r="O733" s="1468"/>
      <c r="P733" s="1469"/>
      <c r="Q733" s="1469"/>
      <c r="R733" s="1469"/>
      <c r="S733" s="1470"/>
      <c r="T733" s="1468"/>
      <c r="U733" s="1469"/>
      <c r="V733" s="1469"/>
      <c r="W733" s="1470"/>
      <c r="X733" s="1358">
        <f t="shared" si="8"/>
        <v>0</v>
      </c>
      <c r="Y733" s="1359"/>
      <c r="Z733" s="1359"/>
      <c r="AA733" s="1359"/>
      <c r="AB733" s="1360"/>
      <c r="AC733" s="1613"/>
      <c r="AD733" s="1614"/>
      <c r="AE733" s="1614"/>
      <c r="AF733" s="1614"/>
      <c r="AG733" s="1615"/>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4"/>
      <c r="L734" s="1605"/>
      <c r="M734" s="1605"/>
      <c r="N734" s="1606"/>
      <c r="O734" s="1468"/>
      <c r="P734" s="1469"/>
      <c r="Q734" s="1469"/>
      <c r="R734" s="1469"/>
      <c r="S734" s="1470"/>
      <c r="T734" s="1468"/>
      <c r="U734" s="1469"/>
      <c r="V734" s="1469"/>
      <c r="W734" s="1470"/>
      <c r="X734" s="1358">
        <f t="shared" si="8"/>
        <v>0</v>
      </c>
      <c r="Y734" s="1359"/>
      <c r="Z734" s="1359"/>
      <c r="AA734" s="1359"/>
      <c r="AB734" s="1360"/>
      <c r="AC734" s="1613"/>
      <c r="AD734" s="1614"/>
      <c r="AE734" s="1614"/>
      <c r="AF734" s="1614"/>
      <c r="AG734" s="1615"/>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4"/>
      <c r="L735" s="1605"/>
      <c r="M735" s="1605"/>
      <c r="N735" s="1606"/>
      <c r="O735" s="1468"/>
      <c r="P735" s="1469"/>
      <c r="Q735" s="1469"/>
      <c r="R735" s="1469"/>
      <c r="S735" s="1470"/>
      <c r="T735" s="1468"/>
      <c r="U735" s="1469"/>
      <c r="V735" s="1469"/>
      <c r="W735" s="1470"/>
      <c r="X735" s="1358">
        <f t="shared" si="8"/>
        <v>0</v>
      </c>
      <c r="Y735" s="1359"/>
      <c r="Z735" s="1359"/>
      <c r="AA735" s="1359"/>
      <c r="AB735" s="1360"/>
      <c r="AC735" s="1613"/>
      <c r="AD735" s="1614"/>
      <c r="AE735" s="1614"/>
      <c r="AF735" s="1614"/>
      <c r="AG735" s="1615"/>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4"/>
      <c r="L736" s="1605"/>
      <c r="M736" s="1605"/>
      <c r="N736" s="1606"/>
      <c r="O736" s="1468"/>
      <c r="P736" s="1469"/>
      <c r="Q736" s="1469"/>
      <c r="R736" s="1469"/>
      <c r="S736" s="1470"/>
      <c r="T736" s="1468"/>
      <c r="U736" s="1469"/>
      <c r="V736" s="1469"/>
      <c r="W736" s="1470"/>
      <c r="X736" s="1358">
        <f t="shared" si="8"/>
        <v>0</v>
      </c>
      <c r="Y736" s="1359"/>
      <c r="Z736" s="1359"/>
      <c r="AA736" s="1359"/>
      <c r="AB736" s="1360"/>
      <c r="AC736" s="1613"/>
      <c r="AD736" s="1614"/>
      <c r="AE736" s="1614"/>
      <c r="AF736" s="1614"/>
      <c r="AG736" s="1615"/>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4"/>
      <c r="L737" s="1605"/>
      <c r="M737" s="1605"/>
      <c r="N737" s="1606"/>
      <c r="O737" s="1468"/>
      <c r="P737" s="1469"/>
      <c r="Q737" s="1469"/>
      <c r="R737" s="1469"/>
      <c r="S737" s="1470"/>
      <c r="T737" s="1468"/>
      <c r="U737" s="1469"/>
      <c r="V737" s="1469"/>
      <c r="W737" s="1470"/>
      <c r="X737" s="1358">
        <f t="shared" si="8"/>
        <v>0</v>
      </c>
      <c r="Y737" s="1359"/>
      <c r="Z737" s="1359"/>
      <c r="AA737" s="1359"/>
      <c r="AB737" s="1360"/>
      <c r="AC737" s="1613"/>
      <c r="AD737" s="1614"/>
      <c r="AE737" s="1614"/>
      <c r="AF737" s="1614"/>
      <c r="AG737" s="1615"/>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4"/>
      <c r="L738" s="1605"/>
      <c r="M738" s="1605"/>
      <c r="N738" s="1606"/>
      <c r="O738" s="1468"/>
      <c r="P738" s="1469"/>
      <c r="Q738" s="1469"/>
      <c r="R738" s="1469"/>
      <c r="S738" s="1470"/>
      <c r="T738" s="1468"/>
      <c r="U738" s="1469"/>
      <c r="V738" s="1469"/>
      <c r="W738" s="1470"/>
      <c r="X738" s="1358">
        <f t="shared" si="8"/>
        <v>0</v>
      </c>
      <c r="Y738" s="1359"/>
      <c r="Z738" s="1359"/>
      <c r="AA738" s="1359"/>
      <c r="AB738" s="1360"/>
      <c r="AC738" s="1613"/>
      <c r="AD738" s="1614"/>
      <c r="AE738" s="1614"/>
      <c r="AF738" s="1614"/>
      <c r="AG738" s="1615"/>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4"/>
      <c r="L739" s="1605"/>
      <c r="M739" s="1605"/>
      <c r="N739" s="1606"/>
      <c r="O739" s="1468"/>
      <c r="P739" s="1469"/>
      <c r="Q739" s="1469"/>
      <c r="R739" s="1469"/>
      <c r="S739" s="1470"/>
      <c r="T739" s="1468"/>
      <c r="U739" s="1469"/>
      <c r="V739" s="1469"/>
      <c r="W739" s="1470"/>
      <c r="X739" s="1358">
        <f t="shared" si="8"/>
        <v>0</v>
      </c>
      <c r="Y739" s="1359"/>
      <c r="Z739" s="1359"/>
      <c r="AA739" s="1359"/>
      <c r="AB739" s="1360"/>
      <c r="AC739" s="1613"/>
      <c r="AD739" s="1614"/>
      <c r="AE739" s="1614"/>
      <c r="AF739" s="1614"/>
      <c r="AG739" s="1615"/>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4"/>
      <c r="L740" s="1605"/>
      <c r="M740" s="1605"/>
      <c r="N740" s="1606"/>
      <c r="O740" s="1468"/>
      <c r="P740" s="1469"/>
      <c r="Q740" s="1469"/>
      <c r="R740" s="1469"/>
      <c r="S740" s="1470"/>
      <c r="T740" s="1468"/>
      <c r="U740" s="1469"/>
      <c r="V740" s="1469"/>
      <c r="W740" s="1470"/>
      <c r="X740" s="1358">
        <f t="shared" si="8"/>
        <v>0</v>
      </c>
      <c r="Y740" s="1359"/>
      <c r="Z740" s="1359"/>
      <c r="AA740" s="1359"/>
      <c r="AB740" s="1360"/>
      <c r="AC740" s="1613"/>
      <c r="AD740" s="1614"/>
      <c r="AE740" s="1614"/>
      <c r="AF740" s="1614"/>
      <c r="AG740" s="1615"/>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4"/>
      <c r="L741" s="1605"/>
      <c r="M741" s="1605"/>
      <c r="N741" s="1606"/>
      <c r="O741" s="1468"/>
      <c r="P741" s="1469"/>
      <c r="Q741" s="1469"/>
      <c r="R741" s="1469"/>
      <c r="S741" s="1470"/>
      <c r="T741" s="1468"/>
      <c r="U741" s="1469"/>
      <c r="V741" s="1469"/>
      <c r="W741" s="1470"/>
      <c r="X741" s="1358">
        <f t="shared" si="8"/>
        <v>0</v>
      </c>
      <c r="Y741" s="1359"/>
      <c r="Z741" s="1359"/>
      <c r="AA741" s="1359"/>
      <c r="AB741" s="1360"/>
      <c r="AC741" s="1613"/>
      <c r="AD741" s="1614"/>
      <c r="AE741" s="1614"/>
      <c r="AF741" s="1614"/>
      <c r="AG741" s="1615"/>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4"/>
      <c r="L742" s="1605"/>
      <c r="M742" s="1605"/>
      <c r="N742" s="1606"/>
      <c r="O742" s="1468"/>
      <c r="P742" s="1469"/>
      <c r="Q742" s="1469"/>
      <c r="R742" s="1469"/>
      <c r="S742" s="1470"/>
      <c r="T742" s="1468"/>
      <c r="U742" s="1469"/>
      <c r="V742" s="1469"/>
      <c r="W742" s="1470"/>
      <c r="X742" s="1358">
        <f t="shared" ref="X742:X751" si="39">O742+T742</f>
        <v>0</v>
      </c>
      <c r="Y742" s="1359"/>
      <c r="Z742" s="1359"/>
      <c r="AA742" s="1359"/>
      <c r="AB742" s="1360"/>
      <c r="AC742" s="1613"/>
      <c r="AD742" s="1614"/>
      <c r="AE742" s="1614"/>
      <c r="AF742" s="1614"/>
      <c r="AG742" s="1615"/>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4"/>
      <c r="L743" s="1605"/>
      <c r="M743" s="1605"/>
      <c r="N743" s="1606"/>
      <c r="O743" s="1468"/>
      <c r="P743" s="1469"/>
      <c r="Q743" s="1469"/>
      <c r="R743" s="1469"/>
      <c r="S743" s="1470"/>
      <c r="T743" s="1468"/>
      <c r="U743" s="1469"/>
      <c r="V743" s="1469"/>
      <c r="W743" s="1470"/>
      <c r="X743" s="1358">
        <f t="shared" si="39"/>
        <v>0</v>
      </c>
      <c r="Y743" s="1359"/>
      <c r="Z743" s="1359"/>
      <c r="AA743" s="1359"/>
      <c r="AB743" s="1360"/>
      <c r="AC743" s="1613"/>
      <c r="AD743" s="1614"/>
      <c r="AE743" s="1614"/>
      <c r="AF743" s="1614"/>
      <c r="AG743" s="1615"/>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4"/>
      <c r="L744" s="1605"/>
      <c r="M744" s="1605"/>
      <c r="N744" s="1606"/>
      <c r="O744" s="1468"/>
      <c r="P744" s="1469"/>
      <c r="Q744" s="1469"/>
      <c r="R744" s="1469"/>
      <c r="S744" s="1470"/>
      <c r="T744" s="1468"/>
      <c r="U744" s="1469"/>
      <c r="V744" s="1469"/>
      <c r="W744" s="1470"/>
      <c r="X744" s="1358">
        <f t="shared" si="39"/>
        <v>0</v>
      </c>
      <c r="Y744" s="1359"/>
      <c r="Z744" s="1359"/>
      <c r="AA744" s="1359"/>
      <c r="AB744" s="1360"/>
      <c r="AC744" s="1613"/>
      <c r="AD744" s="1614"/>
      <c r="AE744" s="1614"/>
      <c r="AF744" s="1614"/>
      <c r="AG744" s="1615"/>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4"/>
      <c r="L745" s="1605"/>
      <c r="M745" s="1605"/>
      <c r="N745" s="1606"/>
      <c r="O745" s="1468"/>
      <c r="P745" s="1469"/>
      <c r="Q745" s="1469"/>
      <c r="R745" s="1469"/>
      <c r="S745" s="1470"/>
      <c r="T745" s="1468"/>
      <c r="U745" s="1469"/>
      <c r="V745" s="1469"/>
      <c r="W745" s="1470"/>
      <c r="X745" s="1358">
        <f t="shared" si="39"/>
        <v>0</v>
      </c>
      <c r="Y745" s="1359"/>
      <c r="Z745" s="1359"/>
      <c r="AA745" s="1359"/>
      <c r="AB745" s="1360"/>
      <c r="AC745" s="1613"/>
      <c r="AD745" s="1614"/>
      <c r="AE745" s="1614"/>
      <c r="AF745" s="1614"/>
      <c r="AG745" s="1615"/>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4"/>
      <c r="L746" s="1605"/>
      <c r="M746" s="1605"/>
      <c r="N746" s="1606"/>
      <c r="O746" s="1468"/>
      <c r="P746" s="1469"/>
      <c r="Q746" s="1469"/>
      <c r="R746" s="1469"/>
      <c r="S746" s="1470"/>
      <c r="T746" s="1468"/>
      <c r="U746" s="1469"/>
      <c r="V746" s="1469"/>
      <c r="W746" s="1470"/>
      <c r="X746" s="1358">
        <f t="shared" si="39"/>
        <v>0</v>
      </c>
      <c r="Y746" s="1359"/>
      <c r="Z746" s="1359"/>
      <c r="AA746" s="1359"/>
      <c r="AB746" s="1360"/>
      <c r="AC746" s="1613"/>
      <c r="AD746" s="1614"/>
      <c r="AE746" s="1614"/>
      <c r="AF746" s="1614"/>
      <c r="AG746" s="1615"/>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4"/>
      <c r="L747" s="1605"/>
      <c r="M747" s="1605"/>
      <c r="N747" s="1606"/>
      <c r="O747" s="1468"/>
      <c r="P747" s="1469"/>
      <c r="Q747" s="1469"/>
      <c r="R747" s="1469"/>
      <c r="S747" s="1470"/>
      <c r="T747" s="1468"/>
      <c r="U747" s="1469"/>
      <c r="V747" s="1469"/>
      <c r="W747" s="1470"/>
      <c r="X747" s="1358">
        <f t="shared" si="39"/>
        <v>0</v>
      </c>
      <c r="Y747" s="1359"/>
      <c r="Z747" s="1359"/>
      <c r="AA747" s="1359"/>
      <c r="AB747" s="1360"/>
      <c r="AC747" s="1613"/>
      <c r="AD747" s="1614"/>
      <c r="AE747" s="1614"/>
      <c r="AF747" s="1614"/>
      <c r="AG747" s="1615"/>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4"/>
      <c r="L748" s="1605"/>
      <c r="M748" s="1605"/>
      <c r="N748" s="1606"/>
      <c r="O748" s="1468"/>
      <c r="P748" s="1469"/>
      <c r="Q748" s="1469"/>
      <c r="R748" s="1469"/>
      <c r="S748" s="1470"/>
      <c r="T748" s="1468"/>
      <c r="U748" s="1469"/>
      <c r="V748" s="1469"/>
      <c r="W748" s="1470"/>
      <c r="X748" s="1358">
        <f t="shared" si="39"/>
        <v>0</v>
      </c>
      <c r="Y748" s="1359"/>
      <c r="Z748" s="1359"/>
      <c r="AA748" s="1359"/>
      <c r="AB748" s="1360"/>
      <c r="AC748" s="1613"/>
      <c r="AD748" s="1614"/>
      <c r="AE748" s="1614"/>
      <c r="AF748" s="1614"/>
      <c r="AG748" s="1615"/>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4"/>
      <c r="L749" s="1605"/>
      <c r="M749" s="1605"/>
      <c r="N749" s="1606"/>
      <c r="O749" s="1468"/>
      <c r="P749" s="1469"/>
      <c r="Q749" s="1469"/>
      <c r="R749" s="1469"/>
      <c r="S749" s="1470"/>
      <c r="T749" s="1468"/>
      <c r="U749" s="1469"/>
      <c r="V749" s="1469"/>
      <c r="W749" s="1470"/>
      <c r="X749" s="1358">
        <f t="shared" si="39"/>
        <v>0</v>
      </c>
      <c r="Y749" s="1359"/>
      <c r="Z749" s="1359"/>
      <c r="AA749" s="1359"/>
      <c r="AB749" s="1360"/>
      <c r="AC749" s="1613"/>
      <c r="AD749" s="1614"/>
      <c r="AE749" s="1614"/>
      <c r="AF749" s="1614"/>
      <c r="AG749" s="1615"/>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4"/>
      <c r="L750" s="1605"/>
      <c r="M750" s="1605"/>
      <c r="N750" s="1606"/>
      <c r="O750" s="1468"/>
      <c r="P750" s="1469"/>
      <c r="Q750" s="1469"/>
      <c r="R750" s="1469"/>
      <c r="S750" s="1470"/>
      <c r="T750" s="1468"/>
      <c r="U750" s="1469"/>
      <c r="V750" s="1469"/>
      <c r="W750" s="1470"/>
      <c r="X750" s="1358">
        <f t="shared" si="39"/>
        <v>0</v>
      </c>
      <c r="Y750" s="1359"/>
      <c r="Z750" s="1359"/>
      <c r="AA750" s="1359"/>
      <c r="AB750" s="1360"/>
      <c r="AC750" s="1613"/>
      <c r="AD750" s="1614"/>
      <c r="AE750" s="1614"/>
      <c r="AF750" s="1614"/>
      <c r="AG750" s="1615"/>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4"/>
      <c r="L751" s="1605"/>
      <c r="M751" s="1605"/>
      <c r="N751" s="1606"/>
      <c r="O751" s="1468"/>
      <c r="P751" s="1469"/>
      <c r="Q751" s="1469"/>
      <c r="R751" s="1469"/>
      <c r="S751" s="1470"/>
      <c r="T751" s="1468"/>
      <c r="U751" s="1469"/>
      <c r="V751" s="1469"/>
      <c r="W751" s="1470"/>
      <c r="X751" s="1358">
        <f t="shared" si="39"/>
        <v>0</v>
      </c>
      <c r="Y751" s="1359"/>
      <c r="Z751" s="1359"/>
      <c r="AA751" s="1359"/>
      <c r="AB751" s="1360"/>
      <c r="AC751" s="1613"/>
      <c r="AD751" s="1614"/>
      <c r="AE751" s="1614"/>
      <c r="AF751" s="1614"/>
      <c r="AG751" s="1615"/>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4"/>
      <c r="L752" s="1605"/>
      <c r="M752" s="1605"/>
      <c r="N752" s="1606"/>
      <c r="O752" s="1468"/>
      <c r="P752" s="1469"/>
      <c r="Q752" s="1469"/>
      <c r="R752" s="1469"/>
      <c r="S752" s="1470"/>
      <c r="T752" s="1468"/>
      <c r="U752" s="1469"/>
      <c r="V752" s="1469"/>
      <c r="W752" s="1470"/>
      <c r="X752" s="1358">
        <f>O752+T752</f>
        <v>0</v>
      </c>
      <c r="Y752" s="1359"/>
      <c r="Z752" s="1359"/>
      <c r="AA752" s="1359"/>
      <c r="AB752" s="1360"/>
      <c r="AC752" s="1613"/>
      <c r="AD752" s="1614"/>
      <c r="AE752" s="1614"/>
      <c r="AF752" s="1614"/>
      <c r="AG752" s="1615"/>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18">
        <f>SUM(G718:G752)</f>
        <v>131</v>
      </c>
      <c r="H753" s="1719"/>
      <c r="I753" s="1719"/>
      <c r="J753" s="1720"/>
      <c r="K753" s="902" t="s">
        <v>124</v>
      </c>
      <c r="L753" s="5"/>
      <c r="M753" s="5"/>
      <c r="N753" s="46"/>
      <c r="O753" s="1358">
        <f>SUMPRODUCT(G718:G752,O718:O752)</f>
        <v>308202</v>
      </c>
      <c r="P753" s="1359"/>
      <c r="Q753" s="1359"/>
      <c r="R753" s="1359"/>
      <c r="S753" s="1360"/>
      <c r="T753"/>
      <c r="U753"/>
      <c r="V753"/>
      <c r="W753"/>
      <c r="X753" s="904" t="s">
        <v>901</v>
      </c>
      <c r="Y753" s="903"/>
      <c r="Z753" s="903"/>
      <c r="AA753" s="903"/>
      <c r="AB753" s="905"/>
      <c r="AC753" s="1617">
        <f>BH753</f>
        <v>0.56793893129770978</v>
      </c>
      <c r="AD753" s="1618"/>
      <c r="AE753" s="1618"/>
      <c r="AF753" s="1618"/>
      <c r="AG753" s="1619"/>
      <c r="AH753" s="1617">
        <f>IFERROR(BU753,"")</f>
        <v>0.55724930891593571</v>
      </c>
      <c r="AI753" s="1618"/>
      <c r="AJ753" s="1619"/>
      <c r="AK753"/>
      <c r="AL753"/>
      <c r="AM753"/>
      <c r="AN753"/>
      <c r="AO753"/>
      <c r="AP753" s="205"/>
      <c r="AQ753" s="205"/>
      <c r="AR753" s="205"/>
      <c r="AS753" s="205"/>
      <c r="AT753"/>
      <c r="AU753"/>
      <c r="AV753"/>
      <c r="AW753"/>
      <c r="AX753"/>
      <c r="AY753"/>
      <c r="AZ753" s="34"/>
      <c r="BA753" s="34"/>
      <c r="BB753" s="34"/>
      <c r="BC753" s="34"/>
      <c r="BE753" s="290" t="s">
        <v>900</v>
      </c>
      <c r="BF753" s="299">
        <f>SUM(BF718:BF752)</f>
        <v>131</v>
      </c>
      <c r="BG753" s="300">
        <f>SUM(BG718:BG752)</f>
        <v>1</v>
      </c>
      <c r="BH753" s="300">
        <f>SUM(BH718:BH752)</f>
        <v>0.56793893129770978</v>
      </c>
      <c r="BI753"/>
      <c r="BJ753"/>
      <c r="BK753"/>
      <c r="BL753"/>
      <c r="BO753"/>
      <c r="BP753"/>
      <c r="BQ753"/>
      <c r="BR753"/>
      <c r="BS753" s="859">
        <f>SUM(BS718:BS752)</f>
        <v>131</v>
      </c>
      <c r="BT753" s="300">
        <f>SUM(BT718:BT752)</f>
        <v>1</v>
      </c>
      <c r="BU753" s="300">
        <f>SUM(BU718:BU752)</f>
        <v>0.55724930891593571</v>
      </c>
      <c r="CI753" s="1351">
        <f>SUM(CI718:CJ752)</f>
        <v>36</v>
      </c>
      <c r="CJ753" s="1353"/>
      <c r="CM753" s="1351">
        <f>SUM(CM718:CN752)</f>
        <v>15</v>
      </c>
      <c r="CN753" s="1353"/>
      <c r="CP753" s="1351">
        <f>SUM(CP718:CT752)</f>
        <v>0</v>
      </c>
      <c r="CQ753" s="1352"/>
      <c r="CR753" s="1352"/>
      <c r="CS753" s="1352"/>
      <c r="CT753" s="1353"/>
      <c r="CU753" s="1367">
        <f>SUM(CU718:CY752)</f>
        <v>62</v>
      </c>
      <c r="CV753" s="1367"/>
      <c r="CW753" s="1367"/>
      <c r="CX753" s="1367"/>
      <c r="CY753" s="1367"/>
      <c r="CZ753" s="1367">
        <f>SUM(CZ718:DD752)</f>
        <v>36</v>
      </c>
      <c r="DA753" s="1367"/>
      <c r="DB753" s="1367"/>
      <c r="DC753" s="1367"/>
      <c r="DD753" s="1367"/>
      <c r="DE753" s="1367">
        <f>SUM(DE718:DI752)</f>
        <v>33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7</v>
      </c>
      <c r="EA753" s="1367"/>
      <c r="EB753" s="1367"/>
      <c r="EC753" s="1367"/>
      <c r="ED753" s="1367"/>
      <c r="EE753" s="1367">
        <f>SUM(EE718:EI752)</f>
        <v>4</v>
      </c>
      <c r="EF753" s="1367"/>
      <c r="EG753" s="1367"/>
      <c r="EH753" s="1367"/>
      <c r="EI753" s="1367"/>
      <c r="EJ753" s="1367">
        <f>SUM(EJ718:EN752)</f>
        <v>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7470</v>
      </c>
      <c r="FF753" s="1367"/>
      <c r="FG753" s="1367"/>
      <c r="FH753" s="1367"/>
      <c r="FI753" s="1367"/>
      <c r="FJ753" s="1367">
        <f>SUM(FJ718:FN752)</f>
        <v>6330</v>
      </c>
      <c r="FK753" s="1367"/>
      <c r="FL753" s="1367"/>
      <c r="FM753" s="1367"/>
      <c r="FN753" s="1367"/>
      <c r="FO753" s="1367">
        <f>SUM(FO718:FS752)</f>
        <v>10557</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2" t="s">
        <v>1894</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1861</v>
      </c>
      <c r="DO754" s="1351">
        <f>CP753+CU753+CZ753+DE753+DJ753+DO753</f>
        <v>131</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62</v>
      </c>
      <c r="CZ755" s="3"/>
      <c r="DA755" s="3"/>
      <c r="DB755" s="3"/>
      <c r="DC755" s="3"/>
      <c r="DD755" s="861">
        <f>CZ753*2</f>
        <v>72</v>
      </c>
      <c r="DE755" s="3"/>
      <c r="DF755" s="3"/>
      <c r="DG755" s="3"/>
      <c r="DH755" s="3"/>
      <c r="DI755" s="861">
        <f>DE753*3</f>
        <v>99</v>
      </c>
      <c r="DJ755" s="3"/>
      <c r="DK755" s="3"/>
      <c r="DL755" s="3"/>
      <c r="DM755" s="3"/>
      <c r="DN755" s="861">
        <f>DJ753*4</f>
        <v>0</v>
      </c>
      <c r="DO755" s="3"/>
      <c r="DP755" s="3"/>
      <c r="DQ755" s="3"/>
      <c r="DR755" s="3"/>
      <c r="DS755" s="861">
        <f>DO753*5</f>
        <v>0</v>
      </c>
      <c r="DU755" s="861">
        <f>CT755+CY755+DD755+DI755+DN755+DS755</f>
        <v>233</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367">
        <f>DU755</f>
        <v>233</v>
      </c>
      <c r="P756" s="1367"/>
      <c r="Q756" s="1367"/>
      <c r="R756" s="1367"/>
      <c r="S756" s="969"/>
      <c r="T756" s="969"/>
      <c r="U756" s="118" t="s">
        <v>1893</v>
      </c>
      <c r="V756" s="1032"/>
      <c r="W756" s="1032"/>
      <c r="X756" s="1032"/>
      <c r="Y756" s="1033"/>
      <c r="Z756" s="1033"/>
      <c r="AA756" s="1033"/>
      <c r="AB756" s="1033"/>
      <c r="AC756" s="1032"/>
      <c r="AD756" s="1032"/>
      <c r="AE756" s="1032"/>
      <c r="AF756" s="1032"/>
      <c r="AG756" s="1714"/>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389</v>
      </c>
      <c r="K769" s="1495"/>
      <c r="L769" s="1495"/>
      <c r="M769" s="1495"/>
      <c r="N769" s="1496"/>
      <c r="O769" s="1602" t="s">
        <v>285</v>
      </c>
      <c r="P769" s="1602"/>
      <c r="Q769" s="1602"/>
      <c r="R769" s="1602"/>
      <c r="S769" s="1602"/>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4">
        <v>1</v>
      </c>
      <c r="P773" s="1464"/>
      <c r="Q773" s="1464"/>
      <c r="R773" s="1464"/>
      <c r="S773" s="1464"/>
      <c r="T773" s="1604">
        <v>755</v>
      </c>
      <c r="U773" s="1605"/>
      <c r="V773" s="1605"/>
      <c r="W773" s="1606"/>
      <c r="X773" s="1468">
        <v>2202</v>
      </c>
      <c r="Y773" s="1469"/>
      <c r="Z773" s="1469"/>
      <c r="AA773" s="1469"/>
      <c r="AB773" s="1470"/>
      <c r="AC773" s="1358">
        <f>X773*O773</f>
        <v>2202</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04"/>
      <c r="U774" s="1605"/>
      <c r="V774" s="1605"/>
      <c r="W774" s="1606"/>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4"/>
      <c r="U775" s="1605"/>
      <c r="V775" s="1605"/>
      <c r="W775" s="1606"/>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04"/>
      <c r="U776" s="1605"/>
      <c r="V776" s="1605"/>
      <c r="W776" s="1606"/>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2202</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389</v>
      </c>
      <c r="K783" s="1495"/>
      <c r="L783" s="1495"/>
      <c r="M783" s="1495"/>
      <c r="N783" s="1496"/>
      <c r="O783" s="1602" t="s">
        <v>285</v>
      </c>
      <c r="P783" s="1602"/>
      <c r="Q783" s="1602"/>
      <c r="R783" s="1602"/>
      <c r="S783" s="1602"/>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4"/>
      <c r="U787" s="1605"/>
      <c r="V787" s="1605"/>
      <c r="W787" s="1606"/>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4"/>
      <c r="U788" s="1605"/>
      <c r="V788" s="1605"/>
      <c r="W788" s="1606"/>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4"/>
      <c r="U789" s="1605"/>
      <c r="V789" s="1605"/>
      <c r="W789" s="1606"/>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4"/>
      <c r="U790" s="1605"/>
      <c r="V790" s="1605"/>
      <c r="W790" s="1606"/>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4"/>
      <c r="U791" s="1605"/>
      <c r="V791" s="1605"/>
      <c r="W791" s="1606"/>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4"/>
      <c r="U792" s="1605"/>
      <c r="V792" s="1605"/>
      <c r="W792" s="1606"/>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4"/>
      <c r="U793" s="1605"/>
      <c r="V793" s="1605"/>
      <c r="W793" s="1606"/>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4"/>
      <c r="U794" s="1605"/>
      <c r="V794" s="1605"/>
      <c r="W794" s="1606"/>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4"/>
      <c r="U795" s="1605"/>
      <c r="V795" s="1605"/>
      <c r="W795" s="1606"/>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4"/>
      <c r="U796" s="1605"/>
      <c r="V796" s="1605"/>
      <c r="W796" s="1606"/>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310404</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3724848</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62</v>
      </c>
      <c r="CV802" s="1349"/>
      <c r="CW802" s="1349"/>
      <c r="CX802" s="1349"/>
      <c r="CY802" s="1350"/>
      <c r="CZ802" s="1348">
        <f>CZ753+CZ777+CZ797</f>
        <v>37</v>
      </c>
      <c r="DA802" s="1349"/>
      <c r="DB802" s="1349"/>
      <c r="DC802" s="1349"/>
      <c r="DD802" s="1350"/>
      <c r="DE802" s="1348">
        <f>DE753+DE777+DE797</f>
        <v>33</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233</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0</v>
      </c>
      <c r="AA808" s="1520"/>
      <c r="AB808" s="1520"/>
      <c r="AC808" s="1520"/>
      <c r="AD808" s="1520"/>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3724848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6" t="s">
        <v>126</v>
      </c>
      <c r="N823" s="1686"/>
      <c r="O823" s="1686"/>
      <c r="P823" s="1687"/>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3" t="s">
        <v>40</v>
      </c>
      <c r="D825" s="1483"/>
      <c r="E825" s="1483"/>
      <c r="F825" s="1483"/>
      <c r="G825" s="1483"/>
      <c r="H825" s="1483"/>
      <c r="I825" s="48"/>
      <c r="J825" s="48"/>
      <c r="K825" s="48"/>
      <c r="L825" s="49"/>
      <c r="M825" s="1600">
        <v>15</v>
      </c>
      <c r="N825" s="1600"/>
      <c r="O825" s="1600"/>
      <c r="P825" s="1600"/>
      <c r="Q825" s="1600">
        <v>18</v>
      </c>
      <c r="R825" s="1600"/>
      <c r="S825" s="1600"/>
      <c r="T825" s="1600"/>
      <c r="U825" s="1600">
        <v>22</v>
      </c>
      <c r="V825" s="1600"/>
      <c r="W825" s="1600"/>
      <c r="X825" s="1600"/>
      <c r="Y825" s="1600">
        <v>27</v>
      </c>
      <c r="Z825" s="1600"/>
      <c r="AA825" s="1600"/>
      <c r="AB825" s="1600"/>
      <c r="AC825" s="1490">
        <v>31</v>
      </c>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1"/>
      <c r="E826" s="1441"/>
      <c r="F826" s="1441"/>
      <c r="G826" s="1441"/>
      <c r="H826" s="1441"/>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1"/>
      <c r="E827" s="1441"/>
      <c r="F827" s="1441"/>
      <c r="G827" s="1441"/>
      <c r="H827" s="1441"/>
      <c r="I827" s="60"/>
      <c r="J827" s="60"/>
      <c r="K827" s="60"/>
      <c r="L827" s="61"/>
      <c r="M827" s="1600">
        <v>8</v>
      </c>
      <c r="N827" s="1600"/>
      <c r="O827" s="1600"/>
      <c r="P827" s="1600"/>
      <c r="Q827" s="1600">
        <v>9</v>
      </c>
      <c r="R827" s="1600"/>
      <c r="S827" s="1600"/>
      <c r="T827" s="1600"/>
      <c r="U827" s="1600">
        <v>13</v>
      </c>
      <c r="V827" s="1600"/>
      <c r="W827" s="1600"/>
      <c r="X827" s="1600"/>
      <c r="Y827" s="1600">
        <v>17</v>
      </c>
      <c r="Z827" s="1600"/>
      <c r="AA827" s="1600"/>
      <c r="AB827" s="1600"/>
      <c r="AC827" s="1490">
        <v>21</v>
      </c>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763</v>
      </c>
      <c r="D828" s="1441"/>
      <c r="E828" s="1441"/>
      <c r="F828" s="1441"/>
      <c r="G828" s="1441"/>
      <c r="H828" s="1441"/>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460</v>
      </c>
      <c r="D829" s="1441"/>
      <c r="E829" s="1441"/>
      <c r="F829" s="1441"/>
      <c r="G829" s="1441"/>
      <c r="H829" s="1441"/>
      <c r="I829" s="60"/>
      <c r="J829" s="60"/>
      <c r="K829" s="60"/>
      <c r="L829" s="61"/>
      <c r="M829" s="1600">
        <v>27</v>
      </c>
      <c r="N829" s="1600"/>
      <c r="O829" s="1600"/>
      <c r="P829" s="1600"/>
      <c r="Q829" s="1600">
        <v>32</v>
      </c>
      <c r="R829" s="1600"/>
      <c r="S829" s="1600"/>
      <c r="T829" s="1600"/>
      <c r="U829" s="1600">
        <v>45</v>
      </c>
      <c r="V829" s="1600"/>
      <c r="W829" s="1600"/>
      <c r="X829" s="1600"/>
      <c r="Y829" s="1600">
        <v>59</v>
      </c>
      <c r="Z829" s="1600"/>
      <c r="AA829" s="1600"/>
      <c r="AB829" s="1600"/>
      <c r="AC829" s="1490">
        <v>73</v>
      </c>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1" t="s">
        <v>784</v>
      </c>
      <c r="D830" s="1441"/>
      <c r="E830" s="1441"/>
      <c r="F830" s="1441"/>
      <c r="G830" s="1441"/>
      <c r="H830" s="1441"/>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2" t="s">
        <v>334</v>
      </c>
      <c r="G831" s="1643"/>
      <c r="H831" s="1643"/>
      <c r="I831" s="1643"/>
      <c r="J831" s="1643"/>
      <c r="K831" s="1643"/>
      <c r="L831" s="1643"/>
      <c r="M831" s="1600"/>
      <c r="N831" s="1600"/>
      <c r="O831" s="1600"/>
      <c r="P831" s="1600"/>
      <c r="Q831" s="1600"/>
      <c r="R831" s="1600"/>
      <c r="S831" s="1600"/>
      <c r="T831" s="1600"/>
      <c r="U831" s="1600"/>
      <c r="V831" s="1600"/>
      <c r="W831" s="1600"/>
      <c r="X831" s="1600"/>
      <c r="Y831" s="1600"/>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49">
        <f>SUM(M825:P831)</f>
        <v>50</v>
      </c>
      <c r="N832" s="1649"/>
      <c r="O832" s="1649"/>
      <c r="P832" s="1649"/>
      <c r="Q832" s="1649">
        <f>SUM(Q825:T831)</f>
        <v>59</v>
      </c>
      <c r="R832" s="1649"/>
      <c r="S832" s="1649"/>
      <c r="T832" s="1649"/>
      <c r="U832" s="1649">
        <f>SUM(U825:X831)</f>
        <v>80</v>
      </c>
      <c r="V832" s="1649"/>
      <c r="W832" s="1649"/>
      <c r="X832" s="1649"/>
      <c r="Y832" s="1649">
        <f>SUM(Y825:AB831)</f>
        <v>103</v>
      </c>
      <c r="Z832" s="1649"/>
      <c r="AA832" s="1649"/>
      <c r="AB832" s="1649"/>
      <c r="AC832" s="1649">
        <f>SUM(AC825:AF831)</f>
        <v>125</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5" t="s">
        <v>2724</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8">
        <v>1000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8">
        <v>4200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8">
        <f>13*132*12</f>
        <v>20592</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8"/>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3" customHeight="1">
      <c r="J846" s="45" t="s">
        <v>170</v>
      </c>
      <c r="K846" s="5"/>
      <c r="L846" s="5"/>
      <c r="M846" s="1642" t="s">
        <v>2725</v>
      </c>
      <c r="N846" s="1643"/>
      <c r="O846" s="1643"/>
      <c r="P846" s="1643"/>
      <c r="Q846" s="1643"/>
      <c r="R846" s="1643"/>
      <c r="S846" s="1643"/>
      <c r="T846" s="1643"/>
      <c r="U846" s="1643"/>
      <c r="V846" s="1644"/>
      <c r="W846" s="1638">
        <v>27900</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2">
        <f>SUM(W842:W846)</f>
        <v>53692</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4"/>
      <c r="BH848" s="1634"/>
      <c r="BI848" s="1634"/>
      <c r="BJ848" s="1634"/>
      <c r="BK848" s="1634"/>
      <c r="BL848" s="1634"/>
    </row>
    <row r="849" spans="3:55" ht="13" customHeight="1">
      <c r="C849" s="2" t="s">
        <v>344</v>
      </c>
      <c r="J849" s="1408" t="s">
        <v>345</v>
      </c>
      <c r="K849" s="1409"/>
      <c r="L849" s="1409"/>
      <c r="M849" s="1409"/>
      <c r="N849" s="1409"/>
      <c r="O849" s="1409"/>
      <c r="P849" s="1409"/>
      <c r="Q849" s="1409"/>
      <c r="R849" s="1409"/>
      <c r="S849" s="1409"/>
      <c r="T849" s="1409"/>
      <c r="U849" s="1409"/>
      <c r="V849" s="1411"/>
      <c r="W849" s="1475">
        <f>75*132*12</f>
        <v>118800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3"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3" customHeight="1">
      <c r="J853" s="45" t="s">
        <v>460</v>
      </c>
      <c r="K853" s="5"/>
      <c r="L853" s="5"/>
      <c r="M853" s="5"/>
      <c r="N853" s="5"/>
      <c r="O853" s="5"/>
      <c r="P853" s="5"/>
      <c r="Q853" s="5"/>
      <c r="R853" s="5"/>
      <c r="S853" s="5"/>
      <c r="T853" s="5"/>
      <c r="U853" s="5"/>
      <c r="V853" s="46"/>
      <c r="W853" s="1653">
        <v>112393</v>
      </c>
      <c r="X853" s="1653"/>
      <c r="Y853" s="1653"/>
      <c r="Z853" s="1653"/>
      <c r="AA853" s="1653"/>
      <c r="AB853" s="1653"/>
      <c r="AC853" s="1653"/>
      <c r="AZ853" s="30"/>
      <c r="BA853" s="30"/>
      <c r="BB853" s="14"/>
      <c r="BC853" s="14"/>
    </row>
    <row r="854" spans="3:55" ht="13" customHeight="1">
      <c r="J854" s="62" t="s">
        <v>621</v>
      </c>
      <c r="K854" s="5"/>
      <c r="L854" s="5"/>
      <c r="M854" s="5"/>
      <c r="N854" s="5"/>
      <c r="O854" s="5"/>
      <c r="P854" s="5"/>
      <c r="Q854" s="5"/>
      <c r="R854" s="5"/>
      <c r="S854" s="5"/>
      <c r="T854" s="5"/>
      <c r="U854" s="5"/>
      <c r="V854" s="46"/>
      <c r="W854" s="1653">
        <v>98000</v>
      </c>
      <c r="X854" s="1653"/>
      <c r="Y854" s="1653"/>
      <c r="Z854" s="1653"/>
      <c r="AA854" s="1653"/>
      <c r="AB854" s="1653"/>
      <c r="AC854" s="1653"/>
      <c r="AZ854" s="34"/>
      <c r="BA854" s="34"/>
      <c r="BB854" s="34"/>
      <c r="BC854" s="34"/>
    </row>
    <row r="855" spans="3:55" ht="13" customHeight="1">
      <c r="J855" s="63"/>
      <c r="K855" s="48"/>
      <c r="L855" s="48"/>
      <c r="M855" s="48"/>
      <c r="N855" s="48"/>
      <c r="O855" s="48"/>
      <c r="P855" s="48"/>
      <c r="Q855" s="48"/>
      <c r="R855" s="48"/>
      <c r="S855" s="48"/>
      <c r="T855" s="48"/>
      <c r="U855" s="48"/>
      <c r="V855" s="54" t="s">
        <v>272</v>
      </c>
      <c r="W855" s="1654">
        <f>SUM(W851:W854)</f>
        <v>210393</v>
      </c>
      <c r="X855" s="1654"/>
      <c r="Y855" s="1654"/>
      <c r="Z855" s="1654"/>
      <c r="AA855" s="1654"/>
      <c r="AB855" s="1654"/>
      <c r="AC855" s="1654"/>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0">
        <v>139355</v>
      </c>
      <c r="X857" s="1651"/>
      <c r="Y857" s="1651"/>
      <c r="Z857" s="1651"/>
      <c r="AA857" s="1651"/>
      <c r="AB857" s="1651"/>
      <c r="AC857" s="1652"/>
      <c r="AD857" s="528"/>
      <c r="AZ857" s="34"/>
      <c r="BA857" s="34"/>
      <c r="BB857" s="34"/>
      <c r="BC857" s="34"/>
    </row>
    <row r="858" spans="3:55" ht="13" customHeight="1">
      <c r="C858" s="2" t="s">
        <v>347</v>
      </c>
      <c r="J858" s="121" t="s">
        <v>1656</v>
      </c>
      <c r="K858" s="5"/>
      <c r="L858" s="5"/>
      <c r="M858" s="5"/>
      <c r="N858" s="5"/>
      <c r="O858" s="5"/>
      <c r="P858" s="5"/>
      <c r="Q858" s="5"/>
      <c r="R858" s="5"/>
      <c r="S858" s="5"/>
      <c r="T858" s="1636">
        <v>3</v>
      </c>
      <c r="U858" s="1599"/>
      <c r="V858" s="1637"/>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0">
        <v>56160</v>
      </c>
      <c r="X859" s="1651"/>
      <c r="Y859" s="1651"/>
      <c r="Z859" s="1651"/>
      <c r="AA859" s="1651"/>
      <c r="AB859" s="1651"/>
      <c r="AC859" s="1652"/>
      <c r="AD859" s="533"/>
      <c r="AZ859" s="34"/>
      <c r="BA859" s="34"/>
      <c r="BB859" s="34"/>
      <c r="BC859" s="34"/>
    </row>
    <row r="860" spans="3:55" ht="13" customHeight="1">
      <c r="C860" s="2"/>
      <c r="J860" s="121" t="s">
        <v>1657</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3" customHeight="1">
      <c r="J861" s="45" t="s">
        <v>170</v>
      </c>
      <c r="K861" s="5"/>
      <c r="L861" s="5"/>
      <c r="M861" s="1642" t="s">
        <v>334</v>
      </c>
      <c r="N861" s="1643"/>
      <c r="O861" s="1643"/>
      <c r="P861" s="1643"/>
      <c r="Q861" s="1643"/>
      <c r="R861" s="1643"/>
      <c r="S861" s="1643"/>
      <c r="T861" s="1643"/>
      <c r="U861" s="1643"/>
      <c r="V861" s="1644"/>
      <c r="W861" s="1650"/>
      <c r="X861" s="1651"/>
      <c r="Y861" s="1651"/>
      <c r="Z861" s="1651"/>
      <c r="AA861" s="1651"/>
      <c r="AB861" s="1651"/>
      <c r="AC861" s="1652"/>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39">
        <f>SUM(W857:W861)</f>
        <v>195515</v>
      </c>
      <c r="X862" s="1640"/>
      <c r="Y862" s="1640"/>
      <c r="Z862" s="1640"/>
      <c r="AA862" s="1640"/>
      <c r="AB862" s="1640"/>
      <c r="AC862" s="1641"/>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0">
        <v>110000</v>
      </c>
      <c r="X863" s="1651"/>
      <c r="Y863" s="1651"/>
      <c r="Z863" s="1651"/>
      <c r="AA863" s="1651"/>
      <c r="AB863" s="1651"/>
      <c r="AC863" s="1652"/>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8">
        <v>7500</v>
      </c>
      <c r="X865" s="1638"/>
      <c r="Y865" s="1638"/>
      <c r="Z865" s="1638"/>
      <c r="AA865" s="1638"/>
      <c r="AB865" s="1638"/>
      <c r="AC865" s="1638"/>
      <c r="AU865" s="14"/>
      <c r="AZ865" s="34"/>
      <c r="BA865" s="34"/>
      <c r="BB865" s="34"/>
      <c r="BC865" s="34"/>
    </row>
    <row r="866" spans="3:55" ht="13" customHeight="1">
      <c r="J866" s="45" t="s">
        <v>523</v>
      </c>
      <c r="K866" s="5"/>
      <c r="L866" s="5"/>
      <c r="M866" s="5"/>
      <c r="N866" s="5"/>
      <c r="O866" s="5"/>
      <c r="P866" s="5"/>
      <c r="Q866" s="5"/>
      <c r="R866" s="5"/>
      <c r="S866" s="5"/>
      <c r="T866" s="5"/>
      <c r="U866" s="5"/>
      <c r="V866" s="46"/>
      <c r="W866" s="1638">
        <v>109100</v>
      </c>
      <c r="X866" s="1638"/>
      <c r="Y866" s="1638"/>
      <c r="Z866" s="1638"/>
      <c r="AA866" s="1638"/>
      <c r="AB866" s="1638"/>
      <c r="AC866" s="1638"/>
      <c r="AU866" s="4"/>
      <c r="AZ866" s="34"/>
      <c r="BA866" s="34"/>
      <c r="BB866" s="34"/>
      <c r="BC866" s="34"/>
    </row>
    <row r="867" spans="3:55" ht="13" customHeight="1">
      <c r="J867" s="45" t="s">
        <v>522</v>
      </c>
      <c r="K867" s="5"/>
      <c r="L867" s="5"/>
      <c r="M867" s="5"/>
      <c r="N867" s="5"/>
      <c r="O867" s="5"/>
      <c r="P867" s="5"/>
      <c r="Q867" s="5"/>
      <c r="R867" s="5"/>
      <c r="S867" s="5"/>
      <c r="T867" s="5"/>
      <c r="U867" s="5"/>
      <c r="V867" s="46"/>
      <c r="W867" s="1638">
        <v>36000</v>
      </c>
      <c r="X867" s="1638"/>
      <c r="Y867" s="1638"/>
      <c r="Z867" s="1638"/>
      <c r="AA867" s="1638"/>
      <c r="AB867" s="1638"/>
      <c r="AC867" s="1638"/>
      <c r="AU867" s="4"/>
      <c r="AZ867" s="34"/>
      <c r="BA867" s="34"/>
      <c r="BB867" s="34"/>
      <c r="BC867" s="34"/>
    </row>
    <row r="868" spans="3:55" ht="13" customHeight="1">
      <c r="J868" s="45" t="s">
        <v>521</v>
      </c>
      <c r="K868" s="5"/>
      <c r="L868" s="5"/>
      <c r="M868" s="5"/>
      <c r="N868" s="5"/>
      <c r="O868" s="5"/>
      <c r="P868" s="5"/>
      <c r="Q868" s="5"/>
      <c r="R868" s="5"/>
      <c r="S868" s="5"/>
      <c r="T868" s="5"/>
      <c r="U868" s="5"/>
      <c r="V868" s="46"/>
      <c r="W868" s="1638">
        <v>3000</v>
      </c>
      <c r="X868" s="1638"/>
      <c r="Y868" s="1638"/>
      <c r="Z868" s="1638"/>
      <c r="AA868" s="1638"/>
      <c r="AB868" s="1638"/>
      <c r="AC868" s="1638"/>
      <c r="AU868" s="4"/>
      <c r="AZ868" s="34"/>
      <c r="BA868" s="34"/>
      <c r="BB868" s="34"/>
      <c r="BC868" s="34"/>
    </row>
    <row r="869" spans="3:55" ht="13" customHeight="1">
      <c r="J869" s="45" t="s">
        <v>520</v>
      </c>
      <c r="K869" s="5"/>
      <c r="L869" s="5"/>
      <c r="M869" s="5"/>
      <c r="N869" s="5"/>
      <c r="O869" s="5"/>
      <c r="P869" s="5"/>
      <c r="Q869" s="5"/>
      <c r="R869" s="5"/>
      <c r="S869" s="5"/>
      <c r="T869" s="5"/>
      <c r="U869" s="5"/>
      <c r="V869" s="46"/>
      <c r="W869" s="1638">
        <v>7500</v>
      </c>
      <c r="X869" s="1638"/>
      <c r="Y869" s="1638"/>
      <c r="Z869" s="1638"/>
      <c r="AA869" s="1638"/>
      <c r="AB869" s="1638"/>
      <c r="AC869" s="1638"/>
      <c r="AU869" s="4"/>
      <c r="AZ869" s="34"/>
      <c r="BA869" s="34"/>
      <c r="BB869" s="34"/>
      <c r="BC869" s="34"/>
    </row>
    <row r="870" spans="3:55" ht="13" customHeight="1">
      <c r="J870" s="45" t="s">
        <v>519</v>
      </c>
      <c r="K870" s="5"/>
      <c r="L870" s="5"/>
      <c r="M870" s="5"/>
      <c r="N870" s="5"/>
      <c r="O870" s="5"/>
      <c r="P870" s="5"/>
      <c r="Q870" s="5"/>
      <c r="R870" s="5"/>
      <c r="S870" s="5"/>
      <c r="T870" s="5"/>
      <c r="U870" s="5"/>
      <c r="V870" s="46"/>
      <c r="W870" s="1638">
        <v>6500</v>
      </c>
      <c r="X870" s="1638"/>
      <c r="Y870" s="1638"/>
      <c r="Z870" s="1638"/>
      <c r="AA870" s="1638"/>
      <c r="AB870" s="1638"/>
      <c r="AC870" s="1638"/>
      <c r="AU870" s="4"/>
      <c r="AZ870" s="34"/>
      <c r="BA870" s="34"/>
      <c r="BB870" s="34"/>
      <c r="BC870" s="34"/>
    </row>
    <row r="871" spans="3:55" ht="13" customHeight="1">
      <c r="J871" s="45" t="s">
        <v>170</v>
      </c>
      <c r="K871" s="5"/>
      <c r="L871" s="5"/>
      <c r="M871" s="1642" t="s">
        <v>334</v>
      </c>
      <c r="N871" s="1643"/>
      <c r="O871" s="1643"/>
      <c r="P871" s="1643"/>
      <c r="Q871" s="1643"/>
      <c r="R871" s="1643"/>
      <c r="S871" s="1643"/>
      <c r="T871" s="1643"/>
      <c r="U871" s="1643"/>
      <c r="V871" s="1644"/>
      <c r="W871" s="1638"/>
      <c r="X871" s="1638"/>
      <c r="Y871" s="1638"/>
      <c r="Z871" s="1638"/>
      <c r="AA871" s="1638"/>
      <c r="AB871" s="1638"/>
      <c r="AC871" s="1638"/>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1">
        <f>SUM(W865:W871)</f>
        <v>169600</v>
      </c>
      <c r="X872" s="1601"/>
      <c r="Y872" s="1601"/>
      <c r="Z872" s="1601"/>
      <c r="AA872" s="1601"/>
      <c r="AB872" s="1601"/>
      <c r="AC872" s="1601"/>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2" t="s">
        <v>334</v>
      </c>
      <c r="N874" s="1643"/>
      <c r="O874" s="1643"/>
      <c r="P874" s="1643"/>
      <c r="Q874" s="1643"/>
      <c r="R874" s="1643"/>
      <c r="S874" s="1643"/>
      <c r="T874" s="1643"/>
      <c r="U874" s="1643"/>
      <c r="V874" s="1644"/>
      <c r="W874" s="1475"/>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42" t="s">
        <v>334</v>
      </c>
      <c r="N875" s="1643"/>
      <c r="O875" s="1643"/>
      <c r="P875" s="1643"/>
      <c r="Q875" s="1643"/>
      <c r="R875" s="1643"/>
      <c r="S875" s="1643"/>
      <c r="T875" s="1643"/>
      <c r="U875" s="1643"/>
      <c r="V875" s="1644"/>
      <c r="W875" s="1475"/>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2" t="s">
        <v>334</v>
      </c>
      <c r="N876" s="1643"/>
      <c r="O876" s="1643"/>
      <c r="P876" s="1643"/>
      <c r="Q876" s="1643"/>
      <c r="R876" s="1643"/>
      <c r="S876" s="1643"/>
      <c r="T876" s="1643"/>
      <c r="U876" s="1643"/>
      <c r="V876" s="1644"/>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2" t="s">
        <v>334</v>
      </c>
      <c r="N877" s="1643"/>
      <c r="O877" s="1643"/>
      <c r="P877" s="1643"/>
      <c r="Q877" s="1643"/>
      <c r="R877" s="1643"/>
      <c r="S877" s="1643"/>
      <c r="T877" s="1643"/>
      <c r="U877" s="1643"/>
      <c r="V877" s="1644"/>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2" t="s">
        <v>334</v>
      </c>
      <c r="N878" s="1643"/>
      <c r="O878" s="1643"/>
      <c r="P878" s="1643"/>
      <c r="Q878" s="1643"/>
      <c r="R878" s="1643"/>
      <c r="S878" s="1643"/>
      <c r="T878" s="1643"/>
      <c r="U878" s="1643"/>
      <c r="V878" s="1644"/>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858000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5">
        <f>O797+O777+G753</f>
        <v>132</v>
      </c>
      <c r="AD884" s="1645"/>
      <c r="AE884" s="1645"/>
      <c r="AF884" s="1645"/>
      <c r="AG884" s="1645"/>
      <c r="AH884" s="1646"/>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6500</v>
      </c>
      <c r="AD885" s="1601"/>
      <c r="AE885" s="1601"/>
      <c r="AF885" s="1601"/>
      <c r="AG885" s="1601"/>
      <c r="AH885" s="1601"/>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7">
        <v>1536490</v>
      </c>
      <c r="AD886" s="1648"/>
      <c r="AE886" s="1648"/>
      <c r="AF886" s="1648"/>
      <c r="AG886" s="1648"/>
      <c r="AH886" s="164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8"/>
      <c r="AE887" s="1638"/>
      <c r="AF887" s="1638"/>
      <c r="AG887" s="1638"/>
      <c r="AH887" s="1638"/>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50000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46200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v>15532</v>
      </c>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3"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66" t="s">
        <v>957</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3" customHeight="1">
      <c r="C895" s="1666" t="s">
        <v>957</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5"/>
      <c r="BE899" s="1635"/>
      <c r="BF899" s="14"/>
    </row>
    <row r="900" spans="1:58" ht="13"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5"/>
      <c r="BE900" s="1635"/>
      <c r="BF900" s="14"/>
    </row>
    <row r="901" spans="1:58" ht="13"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4"/>
      <c r="BE901" s="1634"/>
      <c r="BF901" s="14"/>
    </row>
    <row r="902" spans="1:58" ht="13"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4"/>
      <c r="BE902" s="1634"/>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3" customHeight="1">
      <c r="AZ909" s="34"/>
      <c r="BB909" s="30"/>
      <c r="BC909" s="816"/>
    </row>
    <row r="910" spans="1:58" ht="13"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5"/>
      <c r="BE910" s="1634"/>
      <c r="BF910" s="911"/>
    </row>
    <row r="911" spans="1:58" ht="13"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793</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3" customHeight="1">
      <c r="B916" s="2"/>
      <c r="F916" s="1755" t="s">
        <v>819</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28" t="s">
        <v>546</v>
      </c>
      <c r="V918" s="1427"/>
      <c r="W918" s="1427"/>
      <c r="X918" s="1427"/>
      <c r="Y918" s="1427"/>
      <c r="Z918" s="1428"/>
      <c r="AA918" s="1632">
        <v>28311000</v>
      </c>
      <c r="AB918" s="1524"/>
      <c r="AC918" s="1524"/>
      <c r="AD918" s="1524"/>
      <c r="AE918" s="1524"/>
      <c r="AF918" s="1633"/>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28" t="s">
        <v>546</v>
      </c>
      <c r="V919" s="1427"/>
      <c r="W919" s="1427"/>
      <c r="X919" s="1427"/>
      <c r="Y919" s="1427"/>
      <c r="Z919" s="1428"/>
      <c r="AA919" s="1632">
        <v>50292000</v>
      </c>
      <c r="AB919" s="1524"/>
      <c r="AC919" s="1524"/>
      <c r="AD919" s="1524"/>
      <c r="AE919" s="1524"/>
      <c r="AF919" s="1633"/>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28" t="s">
        <v>592</v>
      </c>
      <c r="V920" s="1427"/>
      <c r="W920" s="1427"/>
      <c r="X920" s="1427"/>
      <c r="Y920" s="1427"/>
      <c r="Z920" s="1428"/>
      <c r="AA920" s="1632"/>
      <c r="AB920" s="1524"/>
      <c r="AC920" s="1524"/>
      <c r="AD920" s="1524"/>
      <c r="AE920" s="1524"/>
      <c r="AF920" s="1633"/>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28" t="s">
        <v>592</v>
      </c>
      <c r="V921" s="1427"/>
      <c r="W921" s="1427"/>
      <c r="X921" s="1427"/>
      <c r="Y921" s="1427"/>
      <c r="Z921" s="1428"/>
      <c r="AA921" s="1632"/>
      <c r="AB921" s="1524"/>
      <c r="AC921" s="1524"/>
      <c r="AD921" s="1524"/>
      <c r="AE921" s="1524"/>
      <c r="AF921" s="1633"/>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28" t="s">
        <v>592</v>
      </c>
      <c r="V922" s="1427"/>
      <c r="W922" s="1427"/>
      <c r="X922" s="1427"/>
      <c r="Y922" s="1427"/>
      <c r="Z922" s="1428"/>
      <c r="AA922" s="1632"/>
      <c r="AB922" s="1524"/>
      <c r="AC922" s="1524"/>
      <c r="AD922" s="1524"/>
      <c r="AE922" s="1524"/>
      <c r="AF922" s="1633"/>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28" t="s">
        <v>592</v>
      </c>
      <c r="V923" s="1427"/>
      <c r="W923" s="1427"/>
      <c r="X923" s="1427"/>
      <c r="Y923" s="1427"/>
      <c r="Z923" s="1428"/>
      <c r="AA923" s="1632"/>
      <c r="AB923" s="1524"/>
      <c r="AC923" s="1524"/>
      <c r="AD923" s="1524"/>
      <c r="AE923" s="1524"/>
      <c r="AF923" s="1633"/>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28" t="s">
        <v>592</v>
      </c>
      <c r="V924" s="1427"/>
      <c r="W924" s="1427"/>
      <c r="X924" s="1427"/>
      <c r="Y924" s="1427"/>
      <c r="Z924" s="1428"/>
      <c r="AA924" s="1632"/>
      <c r="AB924" s="1524"/>
      <c r="AC924" s="1524"/>
      <c r="AD924" s="1524"/>
      <c r="AE924" s="1524"/>
      <c r="AF924" s="1633"/>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28" t="s">
        <v>592</v>
      </c>
      <c r="V925" s="1427"/>
      <c r="W925" s="1427"/>
      <c r="X925" s="1427"/>
      <c r="Y925" s="1427"/>
      <c r="Z925" s="1428"/>
      <c r="AA925" s="1632"/>
      <c r="AB925" s="1524"/>
      <c r="AC925" s="1524"/>
      <c r="AD925" s="1524"/>
      <c r="AE925" s="1524"/>
      <c r="AF925" s="1633"/>
      <c r="AZ925" s="34"/>
      <c r="BA925" s="34"/>
      <c r="BB925" s="34"/>
      <c r="BC925" s="34"/>
    </row>
    <row r="926" spans="1:58" ht="13" customHeight="1">
      <c r="F926" s="1625" t="s">
        <v>2193</v>
      </c>
      <c r="G926" s="1626"/>
      <c r="H926" s="1626"/>
      <c r="I926" s="1626"/>
      <c r="J926" s="1626"/>
      <c r="K926" s="1626"/>
      <c r="L926" s="1626"/>
      <c r="M926" s="1626"/>
      <c r="N926" s="1626"/>
      <c r="O926" s="1626"/>
      <c r="P926" s="1626"/>
      <c r="Q926" s="1626"/>
      <c r="R926" s="1626"/>
      <c r="S926" s="1626"/>
      <c r="T926" s="1627"/>
      <c r="U926" s="1628" t="s">
        <v>592</v>
      </c>
      <c r="V926" s="1427"/>
      <c r="W926" s="1427"/>
      <c r="X926" s="1427"/>
      <c r="Y926" s="1427"/>
      <c r="Z926" s="1428"/>
      <c r="AA926" s="1632"/>
      <c r="AB926" s="1524"/>
      <c r="AC926" s="1524"/>
      <c r="AD926" s="1524"/>
      <c r="AE926" s="1524"/>
      <c r="AF926" s="1633"/>
      <c r="AZ926" s="34"/>
      <c r="BA926" s="34"/>
      <c r="BB926" s="34"/>
      <c r="BC926" s="34"/>
    </row>
    <row r="927" spans="1:58" ht="13" customHeight="1">
      <c r="F927" s="1625" t="s">
        <v>680</v>
      </c>
      <c r="G927" s="1626"/>
      <c r="H927" s="1626"/>
      <c r="I927" s="1626"/>
      <c r="J927" s="1626"/>
      <c r="K927" s="1626"/>
      <c r="L927" s="1626"/>
      <c r="M927" s="1626"/>
      <c r="N927" s="1626"/>
      <c r="O927" s="1626"/>
      <c r="P927" s="1626"/>
      <c r="Q927" s="1626"/>
      <c r="R927" s="1626"/>
      <c r="S927" s="1626"/>
      <c r="T927" s="1627"/>
      <c r="U927" s="1628" t="s">
        <v>592</v>
      </c>
      <c r="V927" s="1427"/>
      <c r="W927" s="1427"/>
      <c r="X927" s="1427"/>
      <c r="Y927" s="1427"/>
      <c r="Z927" s="1428"/>
      <c r="AA927" s="1632"/>
      <c r="AB927" s="1524"/>
      <c r="AC927" s="1524"/>
      <c r="AD927" s="1524"/>
      <c r="AE927" s="1524"/>
      <c r="AF927" s="1633"/>
      <c r="AU927" s="2"/>
      <c r="AZ927" s="34"/>
      <c r="BA927" s="34"/>
      <c r="BB927" s="34"/>
      <c r="BC927" s="34"/>
    </row>
    <row r="928" spans="1:58" ht="13" customHeight="1">
      <c r="F928" s="1625" t="s">
        <v>2194</v>
      </c>
      <c r="G928" s="1626"/>
      <c r="H928" s="1626"/>
      <c r="I928" s="1626"/>
      <c r="J928" s="1626"/>
      <c r="K928" s="1626"/>
      <c r="L928" s="1626"/>
      <c r="M928" s="1626"/>
      <c r="N928" s="1626"/>
      <c r="O928" s="1626"/>
      <c r="P928" s="1626"/>
      <c r="Q928" s="1626"/>
      <c r="R928" s="1626"/>
      <c r="S928" s="1626"/>
      <c r="T928" s="1627"/>
      <c r="U928" s="1628" t="s">
        <v>592</v>
      </c>
      <c r="V928" s="1427"/>
      <c r="W928" s="1427"/>
      <c r="X928" s="1427"/>
      <c r="Y928" s="1427"/>
      <c r="Z928" s="1428"/>
      <c r="AA928" s="1632"/>
      <c r="AB928" s="1524"/>
      <c r="AC928" s="1524"/>
      <c r="AD928" s="1524"/>
      <c r="AE928" s="1524"/>
      <c r="AF928" s="1633"/>
      <c r="AU928" s="2"/>
      <c r="AZ928" s="34"/>
      <c r="BA928" s="34"/>
      <c r="BB928" s="34"/>
      <c r="BC928" s="34"/>
    </row>
    <row r="929" spans="6:55" ht="13" customHeight="1">
      <c r="F929" s="1625" t="s">
        <v>2195</v>
      </c>
      <c r="G929" s="1626"/>
      <c r="H929" s="1626"/>
      <c r="I929" s="1626"/>
      <c r="J929" s="1626"/>
      <c r="K929" s="1626"/>
      <c r="L929" s="1626"/>
      <c r="M929" s="1626"/>
      <c r="N929" s="1626"/>
      <c r="O929" s="1626"/>
      <c r="P929" s="1626"/>
      <c r="Q929" s="1626"/>
      <c r="R929" s="1626"/>
      <c r="S929" s="1626"/>
      <c r="T929" s="1627"/>
      <c r="U929" s="1628" t="s">
        <v>592</v>
      </c>
      <c r="V929" s="1427"/>
      <c r="W929" s="1427"/>
      <c r="X929" s="1427"/>
      <c r="Y929" s="1427"/>
      <c r="Z929" s="1428"/>
      <c r="AA929" s="1632"/>
      <c r="AB929" s="1524"/>
      <c r="AC929" s="1524"/>
      <c r="AD929" s="1524"/>
      <c r="AE929" s="1524"/>
      <c r="AF929" s="1633"/>
      <c r="AU929" s="2"/>
      <c r="AZ929" s="34"/>
      <c r="BA929" s="34"/>
      <c r="BB929" s="34"/>
      <c r="BC929" s="34"/>
    </row>
    <row r="930" spans="6:55" ht="13" customHeight="1">
      <c r="F930" s="1625" t="s">
        <v>2196</v>
      </c>
      <c r="G930" s="1626"/>
      <c r="H930" s="1626"/>
      <c r="I930" s="1626"/>
      <c r="J930" s="1626"/>
      <c r="K930" s="1626"/>
      <c r="L930" s="1626"/>
      <c r="M930" s="1626"/>
      <c r="N930" s="1626"/>
      <c r="O930" s="1626"/>
      <c r="P930" s="1626"/>
      <c r="Q930" s="1626"/>
      <c r="R930" s="1626"/>
      <c r="S930" s="1626"/>
      <c r="T930" s="1627"/>
      <c r="U930" s="1628" t="s">
        <v>592</v>
      </c>
      <c r="V930" s="1427"/>
      <c r="W930" s="1427"/>
      <c r="X930" s="1427"/>
      <c r="Y930" s="1427"/>
      <c r="Z930" s="1428"/>
      <c r="AA930" s="1632"/>
      <c r="AB930" s="1524"/>
      <c r="AC930" s="1524"/>
      <c r="AD930" s="1524"/>
      <c r="AE930" s="1524"/>
      <c r="AF930" s="1633"/>
      <c r="AU930" s="2"/>
      <c r="AZ930" s="34"/>
      <c r="BA930" s="34"/>
      <c r="BB930" s="34"/>
      <c r="BC930" s="34"/>
    </row>
    <row r="931" spans="6:55" ht="13" customHeight="1">
      <c r="F931" s="1625" t="s">
        <v>2197</v>
      </c>
      <c r="G931" s="1626"/>
      <c r="H931" s="1626"/>
      <c r="I931" s="1626"/>
      <c r="J931" s="1626"/>
      <c r="K931" s="1626"/>
      <c r="L931" s="1626"/>
      <c r="M931" s="1626"/>
      <c r="N931" s="1626"/>
      <c r="O931" s="1626"/>
      <c r="P931" s="1626"/>
      <c r="Q931" s="1626"/>
      <c r="R931" s="1626"/>
      <c r="S931" s="1626"/>
      <c r="T931" s="1627"/>
      <c r="U931" s="1628" t="s">
        <v>592</v>
      </c>
      <c r="V931" s="1427"/>
      <c r="W931" s="1427"/>
      <c r="X931" s="1427"/>
      <c r="Y931" s="1427"/>
      <c r="Z931" s="1428"/>
      <c r="AA931" s="1632"/>
      <c r="AB931" s="1524"/>
      <c r="AC931" s="1524"/>
      <c r="AD931" s="1524"/>
      <c r="AE931" s="1524"/>
      <c r="AF931" s="1633"/>
      <c r="AU931" s="2"/>
      <c r="AZ931" s="34"/>
      <c r="BA931" s="34"/>
      <c r="BB931" s="34"/>
      <c r="BC931" s="34"/>
    </row>
    <row r="932" spans="6:55" ht="13" customHeight="1">
      <c r="F932" s="1625" t="s">
        <v>2198</v>
      </c>
      <c r="G932" s="1626"/>
      <c r="H932" s="1626"/>
      <c r="I932" s="1626"/>
      <c r="J932" s="1626"/>
      <c r="K932" s="1626"/>
      <c r="L932" s="1626"/>
      <c r="M932" s="1626"/>
      <c r="N932" s="1626"/>
      <c r="O932" s="1626"/>
      <c r="P932" s="1626"/>
      <c r="Q932" s="1626"/>
      <c r="R932" s="1626"/>
      <c r="S932" s="1626"/>
      <c r="T932" s="1627"/>
      <c r="U932" s="1628" t="s">
        <v>592</v>
      </c>
      <c r="V932" s="1427"/>
      <c r="W932" s="1427"/>
      <c r="X932" s="1427"/>
      <c r="Y932" s="1427"/>
      <c r="Z932" s="1428"/>
      <c r="AA932" s="1632"/>
      <c r="AB932" s="1524"/>
      <c r="AC932" s="1524"/>
      <c r="AD932" s="1524"/>
      <c r="AE932" s="1524"/>
      <c r="AF932" s="1633"/>
      <c r="AZ932" s="30"/>
      <c r="BA932" s="30"/>
    </row>
    <row r="933" spans="6:55" ht="13" customHeight="1">
      <c r="F933" s="178" t="s">
        <v>677</v>
      </c>
      <c r="G933" s="5"/>
      <c r="H933" s="5"/>
      <c r="I933" s="5"/>
      <c r="J933" s="5"/>
      <c r="K933" s="5"/>
      <c r="L933" s="5"/>
      <c r="M933" s="5"/>
      <c r="N933" s="5"/>
      <c r="O933" s="5"/>
      <c r="P933" s="5"/>
      <c r="Q933" s="5"/>
      <c r="R933" s="5"/>
      <c r="S933" s="5"/>
      <c r="T933" s="46"/>
      <c r="U933" s="1628" t="s">
        <v>592</v>
      </c>
      <c r="V933" s="1427"/>
      <c r="W933" s="1427"/>
      <c r="X933" s="1427"/>
      <c r="Y933" s="1427"/>
      <c r="Z933" s="1428"/>
      <c r="AA933" s="1632"/>
      <c r="AB933" s="1524"/>
      <c r="AC933" s="1524"/>
      <c r="AD933" s="1524"/>
      <c r="AE933" s="1524"/>
      <c r="AF933" s="1633"/>
    </row>
    <row r="934" spans="6:55" ht="13" customHeight="1">
      <c r="F934" s="121" t="s">
        <v>1278</v>
      </c>
      <c r="G934" s="5"/>
      <c r="H934" s="5"/>
      <c r="I934" s="5"/>
      <c r="J934" s="5"/>
      <c r="K934" s="5"/>
      <c r="L934" s="5"/>
      <c r="M934" s="5"/>
      <c r="N934" s="5"/>
      <c r="O934" s="5"/>
      <c r="P934" s="5"/>
      <c r="Q934" s="5"/>
      <c r="R934" s="5"/>
      <c r="S934" s="5"/>
      <c r="T934" s="46"/>
      <c r="U934" s="1628" t="s">
        <v>592</v>
      </c>
      <c r="V934" s="1427"/>
      <c r="W934" s="1427"/>
      <c r="X934" s="1427"/>
      <c r="Y934" s="1427"/>
      <c r="Z934" s="1428"/>
      <c r="AA934" s="1632"/>
      <c r="AB934" s="1524"/>
      <c r="AC934" s="1524"/>
      <c r="AD934" s="1524"/>
      <c r="AE934" s="1524"/>
      <c r="AF934" s="1633"/>
      <c r="AZ934" s="30"/>
      <c r="BA934" s="14"/>
    </row>
    <row r="935" spans="6:55" ht="13" customHeight="1">
      <c r="F935" s="66" t="s">
        <v>803</v>
      </c>
      <c r="G935" s="5"/>
      <c r="H935" s="5"/>
      <c r="I935" s="5"/>
      <c r="J935" s="5"/>
      <c r="K935" s="5"/>
      <c r="L935" s="5"/>
      <c r="M935" s="5"/>
      <c r="N935" s="5"/>
      <c r="O935" s="5"/>
      <c r="P935" s="5"/>
      <c r="Q935" s="5"/>
      <c r="R935" s="5"/>
      <c r="S935" s="5"/>
      <c r="T935" s="46"/>
      <c r="U935" s="1628" t="s">
        <v>592</v>
      </c>
      <c r="V935" s="1427"/>
      <c r="W935" s="1427"/>
      <c r="X935" s="1427"/>
      <c r="Y935" s="1427"/>
      <c r="Z935" s="1428"/>
      <c r="AA935" s="1632"/>
      <c r="AB935" s="1524"/>
      <c r="AC935" s="1524"/>
      <c r="AD935" s="1524"/>
      <c r="AE935" s="1524"/>
      <c r="AF935" s="1633"/>
      <c r="AZ935" s="30"/>
      <c r="BA935" s="14"/>
    </row>
    <row r="936" spans="6:55" ht="13" customHeight="1">
      <c r="F936" s="1629" t="s">
        <v>2202</v>
      </c>
      <c r="G936" s="1630"/>
      <c r="H936" s="1630"/>
      <c r="I936" s="1630"/>
      <c r="J936" s="1630"/>
      <c r="K936" s="1630"/>
      <c r="L936" s="1630"/>
      <c r="M936" s="1630"/>
      <c r="N936" s="1630"/>
      <c r="O936" s="1630"/>
      <c r="P936" s="1630"/>
      <c r="Q936" s="1630"/>
      <c r="R936" s="1630"/>
      <c r="S936" s="1630"/>
      <c r="T936" s="1631"/>
      <c r="U936" s="1628" t="s">
        <v>592</v>
      </c>
      <c r="V936" s="1427"/>
      <c r="W936" s="1427"/>
      <c r="X936" s="1427"/>
      <c r="Y936" s="1427"/>
      <c r="Z936" s="1428"/>
      <c r="AA936" s="1632"/>
      <c r="AB936" s="1524"/>
      <c r="AC936" s="1524"/>
      <c r="AD936" s="1524"/>
      <c r="AE936" s="1524"/>
      <c r="AF936" s="1633"/>
      <c r="AZ936" s="30"/>
      <c r="BA936" s="14"/>
    </row>
    <row r="937" spans="6:55" ht="13" customHeight="1">
      <c r="F937" s="1629" t="s">
        <v>2203</v>
      </c>
      <c r="G937" s="1630"/>
      <c r="H937" s="1630"/>
      <c r="I937" s="1630"/>
      <c r="J937" s="1630"/>
      <c r="K937" s="1630"/>
      <c r="L937" s="1630"/>
      <c r="M937" s="1630"/>
      <c r="N937" s="1630"/>
      <c r="O937" s="1630"/>
      <c r="P937" s="1630"/>
      <c r="Q937" s="1630"/>
      <c r="R937" s="1630"/>
      <c r="S937" s="1630"/>
      <c r="T937" s="1631"/>
      <c r="U937" s="1628" t="s">
        <v>592</v>
      </c>
      <c r="V937" s="1427"/>
      <c r="W937" s="1427"/>
      <c r="X937" s="1427"/>
      <c r="Y937" s="1427"/>
      <c r="Z937" s="1428"/>
      <c r="AA937" s="1632"/>
      <c r="AB937" s="1524"/>
      <c r="AC937" s="1524"/>
      <c r="AD937" s="1524"/>
      <c r="AE937" s="1524"/>
      <c r="AF937" s="1633"/>
      <c r="AZ937" s="30"/>
      <c r="BA937" s="30"/>
    </row>
    <row r="938" spans="6:55" ht="13" customHeight="1">
      <c r="F938" s="1625" t="s">
        <v>2199</v>
      </c>
      <c r="G938" s="1626"/>
      <c r="H938" s="1626"/>
      <c r="I938" s="1626"/>
      <c r="J938" s="1626"/>
      <c r="K938" s="1626"/>
      <c r="L938" s="1626"/>
      <c r="M938" s="1626"/>
      <c r="N938" s="1626"/>
      <c r="O938" s="1626"/>
      <c r="P938" s="1626"/>
      <c r="Q938" s="1626"/>
      <c r="R938" s="1626"/>
      <c r="S938" s="1626"/>
      <c r="T938" s="1627"/>
      <c r="U938" s="1628" t="s">
        <v>592</v>
      </c>
      <c r="V938" s="1427"/>
      <c r="W938" s="1427"/>
      <c r="X938" s="1427"/>
      <c r="Y938" s="1427"/>
      <c r="Z938" s="1428"/>
      <c r="AA938" s="1632"/>
      <c r="AB938" s="1524"/>
      <c r="AC938" s="1524"/>
      <c r="AD938" s="1524"/>
      <c r="AE938" s="1524"/>
      <c r="AF938" s="1633"/>
      <c r="AZ938" s="30"/>
      <c r="BA938" s="30"/>
    </row>
    <row r="939" spans="6:55" ht="13" customHeight="1">
      <c r="F939" s="1625" t="s">
        <v>2200</v>
      </c>
      <c r="G939" s="1626"/>
      <c r="H939" s="1626"/>
      <c r="I939" s="1626"/>
      <c r="J939" s="1626"/>
      <c r="K939" s="1626"/>
      <c r="L939" s="1626"/>
      <c r="M939" s="1626"/>
      <c r="N939" s="1626"/>
      <c r="O939" s="1626"/>
      <c r="P939" s="1626"/>
      <c r="Q939" s="1626"/>
      <c r="R939" s="1626"/>
      <c r="S939" s="1626"/>
      <c r="T939" s="1627"/>
      <c r="U939" s="1628" t="s">
        <v>592</v>
      </c>
      <c r="V939" s="1427"/>
      <c r="W939" s="1427"/>
      <c r="X939" s="1427"/>
      <c r="Y939" s="1427"/>
      <c r="Z939" s="1428"/>
      <c r="AA939" s="1632"/>
      <c r="AB939" s="1524"/>
      <c r="AC939" s="1524"/>
      <c r="AD939" s="1524"/>
      <c r="AE939" s="1524"/>
      <c r="AF939" s="1633"/>
      <c r="AZ939" s="30"/>
      <c r="BA939" s="30"/>
    </row>
    <row r="940" spans="6:55" ht="13" customHeight="1">
      <c r="F940" s="1625" t="s">
        <v>2201</v>
      </c>
      <c r="G940" s="1626"/>
      <c r="H940" s="1626"/>
      <c r="I940" s="1626"/>
      <c r="J940" s="1626"/>
      <c r="K940" s="1626"/>
      <c r="L940" s="1626"/>
      <c r="M940" s="1626"/>
      <c r="N940" s="1626"/>
      <c r="O940" s="1626"/>
      <c r="P940" s="1626"/>
      <c r="Q940" s="1626"/>
      <c r="R940" s="1626"/>
      <c r="S940" s="1626"/>
      <c r="T940" s="1627"/>
      <c r="U940" s="1628" t="s">
        <v>592</v>
      </c>
      <c r="V940" s="1427"/>
      <c r="W940" s="1427"/>
      <c r="X940" s="1427"/>
      <c r="Y940" s="1427"/>
      <c r="Z940" s="1428"/>
      <c r="AA940" s="1632"/>
      <c r="AB940" s="1524"/>
      <c r="AC940" s="1524"/>
      <c r="AD940" s="1524"/>
      <c r="AE940" s="1524"/>
      <c r="AF940" s="1633"/>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28" t="s">
        <v>592</v>
      </c>
      <c r="V941" s="1427"/>
      <c r="W941" s="1427"/>
      <c r="X941" s="1427"/>
      <c r="Y941" s="1427"/>
      <c r="Z941" s="1428"/>
      <c r="AA941" s="1632"/>
      <c r="AB941" s="1524"/>
      <c r="AC941" s="1524"/>
      <c r="AD941" s="1524"/>
      <c r="AE941" s="1524"/>
      <c r="AF941" s="1633"/>
      <c r="AZ941" s="34"/>
      <c r="BA941" s="34"/>
      <c r="BB941" s="14"/>
      <c r="BC941" s="14"/>
    </row>
    <row r="942" spans="6:55" ht="13" customHeight="1">
      <c r="F942" s="1629" t="s">
        <v>2204</v>
      </c>
      <c r="G942" s="1630"/>
      <c r="H942" s="1630"/>
      <c r="I942" s="1630"/>
      <c r="J942" s="1630"/>
      <c r="K942" s="1630"/>
      <c r="L942" s="1630"/>
      <c r="M942" s="1630"/>
      <c r="N942" s="1630"/>
      <c r="O942" s="1630"/>
      <c r="P942" s="1630"/>
      <c r="Q942" s="1630"/>
      <c r="R942" s="1630"/>
      <c r="S942" s="1630"/>
      <c r="T942" s="1631"/>
      <c r="U942" s="1628" t="s">
        <v>592</v>
      </c>
      <c r="V942" s="1427"/>
      <c r="W942" s="1427"/>
      <c r="X942" s="1427"/>
      <c r="Y942" s="1427"/>
      <c r="Z942" s="1428"/>
      <c r="AA942" s="1632"/>
      <c r="AB942" s="1524"/>
      <c r="AC942" s="1524"/>
      <c r="AD942" s="1524"/>
      <c r="AE942" s="1524"/>
      <c r="AF942" s="1633"/>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28" t="s">
        <v>592</v>
      </c>
      <c r="V943" s="1427"/>
      <c r="W943" s="1427"/>
      <c r="X943" s="1427"/>
      <c r="Y943" s="1427"/>
      <c r="Z943" s="1428"/>
      <c r="AA943" s="1632"/>
      <c r="AB943" s="1524"/>
      <c r="AC943" s="1524"/>
      <c r="AD943" s="1524"/>
      <c r="AE943" s="1524"/>
      <c r="AF943" s="1633"/>
      <c r="AZ943" s="34"/>
      <c r="BA943" s="34"/>
      <c r="BB943" s="34"/>
      <c r="BC943" s="34"/>
    </row>
    <row r="944" spans="6:55" ht="13" customHeight="1">
      <c r="F944" s="1629" t="s">
        <v>2205</v>
      </c>
      <c r="G944" s="1630"/>
      <c r="H944" s="1630"/>
      <c r="I944" s="1630"/>
      <c r="J944" s="1630"/>
      <c r="K944" s="1630"/>
      <c r="L944" s="1630"/>
      <c r="M944" s="1630"/>
      <c r="N944" s="1630"/>
      <c r="O944" s="1630"/>
      <c r="P944" s="1630"/>
      <c r="Q944" s="1630"/>
      <c r="R944" s="1630"/>
      <c r="S944" s="1630"/>
      <c r="T944" s="1631"/>
      <c r="U944" s="1628" t="s">
        <v>592</v>
      </c>
      <c r="V944" s="1427"/>
      <c r="W944" s="1427"/>
      <c r="X944" s="1427"/>
      <c r="Y944" s="1427"/>
      <c r="Z944" s="1428"/>
      <c r="AA944" s="1632"/>
      <c r="AB944" s="1524"/>
      <c r="AC944" s="1524"/>
      <c r="AD944" s="1524"/>
      <c r="AE944" s="1524"/>
      <c r="AF944" s="1633"/>
      <c r="AZ944" s="34"/>
      <c r="BA944" s="34"/>
      <c r="BB944" s="34"/>
      <c r="BC944" s="34"/>
    </row>
    <row r="945" spans="1:55" ht="13" customHeight="1">
      <c r="F945" s="45" t="s">
        <v>807</v>
      </c>
      <c r="G945" s="5"/>
      <c r="H945" s="5"/>
      <c r="I945" s="5"/>
      <c r="J945" s="5"/>
      <c r="K945" s="5"/>
      <c r="L945" s="5"/>
      <c r="M945" s="5"/>
      <c r="N945" s="5"/>
      <c r="O945" s="5"/>
      <c r="P945" s="1628" t="s">
        <v>670</v>
      </c>
      <c r="Q945" s="1427"/>
      <c r="R945" s="1427"/>
      <c r="S945" s="1427"/>
      <c r="T945" s="1428"/>
      <c r="U945" s="1628" t="s">
        <v>592</v>
      </c>
      <c r="V945" s="1427"/>
      <c r="W945" s="1427"/>
      <c r="X945" s="1427"/>
      <c r="Y945" s="1427"/>
      <c r="Z945" s="1428"/>
      <c r="AA945" s="1632"/>
      <c r="AB945" s="1524"/>
      <c r="AC945" s="1524"/>
      <c r="AD945" s="1524"/>
      <c r="AE945" s="1524"/>
      <c r="AF945" s="1633"/>
      <c r="AZ945" s="34"/>
      <c r="BA945" s="34"/>
      <c r="BB945" s="34"/>
      <c r="BC945" s="34"/>
    </row>
    <row r="946" spans="1:55" ht="13" customHeight="1">
      <c r="F946" s="1625" t="s">
        <v>2192</v>
      </c>
      <c r="G946" s="1626"/>
      <c r="H946" s="1627"/>
      <c r="I946" s="1642" t="s">
        <v>334</v>
      </c>
      <c r="J946" s="1643"/>
      <c r="K946" s="1643"/>
      <c r="L946" s="1643"/>
      <c r="M946" s="1643"/>
      <c r="N946" s="1643"/>
      <c r="O946" s="1643"/>
      <c r="P946" s="1643"/>
      <c r="Q946" s="1643"/>
      <c r="R946" s="1643"/>
      <c r="S946" s="1643"/>
      <c r="T946" s="1644"/>
      <c r="U946" s="1628" t="s">
        <v>592</v>
      </c>
      <c r="V946" s="1427"/>
      <c r="W946" s="1427"/>
      <c r="X946" s="1427"/>
      <c r="Y946" s="1427"/>
      <c r="Z946" s="1428"/>
      <c r="AA946" s="1632"/>
      <c r="AB946" s="1524"/>
      <c r="AC946" s="1524"/>
      <c r="AD946" s="1524"/>
      <c r="AE946" s="1524"/>
      <c r="AF946" s="1633"/>
      <c r="AZ946" s="34"/>
      <c r="BA946" s="34"/>
      <c r="BB946" s="34"/>
      <c r="BC946" s="34"/>
    </row>
    <row r="947" spans="1:55" ht="13" customHeight="1">
      <c r="F947" s="45" t="s">
        <v>86</v>
      </c>
      <c r="G947" s="48"/>
      <c r="H947" s="48"/>
      <c r="I947" s="1642" t="s">
        <v>334</v>
      </c>
      <c r="J947" s="1643"/>
      <c r="K947" s="1643"/>
      <c r="L947" s="1643"/>
      <c r="M947" s="1643"/>
      <c r="N947" s="1643"/>
      <c r="O947" s="1643"/>
      <c r="P947" s="1643"/>
      <c r="Q947" s="1643"/>
      <c r="R947" s="1643"/>
      <c r="S947" s="1643"/>
      <c r="T947" s="1644"/>
      <c r="U947" s="1628" t="s">
        <v>592</v>
      </c>
      <c r="V947" s="1427"/>
      <c r="W947" s="1427"/>
      <c r="X947" s="1427"/>
      <c r="Y947" s="1427"/>
      <c r="Z947" s="1428"/>
      <c r="AA947" s="1632"/>
      <c r="AB947" s="1524"/>
      <c r="AC947" s="1524"/>
      <c r="AD947" s="1524"/>
      <c r="AE947" s="1524"/>
      <c r="AF947" s="1633"/>
      <c r="AZ947" s="34"/>
      <c r="BA947" s="34"/>
      <c r="BB947" s="34"/>
      <c r="BC947" s="34"/>
    </row>
    <row r="948" spans="1:55" ht="13" customHeight="1">
      <c r="F948" s="45" t="s">
        <v>10</v>
      </c>
      <c r="G948" s="48"/>
      <c r="H948" s="48"/>
      <c r="I948" s="1698" t="s">
        <v>334</v>
      </c>
      <c r="J948" s="1699"/>
      <c r="K948" s="1699"/>
      <c r="L948" s="1699"/>
      <c r="M948" s="1699"/>
      <c r="N948" s="1699"/>
      <c r="O948" s="1699"/>
      <c r="P948" s="1699"/>
      <c r="Q948" s="1699"/>
      <c r="R948" s="1699"/>
      <c r="S948" s="1699"/>
      <c r="T948" s="1700"/>
      <c r="U948" s="1628" t="s">
        <v>592</v>
      </c>
      <c r="V948" s="1427"/>
      <c r="W948" s="1427"/>
      <c r="X948" s="1427"/>
      <c r="Y948" s="1427"/>
      <c r="Z948" s="1428"/>
      <c r="AA948" s="1632"/>
      <c r="AB948" s="1524"/>
      <c r="AC948" s="1524"/>
      <c r="AD948" s="1524"/>
      <c r="AE948" s="1524"/>
      <c r="AF948" s="1633"/>
      <c r="AV948" s="2"/>
      <c r="AW948" s="2"/>
      <c r="AX948" s="2"/>
      <c r="AY948" s="2"/>
      <c r="AZ948" s="34"/>
      <c r="BA948" s="34"/>
      <c r="BB948" s="34"/>
      <c r="BC948" s="34"/>
    </row>
    <row r="949" spans="1:55" ht="13" customHeight="1">
      <c r="F949" s="47" t="s">
        <v>170</v>
      </c>
      <c r="G949" s="48"/>
      <c r="H949" s="48"/>
      <c r="I949" s="1698" t="s">
        <v>334</v>
      </c>
      <c r="J949" s="1699"/>
      <c r="K949" s="1699"/>
      <c r="L949" s="1699"/>
      <c r="M949" s="1699"/>
      <c r="N949" s="1699"/>
      <c r="O949" s="1699"/>
      <c r="P949" s="1699"/>
      <c r="Q949" s="1699"/>
      <c r="R949" s="1699"/>
      <c r="S949" s="1699"/>
      <c r="T949" s="1700"/>
      <c r="U949" s="1628" t="s">
        <v>592</v>
      </c>
      <c r="V949" s="1427"/>
      <c r="W949" s="1427"/>
      <c r="X949" s="1427"/>
      <c r="Y949" s="1427"/>
      <c r="Z949" s="1428"/>
      <c r="AA949" s="1632"/>
      <c r="AB949" s="1524"/>
      <c r="AC949" s="1524"/>
      <c r="AD949" s="1524"/>
      <c r="AE949" s="1524"/>
      <c r="AF949" s="1633"/>
      <c r="AU949" s="2"/>
      <c r="AZ949" s="34"/>
      <c r="BA949" s="34"/>
      <c r="BB949" s="34"/>
      <c r="BC949" s="34"/>
    </row>
    <row r="950" spans="1:55" ht="13" customHeight="1">
      <c r="F950" s="47" t="s">
        <v>170</v>
      </c>
      <c r="G950" s="48"/>
      <c r="H950" s="48"/>
      <c r="I950" s="1698" t="s">
        <v>334</v>
      </c>
      <c r="J950" s="1699"/>
      <c r="K950" s="1699"/>
      <c r="L950" s="1699"/>
      <c r="M950" s="1699"/>
      <c r="N950" s="1699"/>
      <c r="O950" s="1699"/>
      <c r="P950" s="1699"/>
      <c r="Q950" s="1699"/>
      <c r="R950" s="1699"/>
      <c r="S950" s="1699"/>
      <c r="T950" s="1700"/>
      <c r="U950" s="1628" t="s">
        <v>592</v>
      </c>
      <c r="V950" s="1427"/>
      <c r="W950" s="1427"/>
      <c r="X950" s="1427"/>
      <c r="Y950" s="1427"/>
      <c r="Z950" s="1428"/>
      <c r="AA950" s="1632"/>
      <c r="AB950" s="1524"/>
      <c r="AC950" s="1524"/>
      <c r="AD950" s="1524"/>
      <c r="AE950" s="1524"/>
      <c r="AF950" s="1633"/>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c r="N955" s="1520"/>
      <c r="O955" s="1520"/>
      <c r="P955" s="1520"/>
      <c r="Q955" s="1520"/>
      <c r="R955" s="1520"/>
      <c r="S955" s="1623"/>
      <c r="U955" s="66" t="s">
        <v>11</v>
      </c>
      <c r="V955" s="5"/>
      <c r="W955" s="5"/>
      <c r="X955" s="5"/>
      <c r="Y955" s="5"/>
      <c r="Z955" s="5"/>
      <c r="AA955" s="5"/>
      <c r="AB955" s="5"/>
      <c r="AC955" s="5"/>
      <c r="AD955" s="46"/>
      <c r="AE955" s="1702"/>
      <c r="AF955" s="1520"/>
      <c r="AG955" s="1520"/>
      <c r="AH955" s="1520"/>
      <c r="AI955" s="1520"/>
      <c r="AJ955" s="1520"/>
      <c r="AK955" s="1623"/>
      <c r="AZ955" s="34"/>
      <c r="BA955" s="34"/>
      <c r="BB955" s="34"/>
      <c r="BC955" s="34"/>
    </row>
    <row r="956" spans="1:55" ht="13" customHeight="1">
      <c r="C956" s="66" t="s">
        <v>12</v>
      </c>
      <c r="D956" s="5"/>
      <c r="E956" s="5"/>
      <c r="F956" s="5"/>
      <c r="G956" s="5"/>
      <c r="H956" s="5"/>
      <c r="I956" s="5"/>
      <c r="J956" s="5"/>
      <c r="K956" s="5"/>
      <c r="L956" s="46"/>
      <c r="M956" s="1661"/>
      <c r="N956" s="1559"/>
      <c r="O956" s="1559"/>
      <c r="P956" s="1559"/>
      <c r="Q956" s="1559"/>
      <c r="R956" s="1559"/>
      <c r="S956" s="1662"/>
      <c r="U956" s="66" t="s">
        <v>12</v>
      </c>
      <c r="V956" s="5"/>
      <c r="W956" s="5"/>
      <c r="X956" s="5"/>
      <c r="Y956" s="5"/>
      <c r="Z956" s="5"/>
      <c r="AA956" s="5"/>
      <c r="AB956" s="5"/>
      <c r="AC956" s="5"/>
      <c r="AD956" s="46"/>
      <c r="AE956" s="1661"/>
      <c r="AF956" s="1559"/>
      <c r="AG956" s="1559"/>
      <c r="AH956" s="1559"/>
      <c r="AI956" s="1559"/>
      <c r="AJ956" s="1559"/>
      <c r="AK956" s="1662"/>
      <c r="AZ956" s="34"/>
      <c r="BA956" s="34"/>
      <c r="BB956" s="34"/>
      <c r="BC956" s="34"/>
    </row>
    <row r="957" spans="1:55" ht="13" customHeight="1">
      <c r="C957" s="66" t="s">
        <v>881</v>
      </c>
      <c r="D957" s="5"/>
      <c r="E957" s="5"/>
      <c r="J957" s="1806" t="s">
        <v>307</v>
      </c>
      <c r="K957" s="1807"/>
      <c r="L957" s="1807"/>
      <c r="M957" s="1807"/>
      <c r="N957" s="1807"/>
      <c r="O957" s="1807"/>
      <c r="P957" s="1807"/>
      <c r="Q957" s="1807"/>
      <c r="R957" s="1807"/>
      <c r="S957" s="1808"/>
      <c r="U957" s="66" t="s">
        <v>881</v>
      </c>
      <c r="V957" s="5"/>
      <c r="W957" s="5"/>
      <c r="AB957" s="1806" t="s">
        <v>307</v>
      </c>
      <c r="AC957" s="1807"/>
      <c r="AD957" s="1807"/>
      <c r="AE957" s="1807"/>
      <c r="AF957" s="1807"/>
      <c r="AG957" s="1807"/>
      <c r="AH957" s="1807"/>
      <c r="AI957" s="1807"/>
      <c r="AJ957" s="1807"/>
      <c r="AK957" s="1808"/>
      <c r="AZ957" s="34"/>
      <c r="BA957" s="34"/>
      <c r="BB957" s="34"/>
      <c r="BC957" s="34"/>
    </row>
    <row r="958" spans="1:55" ht="13"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3"/>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3" customHeight="1">
      <c r="C960" s="66" t="s">
        <v>15</v>
      </c>
      <c r="D960" s="5"/>
      <c r="E960" s="5"/>
      <c r="F960" s="5"/>
      <c r="G960" s="5"/>
      <c r="H960" s="5"/>
      <c r="I960" s="5"/>
      <c r="J960" s="5"/>
      <c r="K960" s="5"/>
      <c r="L960" s="46"/>
      <c r="M960" s="1632"/>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3" customHeight="1">
      <c r="C961" s="66" t="s">
        <v>16</v>
      </c>
      <c r="D961" s="5"/>
      <c r="E961" s="5"/>
      <c r="F961" s="5"/>
      <c r="G961" s="5"/>
      <c r="H961" s="5"/>
      <c r="I961" s="5"/>
      <c r="J961" s="5"/>
      <c r="K961" s="5"/>
      <c r="L961" s="46"/>
      <c r="M961" s="1632"/>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3" customHeight="1">
      <c r="C962" s="121" t="s">
        <v>1662</v>
      </c>
      <c r="D962" s="5"/>
      <c r="E962" s="5"/>
      <c r="F962" s="5"/>
      <c r="G962" s="5"/>
      <c r="H962" s="5"/>
      <c r="I962" s="5"/>
      <c r="J962" s="5"/>
      <c r="K962" s="5"/>
      <c r="L962" s="46"/>
      <c r="M962" s="1774"/>
      <c r="N962" s="1775"/>
      <c r="O962" s="1775"/>
      <c r="P962" s="1775"/>
      <c r="Q962" s="1775"/>
      <c r="R962" s="1775"/>
      <c r="S962" s="1776"/>
      <c r="U962" s="121" t="s">
        <v>1662</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8"/>
      <c r="N967" s="1659"/>
      <c r="O967" s="1659"/>
      <c r="P967" s="1659"/>
      <c r="Q967" s="1659"/>
      <c r="R967" s="1659"/>
      <c r="S967" s="1660"/>
      <c r="T967" s="66" t="s">
        <v>791</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8"/>
      <c r="N968" s="1659"/>
      <c r="O968" s="1659"/>
      <c r="P968" s="1659"/>
      <c r="Q968" s="1659"/>
      <c r="R968" s="1659"/>
      <c r="S968" s="1660"/>
      <c r="T968" s="66" t="s">
        <v>790</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3"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3"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89" t="s">
        <v>639</v>
      </c>
      <c r="E985" s="1790"/>
      <c r="F985" s="1790"/>
      <c r="G985" s="1790"/>
      <c r="H985" s="1790"/>
      <c r="I985" s="1790"/>
      <c r="J985" s="1790"/>
      <c r="K985" s="1790"/>
      <c r="L985" s="1790"/>
      <c r="M985" s="1790"/>
      <c r="N985" s="1790"/>
      <c r="O985" s="1790"/>
      <c r="P985" s="1790"/>
      <c r="Q985" s="1791"/>
      <c r="R985" s="1789" t="s">
        <v>640</v>
      </c>
      <c r="S985" s="1790"/>
      <c r="T985" s="1790"/>
      <c r="U985" s="1790"/>
      <c r="V985" s="1790"/>
      <c r="W985" s="1790"/>
      <c r="X985" s="1790"/>
      <c r="Y985" s="1790"/>
      <c r="Z985" s="1790"/>
      <c r="AA985" s="1791"/>
      <c r="AB985" s="1789" t="s">
        <v>641</v>
      </c>
      <c r="AC985" s="1790"/>
      <c r="AD985" s="1790"/>
      <c r="AE985" s="1790"/>
      <c r="AF985" s="1790"/>
      <c r="AG985" s="1790"/>
      <c r="AH985" s="1790"/>
      <c r="AI985" s="1791"/>
      <c r="AJ985" s="1789" t="s">
        <v>642</v>
      </c>
      <c r="AK985" s="1790"/>
      <c r="AL985" s="1790"/>
      <c r="AM985" s="1790"/>
      <c r="AN985" s="1790"/>
      <c r="AO985" s="1790"/>
      <c r="AP985" s="1790"/>
      <c r="AQ985" s="1791"/>
      <c r="AR985" s="68"/>
      <c r="AS985" s="68"/>
      <c r="AT985" s="68"/>
      <c r="AU985" s="68"/>
      <c r="AV985" s="68"/>
      <c r="AW985" s="68"/>
      <c r="AX985" s="68"/>
      <c r="AY985" s="68"/>
      <c r="AZ985" s="30"/>
      <c r="BB985" s="14"/>
      <c r="BC985" s="14"/>
    </row>
    <row r="986" spans="1:64" ht="13" customHeight="1">
      <c r="A986" s="14"/>
      <c r="B986" s="73"/>
      <c r="C986" s="929"/>
      <c r="D986" s="1795" t="s">
        <v>634</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532060</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613460</v>
      </c>
      <c r="S987" s="1782"/>
      <c r="T987" s="1782"/>
      <c r="U987" s="1782"/>
      <c r="V987" s="1782"/>
      <c r="W987" s="1782"/>
      <c r="X987" s="1782"/>
      <c r="Y987" s="1782"/>
      <c r="Z987" s="1782"/>
      <c r="AA987" s="1782"/>
      <c r="AB987" s="1779">
        <f>CU802</f>
        <v>62</v>
      </c>
      <c r="AC987" s="1780"/>
      <c r="AD987" s="1780"/>
      <c r="AE987" s="1780"/>
      <c r="AF987" s="1780"/>
      <c r="AG987" s="1780"/>
      <c r="AH987" s="1780"/>
      <c r="AI987" s="1781"/>
      <c r="AJ987" s="1715">
        <f>IF(ISERROR((R987*AB987)),0,(R987*AB987))</f>
        <v>38034520</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740000</v>
      </c>
      <c r="S988" s="1782"/>
      <c r="T988" s="1782"/>
      <c r="U988" s="1782"/>
      <c r="V988" s="1782"/>
      <c r="W988" s="1782"/>
      <c r="X988" s="1782"/>
      <c r="Y988" s="1782"/>
      <c r="Z988" s="1782"/>
      <c r="AA988" s="1782"/>
      <c r="AB988" s="1779">
        <f>CZ802</f>
        <v>37</v>
      </c>
      <c r="AC988" s="1780"/>
      <c r="AD988" s="1780"/>
      <c r="AE988" s="1780"/>
      <c r="AF988" s="1780"/>
      <c r="AG988" s="1780"/>
      <c r="AH988" s="1780"/>
      <c r="AI988" s="1781"/>
      <c r="AJ988" s="1715">
        <f>IF(ISERROR((R988*AB988)),0,(R988*AB988))</f>
        <v>27380000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947200</v>
      </c>
      <c r="S989" s="1782"/>
      <c r="T989" s="1782"/>
      <c r="U989" s="1782"/>
      <c r="V989" s="1782"/>
      <c r="W989" s="1782"/>
      <c r="X989" s="1782"/>
      <c r="Y989" s="1782"/>
      <c r="Z989" s="1782"/>
      <c r="AA989" s="1782"/>
      <c r="AB989" s="1779">
        <f>DE802</f>
        <v>33</v>
      </c>
      <c r="AC989" s="1780"/>
      <c r="AD989" s="1780"/>
      <c r="AE989" s="1780"/>
      <c r="AF989" s="1780"/>
      <c r="AG989" s="1780"/>
      <c r="AH989" s="1780"/>
      <c r="AI989" s="1781"/>
      <c r="AJ989" s="1715">
        <f>IF(ISERROR((R989*AB989)),0,(R989*AB989))</f>
        <v>31257600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1055240</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132</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96672120</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667</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546</v>
      </c>
      <c r="AH994" s="1828"/>
      <c r="AI994" s="87"/>
      <c r="AJ994" s="1724">
        <f>ROUND(IF(AND(AG994="yes",D1000&gt;0),AJ992*0.2,0),0)</f>
        <v>19334424</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 customHeight="1">
      <c r="A995" s="14"/>
      <c r="B995" s="257"/>
      <c r="C995" s="256"/>
      <c r="D995" s="1767" t="s">
        <v>2235</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 customHeight="1">
      <c r="A999" s="14"/>
      <c r="B999" s="257"/>
      <c r="C999" s="256"/>
      <c r="D999" s="1770" t="s">
        <v>2206</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 customHeight="1">
      <c r="A1000" s="14"/>
      <c r="B1000" s="257"/>
      <c r="C1000" s="256"/>
      <c r="D1000" s="1739" t="s">
        <v>2726</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 customHeight="1">
      <c r="A1001" s="14"/>
      <c r="B1001" s="255"/>
      <c r="C1001" s="318"/>
      <c r="D1001" s="1764" t="s">
        <v>1287</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 customHeight="1">
      <c r="A1002" s="14"/>
      <c r="B1002" s="257"/>
      <c r="C1002" s="82"/>
      <c r="D1002" s="1767" t="s">
        <v>1285</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131</v>
      </c>
      <c r="AZ1003" s="34"/>
      <c r="BB1003" s="34"/>
    </row>
    <row r="1004" spans="1:55" ht="13"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0.27</v>
      </c>
      <c r="AZ1005" s="34"/>
      <c r="BB1005" s="34"/>
    </row>
    <row r="1006" spans="1:55" ht="13"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0.11</v>
      </c>
      <c r="AZ1006" s="34"/>
      <c r="BB1006" s="34"/>
    </row>
    <row r="1007" spans="1:55" ht="13" customHeight="1">
      <c r="A1007" s="14"/>
      <c r="B1007" s="255"/>
      <c r="C1007" s="80" t="s">
        <v>673</v>
      </c>
      <c r="D1007" s="1764" t="s">
        <v>1684</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3" customHeight="1">
      <c r="A1008" s="14"/>
      <c r="B1008" s="73"/>
      <c r="C1008" s="74"/>
      <c r="D1008" s="1695" t="s">
        <v>1286</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 customHeight="1">
      <c r="A1011" s="14"/>
      <c r="B1011" s="79"/>
      <c r="C1011" s="80" t="s">
        <v>212</v>
      </c>
      <c r="D1011" s="1764" t="s">
        <v>1288</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1289</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1842</v>
      </c>
      <c r="AZ1012" s="3" t="s">
        <v>2607</v>
      </c>
    </row>
    <row r="1013" spans="1:52" ht="13" customHeight="1">
      <c r="A1013" s="14"/>
      <c r="B1013" s="79"/>
      <c r="C1013" s="80" t="s">
        <v>215</v>
      </c>
      <c r="D1013" s="1764" t="s">
        <v>1290</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695" t="s">
        <v>1291</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3" customHeight="1">
      <c r="A1016" s="14"/>
      <c r="B1016" s="79"/>
      <c r="C1016" s="80" t="s">
        <v>218</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670</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3" customHeight="1">
      <c r="A1017" s="14"/>
      <c r="B1017" s="73"/>
      <c r="C1017" s="74"/>
      <c r="D1017" s="1695" t="s">
        <v>1292</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3"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3"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3" customHeight="1">
      <c r="A1020" s="14"/>
      <c r="B1020" s="79"/>
      <c r="C1020" s="80" t="s">
        <v>223</v>
      </c>
      <c r="D1020" s="1812" t="s">
        <v>1293</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3"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3" customHeight="1">
      <c r="A1022" s="14"/>
      <c r="B1022" s="81"/>
      <c r="C1022" s="84"/>
      <c r="D1022" s="1695" t="s">
        <v>1294</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3"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0.02</v>
      </c>
      <c r="AZ1023" s="1255">
        <v>0.02</v>
      </c>
    </row>
    <row r="1024" spans="1:52" ht="13" customHeight="1">
      <c r="A1024" s="14"/>
      <c r="B1024" s="81"/>
      <c r="C1024" s="84"/>
      <c r="D1024" s="526"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2606</v>
      </c>
      <c r="AY1024" s="201">
        <f>IF(SUM(AY1013:AY1023)&lt;=0.2,SUM(AY1013:AY1023),0.2)</f>
        <v>0.2</v>
      </c>
    </row>
    <row r="1025" spans="1:57" ht="13" customHeight="1">
      <c r="A1025" s="14"/>
      <c r="B1025" s="79"/>
      <c r="C1025" s="80" t="s">
        <v>229</v>
      </c>
      <c r="D1025" s="1764" t="s">
        <v>1295</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546</v>
      </c>
      <c r="AH1025" s="1751"/>
      <c r="AI1025" s="87"/>
      <c r="AJ1025" s="1724">
        <f>ROUND(IF(AG1025="Yes",AF1027,0),0)</f>
        <v>2020260</v>
      </c>
      <c r="AK1025" s="1725"/>
      <c r="AL1025" s="1725"/>
      <c r="AM1025" s="1725"/>
      <c r="AN1025" s="1725"/>
      <c r="AO1025" s="1725"/>
      <c r="AP1025" s="1725"/>
      <c r="AQ1025" s="1726"/>
      <c r="AR1025" s="68"/>
      <c r="AS1025" s="68"/>
      <c r="AT1025" s="68"/>
      <c r="AU1025" s="68"/>
      <c r="AV1025" s="68"/>
      <c r="AW1025" s="68"/>
      <c r="AX1025" s="68"/>
      <c r="AY1025" s="68"/>
    </row>
    <row r="1026" spans="1:57" ht="13" customHeight="1">
      <c r="A1026" s="14"/>
      <c r="B1026" s="73"/>
      <c r="C1026" s="74"/>
      <c r="D1026" s="1695" t="s">
        <v>1691</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v>2020260</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 customHeight="1">
      <c r="A1029" s="14"/>
      <c r="B1029" s="79"/>
      <c r="C1029" s="80" t="s">
        <v>234</v>
      </c>
      <c r="D1029" s="1733" t="s">
        <v>1296</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546</v>
      </c>
      <c r="AH1029" s="1751"/>
      <c r="AI1029" s="87"/>
      <c r="AJ1029" s="1724">
        <f>ROUND(IF(AG1029="yes",(AJ992*0.1),0),0)</f>
        <v>9667212</v>
      </c>
      <c r="AK1029" s="1725"/>
      <c r="AL1029" s="1725"/>
      <c r="AM1029" s="1725"/>
      <c r="AN1029" s="1725"/>
      <c r="AO1029" s="1725"/>
      <c r="AP1029" s="1725"/>
      <c r="AQ1029" s="1726"/>
      <c r="AR1029" s="68"/>
      <c r="AS1029" s="68"/>
      <c r="AT1029" s="68"/>
      <c r="AU1029" s="68"/>
      <c r="AV1029" s="68"/>
      <c r="AW1029" s="68"/>
      <c r="AX1029" s="68"/>
      <c r="AY1029" s="68"/>
    </row>
    <row r="1030" spans="1:57" ht="13" customHeight="1">
      <c r="A1030" s="14"/>
      <c r="B1030" s="73"/>
      <c r="C1030" s="74"/>
      <c r="D1030" s="1695" t="s">
        <v>1297</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 customHeight="1">
      <c r="A1032" s="14"/>
      <c r="B1032" s="73"/>
      <c r="C1032" s="339" t="s">
        <v>688</v>
      </c>
      <c r="D1032" s="1764" t="s">
        <v>1687</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 customHeight="1">
      <c r="A1033" s="14"/>
      <c r="B1033" s="73"/>
      <c r="C1033" s="74"/>
      <c r="D1033" s="1801"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 customHeight="1">
      <c r="A1036" s="14"/>
      <c r="B1036" s="73"/>
      <c r="C1036" s="339" t="s">
        <v>688</v>
      </c>
      <c r="D1036" s="1733" t="s">
        <v>1689</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546</v>
      </c>
      <c r="AH1036" s="1753"/>
      <c r="AI1036" s="83"/>
      <c r="AJ1036" s="1724">
        <f>ROUND(IF(AND(AG1036="yes",AJ1032=0),(AJ992*0.1),0),0)</f>
        <v>9667212</v>
      </c>
      <c r="AK1036" s="1725"/>
      <c r="AL1036" s="1725"/>
      <c r="AM1036" s="1725"/>
      <c r="AN1036" s="1725"/>
      <c r="AO1036" s="1725"/>
      <c r="AP1036" s="1725"/>
      <c r="AQ1036" s="1726"/>
      <c r="AR1036" s="68"/>
      <c r="AS1036" s="68"/>
      <c r="AT1036" s="68"/>
      <c r="AU1036" s="68"/>
      <c r="AV1036" s="68"/>
      <c r="AW1036" s="68"/>
      <c r="AX1036" s="68"/>
      <c r="AY1036" s="68"/>
    </row>
    <row r="1037" spans="1:57" ht="13" customHeight="1">
      <c r="A1037" s="14"/>
      <c r="B1037" s="73"/>
      <c r="C1037" s="74"/>
      <c r="D1037" s="1801"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0.38931297709923662</v>
      </c>
      <c r="BB1039" s="3" t="s">
        <v>2493</v>
      </c>
    </row>
    <row r="1040" spans="1:57" ht="13"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764" t="s">
        <v>1298</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546</v>
      </c>
      <c r="AH1041" s="1751"/>
      <c r="AI1041" s="87"/>
      <c r="AJ1041" s="1724">
        <f>ROUND(IF(AG1041="yes",(AJ992*0.1),0),0)</f>
        <v>9667212</v>
      </c>
      <c r="AK1041" s="1725"/>
      <c r="AL1041" s="1725"/>
      <c r="AM1041" s="1725"/>
      <c r="AN1041" s="1725"/>
      <c r="AO1041" s="1725"/>
      <c r="AP1041" s="1725"/>
      <c r="AQ1041" s="1726"/>
      <c r="AR1041" s="68"/>
      <c r="AS1041" s="68"/>
      <c r="AT1041" s="68"/>
      <c r="AU1041" s="68"/>
      <c r="AV1041" s="68"/>
      <c r="AW1041" s="68"/>
      <c r="AX1041" s="68"/>
      <c r="AY1041" s="68"/>
      <c r="BA1041">
        <f>Q212</f>
        <v>0</v>
      </c>
      <c r="BB1041" s="3" t="s">
        <v>2491</v>
      </c>
    </row>
    <row r="1042" spans="1:56" ht="13" customHeight="1">
      <c r="A1042" s="14"/>
      <c r="B1042" s="73"/>
      <c r="C1042" s="74"/>
      <c r="D1042" s="1695" t="s">
        <v>2145</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2492</v>
      </c>
    </row>
    <row r="1043" spans="1:56" ht="13"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 customHeight="1">
      <c r="A1045" s="14"/>
      <c r="B1045" s="79"/>
      <c r="C1045" s="131" t="s">
        <v>1685</v>
      </c>
      <c r="D1045" s="1733" t="s">
        <v>1865</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26101472.400000002</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5" t="s">
        <v>1300</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13401471.15</v>
      </c>
      <c r="BA1046" s="1182">
        <f>IF(BA1040,20%,15%)</f>
        <v>0.15</v>
      </c>
      <c r="BB1046" s="3" t="s">
        <v>2479</v>
      </c>
      <c r="BC1046" s="3" t="s">
        <v>2480</v>
      </c>
      <c r="BD1046" s="3"/>
    </row>
    <row r="1047" spans="1:56" ht="13"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787">
        <f>AY1003</f>
        <v>131</v>
      </c>
      <c r="J1048" s="1788"/>
      <c r="K1048" s="7"/>
      <c r="L1048" s="133"/>
      <c r="M1048" s="133"/>
      <c r="N1048" s="133"/>
      <c r="O1048" s="133"/>
      <c r="P1048" s="133"/>
      <c r="Q1048" s="133"/>
      <c r="R1048" s="133"/>
      <c r="S1048" s="133"/>
      <c r="T1048" s="133"/>
      <c r="U1048" s="133"/>
      <c r="V1048" s="134" t="s">
        <v>974</v>
      </c>
      <c r="W1048" s="48"/>
      <c r="X1048" s="1785">
        <f>CI753</f>
        <v>36</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1686</v>
      </c>
      <c r="D1049" s="1764" t="s">
        <v>2171</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21267866.399999999</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5" t="s">
        <v>1299</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7">
        <f>AY1003</f>
        <v>131</v>
      </c>
      <c r="J1052" s="1788"/>
      <c r="K1052" s="14"/>
      <c r="L1052" s="133"/>
      <c r="M1052" s="133"/>
      <c r="N1052" s="133"/>
      <c r="O1052" s="133"/>
      <c r="P1052" s="133"/>
      <c r="Q1052" s="133"/>
      <c r="R1052" s="133"/>
      <c r="S1052" s="133"/>
      <c r="T1052" s="133"/>
      <c r="U1052" s="133"/>
      <c r="V1052" s="134" t="s">
        <v>975</v>
      </c>
      <c r="X1052" s="1785">
        <f>CM753</f>
        <v>15</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194397778.80000001</v>
      </c>
      <c r="AK1053" s="1799"/>
      <c r="AL1053" s="1799"/>
      <c r="AM1053" s="1799"/>
      <c r="AN1053" s="1799"/>
      <c r="AO1053" s="1799"/>
      <c r="AP1053" s="1799"/>
      <c r="AQ1053" s="1800"/>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102582910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13401471.15</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0.62466241905307573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13239769</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10739769</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6" t="s">
        <v>795</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546</v>
      </c>
      <c r="B1065" s="1415"/>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592</v>
      </c>
      <c r="B1100" s="1415"/>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546</v>
      </c>
      <c r="B1103" s="1415"/>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84" zoomScale="103" workbookViewId="0">
      <selection activeCell="G99" sqref="G99"/>
    </sheetView>
  </sheetViews>
  <sheetFormatPr defaultColWidth="0" defaultRowHeight="11.6" zeroHeight="1"/>
  <cols>
    <col min="1" max="1" width="35.69140625" style="187"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2)Deferred Developer Fee</v>
      </c>
      <c r="H2" s="139" t="str">
        <f>Application!B629&amp;Application!C629</f>
        <v>3)Contribution Developer Fee</v>
      </c>
      <c r="I2" s="139" t="str">
        <f>Application!B630&amp;Application!C630</f>
        <v xml:space="preserve">4)Solar Credit </v>
      </c>
      <c r="J2" s="139" t="str">
        <f>Application!B631&amp;Application!C631</f>
        <v>5)Cash from Operations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1000000</v>
      </c>
      <c r="C10" s="147">
        <v>1000000</v>
      </c>
      <c r="D10" s="147"/>
      <c r="E10" s="147">
        <f>B10</f>
        <v>1000000</v>
      </c>
      <c r="F10" s="147"/>
      <c r="G10" s="147"/>
      <c r="H10" s="147"/>
      <c r="I10" s="147"/>
      <c r="J10" s="147"/>
      <c r="K10" s="147"/>
      <c r="L10" s="147"/>
      <c r="M10" s="147"/>
      <c r="N10" s="147"/>
      <c r="O10" s="147"/>
      <c r="P10" s="147"/>
      <c r="Q10" s="147"/>
      <c r="R10" s="516">
        <f>SUM(E10:Q10)</f>
        <v>1000000</v>
      </c>
      <c r="S10" s="147">
        <f>C10</f>
        <v>1000000</v>
      </c>
      <c r="T10" s="147"/>
      <c r="U10" s="143"/>
    </row>
    <row r="11" spans="1:21" s="144" customFormat="1">
      <c r="A11" s="149" t="s">
        <v>597</v>
      </c>
      <c r="B11" s="146">
        <f>SUM(C11:D11)</f>
        <v>1000000</v>
      </c>
      <c r="C11" s="146">
        <f t="shared" ref="C11:Q11" si="1">SUM(C9:C10)</f>
        <v>1000000</v>
      </c>
      <c r="D11" s="146">
        <f t="shared" si="1"/>
        <v>0</v>
      </c>
      <c r="E11" s="146">
        <f t="shared" si="1"/>
        <v>1000000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1000000</v>
      </c>
      <c r="S11" s="148"/>
      <c r="T11" s="150">
        <f>SUM(T9:T10)</f>
        <v>0</v>
      </c>
      <c r="U11" s="143"/>
    </row>
    <row r="12" spans="1:21" s="144" customFormat="1">
      <c r="A12" s="149" t="s">
        <v>84</v>
      </c>
      <c r="B12" s="146">
        <f t="shared" ref="B12:Q12" si="2">SUM(B8+B11)</f>
        <v>1000000</v>
      </c>
      <c r="C12" s="146">
        <f t="shared" si="2"/>
        <v>1000000</v>
      </c>
      <c r="D12" s="146">
        <f t="shared" si="2"/>
        <v>0</v>
      </c>
      <c r="E12" s="146">
        <f t="shared" si="2"/>
        <v>1000000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1000000</v>
      </c>
      <c r="S12" s="148"/>
      <c r="T12" s="148"/>
      <c r="U12" s="143"/>
    </row>
    <row r="13" spans="1:21" s="144" customFormat="1">
      <c r="A13" s="287" t="s">
        <v>903</v>
      </c>
      <c r="B13" s="146">
        <f>SUM(C13+D13)</f>
        <v>0</v>
      </c>
      <c r="C13" s="147"/>
      <c r="D13" s="147"/>
      <c r="E13" s="147"/>
      <c r="F13" s="147">
        <f>C13</f>
        <v>0</v>
      </c>
      <c r="G13" s="147"/>
      <c r="H13" s="147"/>
      <c r="I13" s="147"/>
      <c r="J13" s="147"/>
      <c r="K13" s="147"/>
      <c r="L13" s="147"/>
      <c r="M13" s="147"/>
      <c r="N13" s="147"/>
      <c r="O13" s="147"/>
      <c r="P13" s="147"/>
      <c r="Q13" s="147"/>
      <c r="R13" s="516">
        <f>SUM(E13:Q13)</f>
        <v>0</v>
      </c>
      <c r="S13" s="147"/>
      <c r="T13" s="147"/>
      <c r="U13" s="143"/>
    </row>
    <row r="14" spans="1:21" s="144" customFormat="1" ht="23.15">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4000000</v>
      </c>
      <c r="C29" s="147">
        <v>4000000</v>
      </c>
      <c r="D29" s="147"/>
      <c r="E29" s="147">
        <v>4000000</v>
      </c>
      <c r="F29" s="147"/>
      <c r="G29" s="147"/>
      <c r="H29" s="147"/>
      <c r="I29" s="147"/>
      <c r="J29" s="147"/>
      <c r="K29" s="147"/>
      <c r="L29" s="147"/>
      <c r="M29" s="147"/>
      <c r="N29" s="147"/>
      <c r="O29" s="147"/>
      <c r="P29" s="147"/>
      <c r="Q29" s="147"/>
      <c r="R29" s="516">
        <f t="shared" ref="R29:R37" si="7">SUM(E29:Q29)</f>
        <v>4000000</v>
      </c>
      <c r="S29" s="147">
        <f>C29</f>
        <v>4000000</v>
      </c>
      <c r="T29" s="147"/>
      <c r="U29" s="143"/>
    </row>
    <row r="30" spans="1:21" s="144" customFormat="1">
      <c r="A30" s="145" t="s">
        <v>600</v>
      </c>
      <c r="B30" s="146">
        <f t="shared" si="6"/>
        <v>54462790</v>
      </c>
      <c r="C30" s="147">
        <f>49236348+2899273+500000+1827169</f>
        <v>54462790</v>
      </c>
      <c r="D30" s="147"/>
      <c r="E30" s="147">
        <v>54312290</v>
      </c>
      <c r="F30" s="147"/>
      <c r="G30" s="147"/>
      <c r="H30" s="147"/>
      <c r="I30" s="147">
        <v>150500</v>
      </c>
      <c r="J30" s="147"/>
      <c r="K30" s="147"/>
      <c r="L30" s="147"/>
      <c r="M30" s="147"/>
      <c r="N30" s="147"/>
      <c r="O30" s="147"/>
      <c r="P30" s="147"/>
      <c r="Q30" s="147"/>
      <c r="R30" s="516">
        <f t="shared" si="7"/>
        <v>54462790</v>
      </c>
      <c r="S30" s="147">
        <f t="shared" ref="S30:S37" si="8">C30</f>
        <v>54462790</v>
      </c>
      <c r="T30" s="147"/>
      <c r="U30" s="143"/>
    </row>
    <row r="31" spans="1:21" s="144" customFormat="1">
      <c r="A31" s="145" t="s">
        <v>601</v>
      </c>
      <c r="B31" s="146">
        <f t="shared" si="6"/>
        <v>3770000</v>
      </c>
      <c r="C31" s="147">
        <v>3770000</v>
      </c>
      <c r="D31" s="147"/>
      <c r="E31" s="147">
        <v>3770000</v>
      </c>
      <c r="F31" s="147"/>
      <c r="G31" s="147"/>
      <c r="H31" s="147"/>
      <c r="I31" s="147"/>
      <c r="J31" s="147"/>
      <c r="K31" s="147"/>
      <c r="L31" s="147"/>
      <c r="M31" s="147"/>
      <c r="N31" s="147"/>
      <c r="O31" s="147"/>
      <c r="P31" s="147"/>
      <c r="Q31" s="147"/>
      <c r="R31" s="516">
        <f t="shared" si="7"/>
        <v>3770000</v>
      </c>
      <c r="S31" s="147">
        <f t="shared" si="8"/>
        <v>3770000</v>
      </c>
      <c r="T31" s="147"/>
      <c r="U31" s="143"/>
    </row>
    <row r="32" spans="1:21" s="144" customFormat="1">
      <c r="A32" s="145" t="s">
        <v>137</v>
      </c>
      <c r="B32" s="146">
        <f t="shared" si="6"/>
        <v>1587140</v>
      </c>
      <c r="C32" s="147">
        <v>1587140</v>
      </c>
      <c r="D32" s="147"/>
      <c r="E32" s="147">
        <v>1587140</v>
      </c>
      <c r="F32" s="147"/>
      <c r="G32" s="147"/>
      <c r="H32" s="147"/>
      <c r="I32" s="147"/>
      <c r="J32" s="147"/>
      <c r="K32" s="147"/>
      <c r="L32" s="147"/>
      <c r="M32" s="147"/>
      <c r="N32" s="147"/>
      <c r="O32" s="147"/>
      <c r="P32" s="147"/>
      <c r="Q32" s="147"/>
      <c r="R32" s="516">
        <f t="shared" si="7"/>
        <v>1587140</v>
      </c>
      <c r="S32" s="147">
        <f t="shared" si="8"/>
        <v>1587140</v>
      </c>
      <c r="T32" s="147"/>
      <c r="U32" s="143"/>
    </row>
    <row r="33" spans="1:21" s="144" customFormat="1">
      <c r="A33" s="145" t="s">
        <v>138</v>
      </c>
      <c r="B33" s="146">
        <f t="shared" si="6"/>
        <v>1587139</v>
      </c>
      <c r="C33" s="147">
        <v>1587139</v>
      </c>
      <c r="D33" s="147"/>
      <c r="E33" s="147">
        <v>1587139</v>
      </c>
      <c r="F33" s="147"/>
      <c r="G33" s="147"/>
      <c r="H33" s="147"/>
      <c r="I33" s="147"/>
      <c r="J33" s="147"/>
      <c r="K33" s="147"/>
      <c r="L33" s="147"/>
      <c r="M33" s="147"/>
      <c r="N33" s="147"/>
      <c r="O33" s="147"/>
      <c r="P33" s="147"/>
      <c r="Q33" s="147"/>
      <c r="R33" s="516">
        <f t="shared" si="7"/>
        <v>1587139</v>
      </c>
      <c r="S33" s="147">
        <f t="shared" si="8"/>
        <v>1587139</v>
      </c>
      <c r="T33" s="147"/>
      <c r="U33" s="143"/>
    </row>
    <row r="34" spans="1:21" s="144" customFormat="1">
      <c r="A34" s="145" t="s">
        <v>139</v>
      </c>
      <c r="B34" s="146">
        <f t="shared" si="6"/>
        <v>0</v>
      </c>
      <c r="C34" s="147"/>
      <c r="D34" s="147"/>
      <c r="E34" s="147">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2012153</v>
      </c>
      <c r="C35" s="147">
        <v>2012153</v>
      </c>
      <c r="D35" s="147"/>
      <c r="E35" s="147">
        <v>2012153</v>
      </c>
      <c r="F35" s="147"/>
      <c r="G35" s="147"/>
      <c r="H35" s="147"/>
      <c r="I35" s="147"/>
      <c r="J35" s="147"/>
      <c r="K35" s="147"/>
      <c r="L35" s="147"/>
      <c r="M35" s="147"/>
      <c r="N35" s="147"/>
      <c r="O35" s="147"/>
      <c r="P35" s="147"/>
      <c r="Q35" s="147"/>
      <c r="R35" s="516">
        <f t="shared" si="7"/>
        <v>2012153</v>
      </c>
      <c r="S35" s="147">
        <f t="shared" si="8"/>
        <v>2012153</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67419222</v>
      </c>
      <c r="C38" s="146">
        <f>SUM(C29:C37)</f>
        <v>67419222</v>
      </c>
      <c r="D38" s="146">
        <f t="shared" ref="D38:Q38" si="9">SUM(D29:D37)</f>
        <v>0</v>
      </c>
      <c r="E38" s="146">
        <f t="shared" si="9"/>
        <v>67268722</v>
      </c>
      <c r="F38" s="146">
        <f t="shared" si="9"/>
        <v>0</v>
      </c>
      <c r="G38" s="146">
        <f t="shared" si="9"/>
        <v>0</v>
      </c>
      <c r="H38" s="146">
        <f t="shared" si="9"/>
        <v>0</v>
      </c>
      <c r="I38" s="146">
        <f t="shared" si="9"/>
        <v>150500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67419222</v>
      </c>
      <c r="S38" s="150">
        <f>SUM(S29:S37)</f>
        <v>67419222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v>1112778</v>
      </c>
      <c r="F40" s="147">
        <v>387222</v>
      </c>
      <c r="G40" s="147"/>
      <c r="H40" s="147"/>
      <c r="I40" s="147"/>
      <c r="J40" s="147"/>
      <c r="K40" s="147"/>
      <c r="L40" s="147"/>
      <c r="M40" s="147"/>
      <c r="N40" s="147"/>
      <c r="O40" s="147"/>
      <c r="P40" s="147"/>
      <c r="Q40" s="147"/>
      <c r="R40" s="516">
        <f>SUM(E40:Q40)</f>
        <v>1500000</v>
      </c>
      <c r="S40" s="147">
        <f t="shared" ref="S40" si="10">C40</f>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1500000</v>
      </c>
      <c r="C42" s="146">
        <f>SUM(C39:C41)</f>
        <v>1500000</v>
      </c>
      <c r="D42" s="146">
        <f>SUM(D39:D41)</f>
        <v>0</v>
      </c>
      <c r="E42" s="146">
        <f t="shared" ref="E42:T42" si="11">SUM(E40:E41)</f>
        <v>1112778</v>
      </c>
      <c r="F42" s="146">
        <f t="shared" si="11"/>
        <v>387222</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1500000</v>
      </c>
      <c r="S42" s="150">
        <f t="shared" si="11"/>
        <v>1500000</v>
      </c>
      <c r="T42" s="150">
        <f t="shared" si="11"/>
        <v>0</v>
      </c>
      <c r="U42" s="143"/>
    </row>
    <row r="43" spans="1:21" s="144" customFormat="1">
      <c r="A43" s="149" t="s">
        <v>148</v>
      </c>
      <c r="B43" s="146">
        <f>SUM(C43:D43)</f>
        <v>4569964</v>
      </c>
      <c r="C43" s="147">
        <f>6069964-C40</f>
        <v>4569964</v>
      </c>
      <c r="D43" s="147"/>
      <c r="E43" s="147"/>
      <c r="F43" s="147">
        <v>4569964</v>
      </c>
      <c r="G43" s="147"/>
      <c r="H43" s="147"/>
      <c r="I43" s="147"/>
      <c r="J43" s="147"/>
      <c r="K43" s="147"/>
      <c r="L43" s="147"/>
      <c r="M43" s="147"/>
      <c r="N43" s="147"/>
      <c r="O43" s="147"/>
      <c r="P43" s="147"/>
      <c r="Q43" s="147"/>
      <c r="R43" s="516">
        <f>SUM(E43:Q43)</f>
        <v>4569964</v>
      </c>
      <c r="S43" s="147">
        <f t="shared" ref="S43" si="12">C43</f>
        <v>4569964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11608032</v>
      </c>
      <c r="C45" s="147">
        <v>11608032</v>
      </c>
      <c r="D45" s="147"/>
      <c r="E45" s="147"/>
      <c r="F45" s="147">
        <f>C45</f>
        <v>11608032</v>
      </c>
      <c r="G45" s="147"/>
      <c r="H45" s="147"/>
      <c r="I45" s="147"/>
      <c r="J45" s="147"/>
      <c r="K45" s="147"/>
      <c r="L45" s="147"/>
      <c r="M45" s="147"/>
      <c r="N45" s="147"/>
      <c r="O45" s="147"/>
      <c r="P45" s="147"/>
      <c r="Q45" s="147"/>
      <c r="R45" s="516">
        <f t="shared" ref="R45:R53" si="14">SUM(E45:Q45)</f>
        <v>11608032</v>
      </c>
      <c r="S45" s="147">
        <v>4614632</v>
      </c>
      <c r="T45" s="147"/>
      <c r="U45" s="143"/>
    </row>
    <row r="46" spans="1:21" s="144" customFormat="1">
      <c r="A46" s="145" t="s">
        <v>151</v>
      </c>
      <c r="B46" s="146">
        <f t="shared" si="13"/>
        <v>589523</v>
      </c>
      <c r="C46" s="147">
        <v>589523</v>
      </c>
      <c r="D46" s="147"/>
      <c r="E46" s="147"/>
      <c r="F46" s="147">
        <f t="shared" ref="F46:F52" si="15">C46</f>
        <v>589523</v>
      </c>
      <c r="G46" s="147"/>
      <c r="H46" s="147"/>
      <c r="I46" s="147"/>
      <c r="J46" s="147"/>
      <c r="K46" s="147"/>
      <c r="L46" s="147"/>
      <c r="M46" s="147"/>
      <c r="N46" s="147"/>
      <c r="O46" s="147"/>
      <c r="P46" s="147"/>
      <c r="Q46" s="147"/>
      <c r="R46" s="516">
        <f t="shared" si="14"/>
        <v>589523</v>
      </c>
      <c r="S46" s="147">
        <f t="shared" ref="S46" si="16">C46</f>
        <v>589523</v>
      </c>
      <c r="T46" s="147"/>
      <c r="U46" s="143"/>
    </row>
    <row r="47" spans="1:21" s="144" customFormat="1">
      <c r="A47" s="186" t="s">
        <v>152</v>
      </c>
      <c r="B47" s="146">
        <f t="shared" si="13"/>
        <v>0</v>
      </c>
      <c r="C47" s="147"/>
      <c r="D47" s="147"/>
      <c r="E47" s="147"/>
      <c r="F47" s="147">
        <f t="shared" si="15"/>
        <v>0</v>
      </c>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0</v>
      </c>
      <c r="C48" s="147"/>
      <c r="D48" s="147"/>
      <c r="E48" s="147"/>
      <c r="F48" s="147">
        <f t="shared" si="15"/>
        <v>0</v>
      </c>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176303</v>
      </c>
      <c r="C49" s="147">
        <f>136303+40000</f>
        <v>176303</v>
      </c>
      <c r="D49" s="147"/>
      <c r="E49" s="147"/>
      <c r="F49" s="147">
        <f t="shared" si="15"/>
        <v>176303</v>
      </c>
      <c r="G49" s="147"/>
      <c r="H49" s="147"/>
      <c r="I49" s="147"/>
      <c r="J49" s="147"/>
      <c r="K49" s="147"/>
      <c r="L49" s="147"/>
      <c r="M49" s="147"/>
      <c r="N49" s="147"/>
      <c r="O49" s="147"/>
      <c r="P49" s="147"/>
      <c r="Q49" s="147"/>
      <c r="R49" s="516">
        <f t="shared" si="14"/>
        <v>176303</v>
      </c>
      <c r="S49" s="147">
        <f t="shared" ref="S49" si="17">C49</f>
        <v>176303</v>
      </c>
      <c r="T49" s="147"/>
      <c r="U49" s="143"/>
    </row>
    <row r="50" spans="1:21" s="144" customFormat="1">
      <c r="A50" s="145" t="s">
        <v>156</v>
      </c>
      <c r="B50" s="146">
        <f t="shared" si="13"/>
        <v>30000</v>
      </c>
      <c r="C50" s="147">
        <v>30000</v>
      </c>
      <c r="D50" s="147"/>
      <c r="E50" s="147"/>
      <c r="F50" s="147">
        <f t="shared" si="15"/>
        <v>30000</v>
      </c>
      <c r="G50" s="147"/>
      <c r="H50" s="147"/>
      <c r="I50" s="147"/>
      <c r="J50" s="147"/>
      <c r="K50" s="147"/>
      <c r="L50" s="147"/>
      <c r="M50" s="147"/>
      <c r="N50" s="147"/>
      <c r="O50" s="147"/>
      <c r="P50" s="147"/>
      <c r="Q50" s="147"/>
      <c r="R50" s="516">
        <f t="shared" si="14"/>
        <v>30000</v>
      </c>
      <c r="S50" s="147">
        <v>30000</v>
      </c>
      <c r="T50" s="147"/>
      <c r="U50" s="143"/>
    </row>
    <row r="51" spans="1:21" s="144" customFormat="1">
      <c r="A51" s="283" t="s">
        <v>154</v>
      </c>
      <c r="B51" s="146">
        <f t="shared" si="13"/>
        <v>20000</v>
      </c>
      <c r="C51" s="147">
        <v>20000</v>
      </c>
      <c r="D51" s="147"/>
      <c r="E51" s="147"/>
      <c r="F51" s="147">
        <f t="shared" si="15"/>
        <v>20000</v>
      </c>
      <c r="G51" s="147"/>
      <c r="H51" s="147"/>
      <c r="I51" s="147"/>
      <c r="J51" s="147"/>
      <c r="K51" s="147"/>
      <c r="L51" s="147"/>
      <c r="M51" s="147"/>
      <c r="N51" s="147"/>
      <c r="O51" s="147"/>
      <c r="P51" s="147"/>
      <c r="Q51" s="147"/>
      <c r="R51" s="516">
        <f t="shared" si="14"/>
        <v>20000</v>
      </c>
      <c r="S51" s="147">
        <v>20000</v>
      </c>
      <c r="T51" s="147"/>
      <c r="U51" s="143"/>
    </row>
    <row r="52" spans="1:21" s="144" customFormat="1">
      <c r="A52" s="145" t="s">
        <v>155</v>
      </c>
      <c r="B52" s="146">
        <f t="shared" si="13"/>
        <v>2640000</v>
      </c>
      <c r="C52" s="147">
        <v>2640000</v>
      </c>
      <c r="D52" s="147"/>
      <c r="E52" s="147"/>
      <c r="F52" s="147">
        <f t="shared" si="15"/>
        <v>2640000</v>
      </c>
      <c r="G52" s="147"/>
      <c r="H52" s="147"/>
      <c r="I52" s="147"/>
      <c r="J52" s="147"/>
      <c r="K52" s="147"/>
      <c r="L52" s="147"/>
      <c r="M52" s="147"/>
      <c r="N52" s="147"/>
      <c r="O52" s="147"/>
      <c r="P52" s="147"/>
      <c r="Q52" s="147"/>
      <c r="R52" s="516">
        <f t="shared" si="14"/>
        <v>2640000</v>
      </c>
      <c r="S52" s="147">
        <v>2640000</v>
      </c>
      <c r="T52" s="147"/>
      <c r="U52" s="143"/>
    </row>
    <row r="53" spans="1:21" s="144" customFormat="1">
      <c r="A53" s="1149" t="s">
        <v>2727</v>
      </c>
      <c r="B53" s="146">
        <f t="shared" si="13"/>
        <v>45000</v>
      </c>
      <c r="C53" s="147">
        <v>45000</v>
      </c>
      <c r="D53" s="147"/>
      <c r="E53" s="147"/>
      <c r="F53" s="147">
        <v>45000</v>
      </c>
      <c r="G53" s="147"/>
      <c r="H53" s="147"/>
      <c r="I53" s="147"/>
      <c r="J53" s="147"/>
      <c r="K53" s="147"/>
      <c r="L53" s="147"/>
      <c r="M53" s="147"/>
      <c r="N53" s="147"/>
      <c r="O53" s="147"/>
      <c r="P53" s="147"/>
      <c r="Q53" s="147"/>
      <c r="R53" s="516">
        <f t="shared" si="14"/>
        <v>45000</v>
      </c>
      <c r="S53" s="147">
        <v>45000</v>
      </c>
      <c r="T53" s="147"/>
      <c r="U53" s="143"/>
    </row>
    <row r="54" spans="1:21" s="153" customFormat="1">
      <c r="A54" s="149" t="s">
        <v>157</v>
      </c>
      <c r="B54" s="150">
        <f>SUM(C54:D54)</f>
        <v>15108858</v>
      </c>
      <c r="C54" s="150">
        <f t="shared" ref="C54:T54" si="18">SUM(C45:C53)</f>
        <v>15108858</v>
      </c>
      <c r="D54" s="150">
        <f t="shared" si="18"/>
        <v>0</v>
      </c>
      <c r="E54" s="150">
        <f t="shared" si="18"/>
        <v>0</v>
      </c>
      <c r="F54" s="150">
        <f t="shared" si="18"/>
        <v>15108858</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15108858</v>
      </c>
      <c r="S54" s="150">
        <f t="shared" si="18"/>
        <v>8115458</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310643</v>
      </c>
      <c r="C56" s="147">
        <v>310643</v>
      </c>
      <c r="D56" s="147"/>
      <c r="E56" s="147"/>
      <c r="F56" s="147">
        <v>310643</v>
      </c>
      <c r="G56" s="147"/>
      <c r="H56" s="147"/>
      <c r="I56" s="147"/>
      <c r="J56" s="147"/>
      <c r="K56" s="147"/>
      <c r="L56" s="147"/>
      <c r="M56" s="147"/>
      <c r="N56" s="147"/>
      <c r="O56" s="147"/>
      <c r="P56" s="147"/>
      <c r="Q56" s="147"/>
      <c r="R56" s="516">
        <f t="shared" ref="R56:R61" si="20">SUM(E56:Q56)</f>
        <v>310643</v>
      </c>
      <c r="S56" s="148"/>
      <c r="T56" s="148"/>
      <c r="U56" s="143"/>
    </row>
    <row r="57" spans="1:21" s="192" customFormat="1">
      <c r="A57" s="186" t="s">
        <v>152</v>
      </c>
      <c r="B57" s="193">
        <f t="shared" si="19"/>
        <v>0</v>
      </c>
      <c r="C57" s="190"/>
      <c r="D57" s="190"/>
      <c r="E57" s="190"/>
      <c r="F57" s="190">
        <v>0</v>
      </c>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9"/>
        <v>15000</v>
      </c>
      <c r="C58" s="147">
        <v>15000</v>
      </c>
      <c r="D58" s="147"/>
      <c r="E58" s="147"/>
      <c r="F58" s="147">
        <v>15000</v>
      </c>
      <c r="G58" s="147"/>
      <c r="H58" s="147"/>
      <c r="I58" s="147"/>
      <c r="J58" s="147"/>
      <c r="K58" s="147"/>
      <c r="L58" s="147"/>
      <c r="M58" s="147"/>
      <c r="N58" s="147"/>
      <c r="O58" s="147"/>
      <c r="P58" s="147"/>
      <c r="Q58" s="147"/>
      <c r="R58" s="516">
        <f t="shared" si="20"/>
        <v>15000</v>
      </c>
      <c r="S58" s="148"/>
      <c r="T58" s="148"/>
      <c r="U58" s="143"/>
    </row>
    <row r="59" spans="1:21" s="144" customFormat="1">
      <c r="A59" s="283" t="s">
        <v>154</v>
      </c>
      <c r="B59" s="146">
        <f t="shared" si="19"/>
        <v>0</v>
      </c>
      <c r="C59" s="147"/>
      <c r="D59" s="147"/>
      <c r="E59" s="147"/>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16">
        <f t="shared" si="20"/>
        <v>0</v>
      </c>
      <c r="S60" s="148"/>
      <c r="T60" s="148"/>
      <c r="U60" s="143"/>
    </row>
    <row r="61" spans="1:21" s="144" customFormat="1">
      <c r="A61" s="1149" t="s">
        <v>34</v>
      </c>
      <c r="B61" s="146">
        <f t="shared" si="19"/>
        <v>0</v>
      </c>
      <c r="C61" s="147"/>
      <c r="D61" s="147"/>
      <c r="E61" s="147"/>
      <c r="F61" s="147"/>
      <c r="G61" s="147"/>
      <c r="H61" s="147"/>
      <c r="I61" s="147"/>
      <c r="J61" s="147"/>
      <c r="K61" s="147"/>
      <c r="L61" s="147"/>
      <c r="M61" s="147"/>
      <c r="N61" s="147"/>
      <c r="O61" s="147"/>
      <c r="P61" s="147"/>
      <c r="Q61" s="147"/>
      <c r="R61" s="516">
        <f t="shared" si="20"/>
        <v>0</v>
      </c>
      <c r="S61" s="148"/>
      <c r="T61" s="148"/>
      <c r="U61" s="143"/>
    </row>
    <row r="62" spans="1:21" s="144" customFormat="1" ht="13.75" customHeight="1">
      <c r="A62" s="149" t="s">
        <v>301</v>
      </c>
      <c r="B62" s="146">
        <f>SUM(C62:D62)</f>
        <v>325643</v>
      </c>
      <c r="C62" s="146">
        <f t="shared" ref="C62:R62" si="21">SUM(C56:C61)</f>
        <v>325643</v>
      </c>
      <c r="D62" s="146">
        <f t="shared" si="21"/>
        <v>0</v>
      </c>
      <c r="E62" s="146">
        <f t="shared" si="21"/>
        <v>0</v>
      </c>
      <c r="F62" s="146">
        <f t="shared" si="21"/>
        <v>325643</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325643</v>
      </c>
      <c r="S62" s="148"/>
      <c r="T62" s="148"/>
      <c r="U62" s="143"/>
    </row>
    <row r="63" spans="1:21" s="144" customFormat="1">
      <c r="A63" s="154" t="s">
        <v>302</v>
      </c>
      <c r="B63" s="146">
        <f t="shared" ref="B63:R63" si="22">SUM(B8+B11+B13+B14+B15+B26+B27+B38+B42+B43+B54+B62)</f>
        <v>89923687</v>
      </c>
      <c r="C63" s="146">
        <f t="shared" si="22"/>
        <v>89923687</v>
      </c>
      <c r="D63" s="146">
        <f t="shared" si="22"/>
        <v>0</v>
      </c>
      <c r="E63" s="146">
        <f t="shared" si="22"/>
        <v>69381500</v>
      </c>
      <c r="F63" s="146">
        <f t="shared" si="22"/>
        <v>20391687</v>
      </c>
      <c r="G63" s="146">
        <f t="shared" si="22"/>
        <v>0</v>
      </c>
      <c r="H63" s="146">
        <f t="shared" si="22"/>
        <v>0</v>
      </c>
      <c r="I63" s="146">
        <f t="shared" si="22"/>
        <v>150500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89923687</v>
      </c>
      <c r="S63" s="146">
        <f>SUM(S10+S13+S14+S15+S26+S27+S38+S42+S43+S54)</f>
        <v>82604644</v>
      </c>
      <c r="T63" s="146">
        <f>SUM(T11+T13+T14+T15+T26+T27+T38+T42+T43+T54)</f>
        <v>0</v>
      </c>
      <c r="U63" s="143"/>
    </row>
    <row r="64" spans="1:21" s="144" customFormat="1" ht="23.15">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745000</v>
      </c>
      <c r="C65" s="147">
        <v>745000</v>
      </c>
      <c r="D65" s="147"/>
      <c r="E65" s="147"/>
      <c r="F65" s="147">
        <v>745000</v>
      </c>
      <c r="G65" s="147"/>
      <c r="H65" s="147"/>
      <c r="I65" s="147"/>
      <c r="J65" s="147"/>
      <c r="K65" s="147"/>
      <c r="L65" s="147"/>
      <c r="M65" s="147"/>
      <c r="N65" s="147"/>
      <c r="O65" s="147"/>
      <c r="P65" s="147"/>
      <c r="Q65" s="147"/>
      <c r="R65" s="516">
        <f>SUM(E65:Q65)</f>
        <v>745000</v>
      </c>
      <c r="S65" s="147">
        <v>20000</v>
      </c>
      <c r="T65" s="147"/>
      <c r="U65" s="143"/>
    </row>
    <row r="66" spans="1:21" s="144" customFormat="1" ht="24" customHeight="1">
      <c r="A66" s="283" t="s">
        <v>1642</v>
      </c>
      <c r="B66" s="146">
        <f>SUM(C66+D66)</f>
        <v>100000</v>
      </c>
      <c r="C66" s="147">
        <v>100000</v>
      </c>
      <c r="D66" s="147"/>
      <c r="E66" s="147"/>
      <c r="F66" s="147">
        <v>100000</v>
      </c>
      <c r="G66" s="147"/>
      <c r="H66" s="147"/>
      <c r="I66" s="147"/>
      <c r="J66" s="147"/>
      <c r="K66" s="147"/>
      <c r="L66" s="147"/>
      <c r="M66" s="147"/>
      <c r="N66" s="147"/>
      <c r="O66" s="147"/>
      <c r="P66" s="147"/>
      <c r="Q66" s="147"/>
      <c r="R66" s="516">
        <f>SUM(E66:Q66)</f>
        <v>100000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845000</v>
      </c>
      <c r="C70" s="146">
        <f>SUM(C65:C69)</f>
        <v>845000</v>
      </c>
      <c r="D70" s="146">
        <f>SUM(D65:D69)</f>
        <v>0</v>
      </c>
      <c r="E70" s="146">
        <f t="shared" ref="E70:T70" si="23">SUM(E65:E69)</f>
        <v>0</v>
      </c>
      <c r="F70" s="146">
        <f t="shared" si="23"/>
        <v>845000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845000</v>
      </c>
      <c r="S70" s="150">
        <f t="shared" si="23"/>
        <v>20000</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1536490</v>
      </c>
      <c r="C75" s="147">
        <v>1536490</v>
      </c>
      <c r="D75" s="147"/>
      <c r="E75" s="147"/>
      <c r="F75" s="147">
        <f>1536490-J75</f>
        <v>308490</v>
      </c>
      <c r="G75" s="147"/>
      <c r="H75" s="147"/>
      <c r="I75" s="147"/>
      <c r="J75" s="147">
        <v>1228000</v>
      </c>
      <c r="K75" s="147"/>
      <c r="L75" s="147"/>
      <c r="M75" s="147"/>
      <c r="N75" s="147"/>
      <c r="O75" s="147"/>
      <c r="P75" s="147"/>
      <c r="Q75" s="147"/>
      <c r="R75" s="516">
        <f>SUM(E75:Q75)</f>
        <v>1536490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1536490</v>
      </c>
      <c r="C77" s="146">
        <f>SUM(C72:C76)</f>
        <v>1536490</v>
      </c>
      <c r="D77" s="146">
        <f>SUM(D72:D76)</f>
        <v>0</v>
      </c>
      <c r="E77" s="146">
        <f t="shared" ref="E77:Q77" si="24">SUM(E72:E76)</f>
        <v>0</v>
      </c>
      <c r="F77" s="146">
        <f t="shared" si="24"/>
        <v>308490</v>
      </c>
      <c r="G77" s="146">
        <f t="shared" si="24"/>
        <v>0</v>
      </c>
      <c r="H77" s="146">
        <f t="shared" si="24"/>
        <v>0</v>
      </c>
      <c r="I77" s="146">
        <f t="shared" si="24"/>
        <v>0</v>
      </c>
      <c r="J77" s="146">
        <f t="shared" si="24"/>
        <v>1228000</v>
      </c>
      <c r="K77" s="146">
        <f t="shared" si="24"/>
        <v>0</v>
      </c>
      <c r="L77" s="146">
        <f t="shared" si="24"/>
        <v>0</v>
      </c>
      <c r="M77" s="146">
        <f t="shared" si="24"/>
        <v>0</v>
      </c>
      <c r="N77" s="146">
        <f t="shared" si="24"/>
        <v>0</v>
      </c>
      <c r="O77" s="146">
        <f t="shared" si="24"/>
        <v>0</v>
      </c>
      <c r="P77" s="146">
        <f t="shared" si="24"/>
        <v>0</v>
      </c>
      <c r="Q77" s="146">
        <f t="shared" si="24"/>
        <v>0</v>
      </c>
      <c r="R77" s="342">
        <f>SUM(R72:R76)</f>
        <v>1536490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3395961</v>
      </c>
      <c r="C79" s="147">
        <v>3395961</v>
      </c>
      <c r="D79" s="147"/>
      <c r="E79" s="147"/>
      <c r="F79" s="147">
        <v>3395961</v>
      </c>
      <c r="G79" s="147"/>
      <c r="H79" s="147"/>
      <c r="I79" s="147"/>
      <c r="J79" s="147"/>
      <c r="K79" s="147"/>
      <c r="L79" s="147"/>
      <c r="M79" s="147"/>
      <c r="N79" s="147"/>
      <c r="O79" s="147"/>
      <c r="P79" s="147"/>
      <c r="Q79" s="147"/>
      <c r="R79" s="516">
        <f>SUM(E79:Q79)</f>
        <v>3395961</v>
      </c>
      <c r="S79" s="147">
        <f>C79</f>
        <v>3395961</v>
      </c>
      <c r="T79" s="147"/>
      <c r="U79" s="143"/>
    </row>
    <row r="80" spans="1:21" s="144" customFormat="1">
      <c r="A80" s="283" t="s">
        <v>58</v>
      </c>
      <c r="B80" s="146">
        <f>SUM(C80:D80)</f>
        <v>464776</v>
      </c>
      <c r="C80" s="147">
        <f>465250-474</f>
        <v>464776</v>
      </c>
      <c r="D80" s="147"/>
      <c r="E80" s="147"/>
      <c r="F80" s="147">
        <f>C80</f>
        <v>464776</v>
      </c>
      <c r="G80" s="147"/>
      <c r="H80" s="147"/>
      <c r="I80" s="147"/>
      <c r="J80" s="147"/>
      <c r="K80" s="147"/>
      <c r="L80" s="147"/>
      <c r="M80" s="147"/>
      <c r="N80" s="147"/>
      <c r="O80" s="147"/>
      <c r="P80" s="147"/>
      <c r="Q80" s="147"/>
      <c r="R80" s="516">
        <f>SUM(E80:Q80)</f>
        <v>464776</v>
      </c>
      <c r="S80" s="147">
        <f t="shared" ref="S80" si="25">C80</f>
        <v>464776</v>
      </c>
      <c r="T80" s="147"/>
      <c r="U80" s="143"/>
    </row>
    <row r="81" spans="1:21" s="144" customFormat="1">
      <c r="A81" s="149" t="s">
        <v>1210</v>
      </c>
      <c r="B81" s="146">
        <f>SUM(C81:D81)</f>
        <v>3860737</v>
      </c>
      <c r="C81" s="509">
        <f>SUM(C79:C80)</f>
        <v>3860737</v>
      </c>
      <c r="D81" s="509">
        <f t="shared" ref="D81:T81" si="26">SUM(D79:D80)</f>
        <v>0</v>
      </c>
      <c r="E81" s="509">
        <f t="shared" si="26"/>
        <v>0</v>
      </c>
      <c r="F81" s="509">
        <f t="shared" si="26"/>
        <v>3860737</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3860737</v>
      </c>
      <c r="S81" s="509">
        <f t="shared" si="26"/>
        <v>3860737</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7">SUM(C83+D83)</f>
        <v>109057</v>
      </c>
      <c r="C83" s="147">
        <v>109057</v>
      </c>
      <c r="D83" s="147"/>
      <c r="E83" s="147"/>
      <c r="F83" s="147">
        <v>109057</v>
      </c>
      <c r="G83" s="147"/>
      <c r="H83" s="147"/>
      <c r="I83" s="147"/>
      <c r="J83" s="147"/>
      <c r="K83" s="147"/>
      <c r="L83" s="147"/>
      <c r="M83" s="147"/>
      <c r="N83" s="147"/>
      <c r="O83" s="147"/>
      <c r="P83" s="147"/>
      <c r="Q83" s="147"/>
      <c r="R83" s="516">
        <f t="shared" ref="R83:R95" si="28">SUM(E83:Q83)</f>
        <v>109057</v>
      </c>
      <c r="S83" s="148"/>
      <c r="T83" s="148"/>
      <c r="U83" s="143"/>
    </row>
    <row r="84" spans="1:21" s="144" customFormat="1">
      <c r="A84" s="145" t="s">
        <v>768</v>
      </c>
      <c r="B84" s="146">
        <f t="shared" si="27"/>
        <v>0</v>
      </c>
      <c r="C84" s="147"/>
      <c r="D84" s="147"/>
      <c r="E84" s="147"/>
      <c r="F84" s="147">
        <v>0</v>
      </c>
      <c r="G84" s="147"/>
      <c r="H84" s="147"/>
      <c r="I84" s="147"/>
      <c r="J84" s="147"/>
      <c r="K84" s="147"/>
      <c r="L84" s="147"/>
      <c r="M84" s="147"/>
      <c r="N84" s="147"/>
      <c r="O84" s="147"/>
      <c r="P84" s="147"/>
      <c r="Q84" s="147"/>
      <c r="R84" s="516">
        <f t="shared" si="28"/>
        <v>0</v>
      </c>
      <c r="S84" s="147"/>
      <c r="T84" s="147"/>
      <c r="U84" s="143"/>
    </row>
    <row r="85" spans="1:21" s="144" customFormat="1">
      <c r="A85" s="145" t="s">
        <v>769</v>
      </c>
      <c r="B85" s="146">
        <f t="shared" si="27"/>
        <v>2020260</v>
      </c>
      <c r="C85" s="147">
        <v>2020260</v>
      </c>
      <c r="D85" s="147"/>
      <c r="E85" s="147"/>
      <c r="F85" s="147">
        <v>2020260</v>
      </c>
      <c r="G85" s="147"/>
      <c r="H85" s="147"/>
      <c r="I85" s="147"/>
      <c r="J85" s="147"/>
      <c r="K85" s="147"/>
      <c r="L85" s="147"/>
      <c r="M85" s="147"/>
      <c r="N85" s="147"/>
      <c r="O85" s="147"/>
      <c r="P85" s="147"/>
      <c r="Q85" s="147"/>
      <c r="R85" s="516">
        <f t="shared" si="28"/>
        <v>2020260</v>
      </c>
      <c r="S85" s="147">
        <v>2020260</v>
      </c>
      <c r="T85" s="147"/>
      <c r="U85" s="143"/>
    </row>
    <row r="86" spans="1:21" s="144" customFormat="1">
      <c r="A86" s="145" t="s">
        <v>770</v>
      </c>
      <c r="B86" s="146">
        <f t="shared" si="27"/>
        <v>0</v>
      </c>
      <c r="C86" s="147"/>
      <c r="D86" s="147"/>
      <c r="E86" s="147"/>
      <c r="F86" s="147">
        <v>0</v>
      </c>
      <c r="G86" s="147"/>
      <c r="H86" s="147"/>
      <c r="I86" s="147"/>
      <c r="J86" s="147"/>
      <c r="K86" s="147"/>
      <c r="L86" s="147"/>
      <c r="M86" s="147"/>
      <c r="N86" s="147"/>
      <c r="O86" s="147"/>
      <c r="P86" s="147"/>
      <c r="Q86" s="147"/>
      <c r="R86" s="516">
        <f t="shared" si="28"/>
        <v>0</v>
      </c>
      <c r="S86" s="147"/>
      <c r="T86" s="147"/>
      <c r="U86" s="143"/>
    </row>
    <row r="87" spans="1:21" s="144" customFormat="1">
      <c r="A87" s="145" t="s">
        <v>771</v>
      </c>
      <c r="B87" s="146">
        <f t="shared" si="27"/>
        <v>0</v>
      </c>
      <c r="C87" s="147"/>
      <c r="D87" s="147"/>
      <c r="E87" s="147"/>
      <c r="F87" s="147">
        <v>0</v>
      </c>
      <c r="G87" s="147"/>
      <c r="H87" s="147"/>
      <c r="I87" s="147"/>
      <c r="J87" s="147"/>
      <c r="K87" s="147"/>
      <c r="L87" s="147"/>
      <c r="M87" s="147"/>
      <c r="N87" s="147"/>
      <c r="O87" s="147"/>
      <c r="P87" s="147"/>
      <c r="Q87" s="147"/>
      <c r="R87" s="516">
        <f t="shared" si="28"/>
        <v>0</v>
      </c>
      <c r="S87" s="147"/>
      <c r="T87" s="147"/>
      <c r="U87" s="143"/>
    </row>
    <row r="88" spans="1:21" s="144" customFormat="1">
      <c r="A88" s="145" t="s">
        <v>772</v>
      </c>
      <c r="B88" s="146">
        <f t="shared" si="27"/>
        <v>350000</v>
      </c>
      <c r="C88" s="147">
        <v>350000</v>
      </c>
      <c r="D88" s="147"/>
      <c r="E88" s="147"/>
      <c r="F88" s="147">
        <v>350000</v>
      </c>
      <c r="G88" s="147"/>
      <c r="H88" s="147"/>
      <c r="I88" s="147"/>
      <c r="J88" s="147"/>
      <c r="K88" s="147"/>
      <c r="L88" s="147"/>
      <c r="M88" s="147"/>
      <c r="N88" s="147"/>
      <c r="O88" s="147"/>
      <c r="P88" s="147"/>
      <c r="Q88" s="147"/>
      <c r="R88" s="516">
        <f t="shared" si="28"/>
        <v>350000</v>
      </c>
      <c r="S88" s="148"/>
      <c r="T88" s="148"/>
      <c r="U88" s="143"/>
    </row>
    <row r="89" spans="1:21" s="144" customFormat="1">
      <c r="A89" s="145" t="s">
        <v>773</v>
      </c>
      <c r="B89" s="146">
        <f t="shared" si="27"/>
        <v>600000</v>
      </c>
      <c r="C89" s="147">
        <v>600000</v>
      </c>
      <c r="D89" s="147"/>
      <c r="E89" s="147"/>
      <c r="F89" s="147">
        <v>600000</v>
      </c>
      <c r="G89" s="147"/>
      <c r="H89" s="147"/>
      <c r="I89" s="147"/>
      <c r="J89" s="147"/>
      <c r="K89" s="147"/>
      <c r="L89" s="147"/>
      <c r="M89" s="147"/>
      <c r="N89" s="147"/>
      <c r="O89" s="147"/>
      <c r="P89" s="147"/>
      <c r="Q89" s="147"/>
      <c r="R89" s="516">
        <f t="shared" si="28"/>
        <v>600000</v>
      </c>
      <c r="S89" s="147">
        <v>600000</v>
      </c>
      <c r="T89" s="147"/>
      <c r="U89" s="143"/>
    </row>
    <row r="90" spans="1:21" s="144" customFormat="1">
      <c r="A90" s="145" t="s">
        <v>774</v>
      </c>
      <c r="B90" s="146">
        <f t="shared" si="27"/>
        <v>12000</v>
      </c>
      <c r="C90" s="147">
        <v>12000</v>
      </c>
      <c r="D90" s="147"/>
      <c r="E90" s="147"/>
      <c r="F90" s="147">
        <v>12000</v>
      </c>
      <c r="G90" s="147"/>
      <c r="H90" s="147"/>
      <c r="I90" s="147"/>
      <c r="J90" s="147"/>
      <c r="K90" s="147"/>
      <c r="L90" s="147"/>
      <c r="M90" s="147"/>
      <c r="N90" s="147"/>
      <c r="O90" s="147"/>
      <c r="P90" s="147"/>
      <c r="Q90" s="147"/>
      <c r="R90" s="516">
        <f t="shared" si="28"/>
        <v>12000</v>
      </c>
      <c r="S90" s="147">
        <v>12000</v>
      </c>
      <c r="T90" s="147"/>
      <c r="U90" s="143"/>
    </row>
    <row r="91" spans="1:21" s="144" customFormat="1">
      <c r="A91" s="145" t="s">
        <v>372</v>
      </c>
      <c r="B91" s="146">
        <f t="shared" si="27"/>
        <v>15000</v>
      </c>
      <c r="C91" s="147">
        <v>15000</v>
      </c>
      <c r="D91" s="147"/>
      <c r="E91" s="147"/>
      <c r="F91" s="147">
        <v>15000</v>
      </c>
      <c r="G91" s="147"/>
      <c r="H91" s="147"/>
      <c r="I91" s="147"/>
      <c r="J91" s="147"/>
      <c r="K91" s="147"/>
      <c r="L91" s="147"/>
      <c r="M91" s="147"/>
      <c r="N91" s="147"/>
      <c r="O91" s="147"/>
      <c r="P91" s="147"/>
      <c r="Q91" s="147"/>
      <c r="R91" s="516">
        <f t="shared" si="28"/>
        <v>15000</v>
      </c>
      <c r="S91" s="147">
        <v>7500</v>
      </c>
      <c r="T91" s="147"/>
      <c r="U91" s="143"/>
    </row>
    <row r="92" spans="1:21" s="144" customFormat="1">
      <c r="A92" s="283" t="s">
        <v>1212</v>
      </c>
      <c r="B92" s="146">
        <f t="shared" si="27"/>
        <v>10000</v>
      </c>
      <c r="C92" s="147">
        <v>10000</v>
      </c>
      <c r="D92" s="147"/>
      <c r="E92" s="147"/>
      <c r="F92" s="147">
        <v>10000</v>
      </c>
      <c r="G92" s="147"/>
      <c r="H92" s="147"/>
      <c r="I92" s="147"/>
      <c r="J92" s="147"/>
      <c r="K92" s="147"/>
      <c r="L92" s="147"/>
      <c r="M92" s="147"/>
      <c r="N92" s="147"/>
      <c r="O92" s="147"/>
      <c r="P92" s="147"/>
      <c r="Q92" s="147"/>
      <c r="R92" s="516">
        <f t="shared" si="28"/>
        <v>10000</v>
      </c>
      <c r="S92" s="147">
        <v>10000</v>
      </c>
      <c r="T92" s="147"/>
      <c r="U92" s="143"/>
    </row>
    <row r="93" spans="1:21" s="144" customFormat="1">
      <c r="A93" s="1149" t="s">
        <v>2728</v>
      </c>
      <c r="B93" s="146">
        <f t="shared" si="27"/>
        <v>198000</v>
      </c>
      <c r="C93" s="147">
        <v>198000</v>
      </c>
      <c r="D93" s="147"/>
      <c r="E93" s="147"/>
      <c r="F93" s="147">
        <v>198000</v>
      </c>
      <c r="G93" s="147"/>
      <c r="H93" s="147"/>
      <c r="I93" s="147"/>
      <c r="J93" s="147"/>
      <c r="K93" s="147"/>
      <c r="L93" s="147"/>
      <c r="M93" s="147"/>
      <c r="N93" s="147"/>
      <c r="O93" s="147"/>
      <c r="P93" s="147"/>
      <c r="Q93" s="147"/>
      <c r="R93" s="516">
        <f t="shared" si="28"/>
        <v>198000</v>
      </c>
      <c r="S93" s="147">
        <v>198000</v>
      </c>
      <c r="T93" s="147"/>
      <c r="U93" s="143"/>
    </row>
    <row r="94" spans="1:21" s="144" customFormat="1">
      <c r="A94" s="1149" t="s">
        <v>2729</v>
      </c>
      <c r="B94" s="146">
        <f t="shared" si="27"/>
        <v>10000</v>
      </c>
      <c r="C94" s="147">
        <v>10000</v>
      </c>
      <c r="D94" s="147"/>
      <c r="E94" s="147"/>
      <c r="F94" s="147">
        <v>10000</v>
      </c>
      <c r="G94" s="147"/>
      <c r="H94" s="147"/>
      <c r="I94" s="147"/>
      <c r="J94" s="147"/>
      <c r="K94" s="147"/>
      <c r="L94" s="147"/>
      <c r="M94" s="147"/>
      <c r="N94" s="147"/>
      <c r="O94" s="147"/>
      <c r="P94" s="147"/>
      <c r="Q94" s="147"/>
      <c r="R94" s="516">
        <f t="shared" si="28"/>
        <v>10000</v>
      </c>
      <c r="S94" s="147">
        <v>10000</v>
      </c>
      <c r="T94" s="147"/>
      <c r="U94" s="143"/>
    </row>
    <row r="95" spans="1:21" s="144" customFormat="1">
      <c r="A95" s="1149"/>
      <c r="B95" s="146">
        <f t="shared" si="27"/>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c r="A96" s="149" t="s">
        <v>775</v>
      </c>
      <c r="B96" s="146">
        <f>SUM(C96:D96)</f>
        <v>3324317</v>
      </c>
      <c r="C96" s="146">
        <f t="shared" ref="C96:R96" si="29">SUM(C83:C95)</f>
        <v>3324317</v>
      </c>
      <c r="D96" s="146">
        <f t="shared" si="29"/>
        <v>0</v>
      </c>
      <c r="E96" s="146">
        <f t="shared" si="29"/>
        <v>0</v>
      </c>
      <c r="F96" s="146">
        <f t="shared" si="29"/>
        <v>3324317</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3324317</v>
      </c>
      <c r="S96" s="150">
        <f>SUM(S84:S87,S89:S95)</f>
        <v>2857760</v>
      </c>
      <c r="T96" s="146">
        <f>SUM(T84:T87,T89:T95)</f>
        <v>0</v>
      </c>
      <c r="U96" s="143"/>
    </row>
    <row r="97" spans="1:21" s="144" customFormat="1">
      <c r="A97" s="149" t="s">
        <v>776</v>
      </c>
      <c r="B97" s="146">
        <f>SUM(C97:D97)</f>
        <v>99490231</v>
      </c>
      <c r="C97" s="146">
        <f t="shared" ref="C97:R97" si="30">SUM(C63+C70+C77+C81+C96)</f>
        <v>99490231</v>
      </c>
      <c r="D97" s="146">
        <f t="shared" si="30"/>
        <v>0</v>
      </c>
      <c r="E97" s="146">
        <f t="shared" si="30"/>
        <v>69381500</v>
      </c>
      <c r="F97" s="146">
        <f t="shared" si="30"/>
        <v>28730231</v>
      </c>
      <c r="G97" s="146">
        <f t="shared" si="30"/>
        <v>0</v>
      </c>
      <c r="H97" s="146">
        <f t="shared" si="30"/>
        <v>0</v>
      </c>
      <c r="I97" s="146">
        <f t="shared" si="30"/>
        <v>150500</v>
      </c>
      <c r="J97" s="146">
        <f t="shared" si="30"/>
        <v>1228000</v>
      </c>
      <c r="K97" s="146">
        <f t="shared" si="30"/>
        <v>0</v>
      </c>
      <c r="L97" s="146">
        <f t="shared" si="30"/>
        <v>0</v>
      </c>
      <c r="M97" s="146">
        <f t="shared" si="30"/>
        <v>0</v>
      </c>
      <c r="N97" s="146">
        <f t="shared" si="30"/>
        <v>0</v>
      </c>
      <c r="O97" s="146">
        <f t="shared" si="30"/>
        <v>0</v>
      </c>
      <c r="P97" s="146">
        <f t="shared" si="30"/>
        <v>0</v>
      </c>
      <c r="Q97" s="146">
        <f t="shared" si="30"/>
        <v>0</v>
      </c>
      <c r="R97" s="146">
        <f t="shared" si="30"/>
        <v>99490231</v>
      </c>
      <c r="S97" s="146">
        <f>SUM(S63+S70+S81+S96)</f>
        <v>89343141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13239769</v>
      </c>
      <c r="C99" s="979">
        <v>13239769</v>
      </c>
      <c r="D99" s="979"/>
      <c r="E99" s="979"/>
      <c r="F99" s="147">
        <f>2333784-15</f>
        <v>2333769</v>
      </c>
      <c r="G99" s="147">
        <v>9475854</v>
      </c>
      <c r="H99" s="147">
        <v>1430146</v>
      </c>
      <c r="I99" s="147"/>
      <c r="J99" s="147"/>
      <c r="K99" s="147"/>
      <c r="L99" s="147"/>
      <c r="M99" s="147"/>
      <c r="N99" s="147"/>
      <c r="O99" s="147"/>
      <c r="P99" s="147"/>
      <c r="Q99" s="147"/>
      <c r="R99" s="516">
        <f>SUM(E99:Q99)</f>
        <v>13239769</v>
      </c>
      <c r="S99" s="147">
        <f>C99</f>
        <v>13239769</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13239769</v>
      </c>
      <c r="C104" s="146">
        <f>SUM(C99:C103)</f>
        <v>13239769</v>
      </c>
      <c r="D104" s="146">
        <f t="shared" ref="D104:T104" si="31">SUM(D99:D103)</f>
        <v>0</v>
      </c>
      <c r="E104" s="146">
        <f t="shared" si="31"/>
        <v>0</v>
      </c>
      <c r="F104" s="146">
        <f t="shared" si="31"/>
        <v>2333769</v>
      </c>
      <c r="G104" s="146">
        <f t="shared" si="31"/>
        <v>9475854</v>
      </c>
      <c r="H104" s="146">
        <f t="shared" si="31"/>
        <v>1430146</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13239769</v>
      </c>
      <c r="S104" s="150">
        <f t="shared" si="31"/>
        <v>13239769</v>
      </c>
      <c r="T104" s="150">
        <f t="shared" si="31"/>
        <v>0</v>
      </c>
      <c r="U104" s="143"/>
    </row>
    <row r="105" spans="1:21" s="144" customFormat="1">
      <c r="A105" s="149" t="s">
        <v>781</v>
      </c>
      <c r="B105" s="150">
        <f>SUM(C105:D105)</f>
        <v>112730000</v>
      </c>
      <c r="C105" s="150">
        <f t="shared" ref="C105:R105" si="32">SUM(C97+C104)</f>
        <v>112730000</v>
      </c>
      <c r="D105" s="150">
        <f t="shared" si="32"/>
        <v>0</v>
      </c>
      <c r="E105" s="150">
        <f t="shared" si="32"/>
        <v>69381500</v>
      </c>
      <c r="F105" s="150">
        <f t="shared" si="32"/>
        <v>31064000</v>
      </c>
      <c r="G105" s="150">
        <f t="shared" si="32"/>
        <v>9475854</v>
      </c>
      <c r="H105" s="150">
        <f t="shared" si="32"/>
        <v>1430146</v>
      </c>
      <c r="I105" s="150">
        <f t="shared" si="32"/>
        <v>150500</v>
      </c>
      <c r="J105" s="150">
        <f t="shared" si="32"/>
        <v>1228000</v>
      </c>
      <c r="K105" s="150">
        <f t="shared" si="32"/>
        <v>0</v>
      </c>
      <c r="L105" s="150">
        <f t="shared" si="32"/>
        <v>0</v>
      </c>
      <c r="M105" s="150">
        <f t="shared" si="32"/>
        <v>0</v>
      </c>
      <c r="N105" s="150">
        <f t="shared" si="32"/>
        <v>0</v>
      </c>
      <c r="O105" s="150">
        <f t="shared" si="32"/>
        <v>0</v>
      </c>
      <c r="P105" s="150">
        <f t="shared" si="32"/>
        <v>0</v>
      </c>
      <c r="Q105" s="150">
        <f t="shared" si="32"/>
        <v>0</v>
      </c>
      <c r="R105" s="342">
        <f t="shared" si="32"/>
        <v>112730000</v>
      </c>
      <c r="S105" s="150">
        <f>S97+S104</f>
        <v>102582910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102582910</v>
      </c>
      <c r="T107" s="150">
        <f>T105+T106</f>
        <v>0</v>
      </c>
    </row>
    <row r="108" spans="1:21" s="189" customFormat="1">
      <c r="A108" s="162" t="s">
        <v>880</v>
      </c>
      <c r="B108" s="157"/>
      <c r="C108" s="157"/>
      <c r="D108" s="157"/>
      <c r="E108" s="301">
        <f>Application!AO640</f>
        <v>69381500</v>
      </c>
      <c r="F108" s="301">
        <f>Application!AO627</f>
        <v>31064000</v>
      </c>
      <c r="G108" s="301">
        <f>Application!AO628</f>
        <v>9475854</v>
      </c>
      <c r="H108" s="301">
        <f>Application!AO629</f>
        <v>1430146</v>
      </c>
      <c r="I108" s="301">
        <f>Application!AO630</f>
        <v>150500</v>
      </c>
      <c r="J108" s="301">
        <f>Application!AO631</f>
        <v>1228000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4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1225</v>
      </c>
      <c r="E123" s="1553"/>
      <c r="F123" s="1553"/>
      <c r="G123" s="1553"/>
      <c r="H123" s="1553"/>
      <c r="I123" s="1553"/>
      <c r="J123" s="1553"/>
      <c r="K123" s="1553"/>
      <c r="L123" s="1553"/>
      <c r="M123" s="1553"/>
      <c r="N123" s="1553"/>
      <c r="O123" s="1553"/>
      <c r="P123" s="1553"/>
      <c r="Q123" s="1553"/>
      <c r="R123" s="1553"/>
      <c r="S123" s="1553"/>
      <c r="T123" s="324"/>
      <c r="U123" s="326"/>
    </row>
    <row r="124" spans="1:21" ht="12.45">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45">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4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4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45">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4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4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4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4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4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9">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2.9">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6" workbookViewId="0">
      <selection sqref="A1:J1"/>
    </sheetView>
  </sheetViews>
  <sheetFormatPr defaultColWidth="0" defaultRowHeight="11.6" zeroHeight="1"/>
  <cols>
    <col min="1" max="1" width="32.69140625" style="397" customWidth="1"/>
    <col min="2" max="3" width="12.15234375" style="393" customWidth="1"/>
    <col min="4" max="6" width="12.84375" style="393" customWidth="1"/>
    <col min="7" max="9" width="12.15234375" style="393" customWidth="1"/>
    <col min="10" max="10" width="12.15234375" style="394" customWidth="1"/>
    <col min="11" max="11" width="8.84375" style="395" hidden="1" customWidth="1"/>
    <col min="12" max="21" width="8.84375" style="393" hidden="1" customWidth="1"/>
    <col min="22" max="23" width="0" style="393" hidden="1"/>
    <col min="24" max="256" width="8.84375" style="393" hidden="1"/>
    <col min="257" max="257" width="32.69140625" style="393" hidden="1" customWidth="1"/>
    <col min="258" max="259" width="12.15234375" style="393" hidden="1" customWidth="1"/>
    <col min="260" max="260" width="12.84375" style="393" hidden="1" customWidth="1"/>
    <col min="261" max="266" width="12.15234375" style="393" hidden="1" customWidth="1"/>
    <col min="267" max="277" width="8.84375" style="393" hidden="1" customWidth="1"/>
    <col min="278" max="512" width="8.84375" style="393" hidden="1"/>
    <col min="513" max="513" width="32.69140625" style="393" hidden="1" customWidth="1"/>
    <col min="514" max="515" width="12.15234375" style="393" hidden="1" customWidth="1"/>
    <col min="516" max="516" width="12.84375" style="393" hidden="1" customWidth="1"/>
    <col min="517" max="522" width="12.15234375" style="393" hidden="1" customWidth="1"/>
    <col min="523" max="533" width="8.84375" style="393" hidden="1" customWidth="1"/>
    <col min="534" max="768" width="8.84375" style="393" hidden="1"/>
    <col min="769" max="769" width="32.69140625" style="393" hidden="1" customWidth="1"/>
    <col min="770" max="771" width="12.15234375" style="393" hidden="1" customWidth="1"/>
    <col min="772" max="772" width="12.84375" style="393" hidden="1" customWidth="1"/>
    <col min="773" max="778" width="12.15234375" style="393" hidden="1" customWidth="1"/>
    <col min="779" max="789" width="8.84375" style="393" hidden="1" customWidth="1"/>
    <col min="790" max="1024" width="8.84375" style="393" hidden="1"/>
    <col min="1025" max="1025" width="32.69140625" style="393" hidden="1" customWidth="1"/>
    <col min="1026" max="1027" width="12.15234375" style="393" hidden="1" customWidth="1"/>
    <col min="1028" max="1028" width="12.84375" style="393" hidden="1" customWidth="1"/>
    <col min="1029" max="1034" width="12.15234375" style="393" hidden="1" customWidth="1"/>
    <col min="1035" max="1045" width="8.84375" style="393" hidden="1" customWidth="1"/>
    <col min="1046" max="1280" width="8.84375" style="393" hidden="1"/>
    <col min="1281" max="1281" width="32.69140625" style="393" hidden="1" customWidth="1"/>
    <col min="1282" max="1283" width="12.15234375" style="393" hidden="1" customWidth="1"/>
    <col min="1284" max="1284" width="12.84375" style="393" hidden="1" customWidth="1"/>
    <col min="1285" max="1290" width="12.15234375" style="393" hidden="1" customWidth="1"/>
    <col min="1291" max="1301" width="8.84375" style="393" hidden="1" customWidth="1"/>
    <col min="1302" max="1536" width="8.84375" style="393" hidden="1"/>
    <col min="1537" max="1537" width="32.69140625" style="393" hidden="1" customWidth="1"/>
    <col min="1538" max="1539" width="12.15234375" style="393" hidden="1" customWidth="1"/>
    <col min="1540" max="1540" width="12.84375" style="393" hidden="1" customWidth="1"/>
    <col min="1541" max="1546" width="12.15234375" style="393" hidden="1" customWidth="1"/>
    <col min="1547" max="1557" width="8.84375" style="393" hidden="1" customWidth="1"/>
    <col min="1558" max="1792" width="8.84375" style="393" hidden="1"/>
    <col min="1793" max="1793" width="32.69140625" style="393" hidden="1" customWidth="1"/>
    <col min="1794" max="1795" width="12.15234375" style="393" hidden="1" customWidth="1"/>
    <col min="1796" max="1796" width="12.84375" style="393" hidden="1" customWidth="1"/>
    <col min="1797" max="1802" width="12.15234375" style="393" hidden="1" customWidth="1"/>
    <col min="1803" max="1813" width="8.84375" style="393" hidden="1" customWidth="1"/>
    <col min="1814" max="2048" width="8.84375" style="393" hidden="1"/>
    <col min="2049" max="2049" width="32.69140625" style="393" hidden="1" customWidth="1"/>
    <col min="2050" max="2051" width="12.15234375" style="393" hidden="1" customWidth="1"/>
    <col min="2052" max="2052" width="12.84375" style="393" hidden="1" customWidth="1"/>
    <col min="2053" max="2058" width="12.15234375" style="393" hidden="1" customWidth="1"/>
    <col min="2059" max="2069" width="8.84375" style="393" hidden="1" customWidth="1"/>
    <col min="2070" max="2304" width="8.84375" style="393" hidden="1"/>
    <col min="2305" max="2305" width="32.69140625" style="393" hidden="1" customWidth="1"/>
    <col min="2306" max="2307" width="12.15234375" style="393" hidden="1" customWidth="1"/>
    <col min="2308" max="2308" width="12.84375" style="393" hidden="1" customWidth="1"/>
    <col min="2309" max="2314" width="12.15234375" style="393" hidden="1" customWidth="1"/>
    <col min="2315" max="2325" width="8.84375" style="393" hidden="1" customWidth="1"/>
    <col min="2326" max="2560" width="8.84375" style="393" hidden="1"/>
    <col min="2561" max="2561" width="32.69140625" style="393" hidden="1" customWidth="1"/>
    <col min="2562" max="2563" width="12.15234375" style="393" hidden="1" customWidth="1"/>
    <col min="2564" max="2564" width="12.84375" style="393" hidden="1" customWidth="1"/>
    <col min="2565" max="2570" width="12.15234375" style="393" hidden="1" customWidth="1"/>
    <col min="2571" max="2581" width="8.84375" style="393" hidden="1" customWidth="1"/>
    <col min="2582" max="2816" width="8.84375" style="393" hidden="1"/>
    <col min="2817" max="2817" width="32.69140625" style="393" hidden="1" customWidth="1"/>
    <col min="2818" max="2819" width="12.15234375" style="393" hidden="1" customWidth="1"/>
    <col min="2820" max="2820" width="12.84375" style="393" hidden="1" customWidth="1"/>
    <col min="2821" max="2826" width="12.15234375" style="393" hidden="1" customWidth="1"/>
    <col min="2827" max="2837" width="8.84375" style="393" hidden="1" customWidth="1"/>
    <col min="2838" max="3072" width="8.84375" style="393" hidden="1"/>
    <col min="3073" max="3073" width="32.69140625" style="393" hidden="1" customWidth="1"/>
    <col min="3074" max="3075" width="12.15234375" style="393" hidden="1" customWidth="1"/>
    <col min="3076" max="3076" width="12.84375" style="393" hidden="1" customWidth="1"/>
    <col min="3077" max="3082" width="12.15234375" style="393" hidden="1" customWidth="1"/>
    <col min="3083" max="3093" width="8.84375" style="393" hidden="1" customWidth="1"/>
    <col min="3094" max="3328" width="8.84375" style="393" hidden="1"/>
    <col min="3329" max="3329" width="32.69140625" style="393" hidden="1" customWidth="1"/>
    <col min="3330" max="3331" width="12.15234375" style="393" hidden="1" customWidth="1"/>
    <col min="3332" max="3332" width="12.84375" style="393" hidden="1" customWidth="1"/>
    <col min="3333" max="3338" width="12.15234375" style="393" hidden="1" customWidth="1"/>
    <col min="3339" max="3349" width="8.84375" style="393" hidden="1" customWidth="1"/>
    <col min="3350" max="3584" width="8.84375" style="393" hidden="1"/>
    <col min="3585" max="3585" width="32.69140625" style="393" hidden="1" customWidth="1"/>
    <col min="3586" max="3587" width="12.15234375" style="393" hidden="1" customWidth="1"/>
    <col min="3588" max="3588" width="12.84375" style="393" hidden="1" customWidth="1"/>
    <col min="3589" max="3594" width="12.15234375" style="393" hidden="1" customWidth="1"/>
    <col min="3595" max="3605" width="8.84375" style="393" hidden="1" customWidth="1"/>
    <col min="3606" max="3840" width="8.84375" style="393" hidden="1"/>
    <col min="3841" max="3841" width="32.69140625" style="393" hidden="1" customWidth="1"/>
    <col min="3842" max="3843" width="12.15234375" style="393" hidden="1" customWidth="1"/>
    <col min="3844" max="3844" width="12.84375" style="393" hidden="1" customWidth="1"/>
    <col min="3845" max="3850" width="12.15234375" style="393" hidden="1" customWidth="1"/>
    <col min="3851" max="3861" width="8.84375" style="393" hidden="1" customWidth="1"/>
    <col min="3862" max="4096" width="8.84375" style="393" hidden="1"/>
    <col min="4097" max="4097" width="32.69140625" style="393" hidden="1" customWidth="1"/>
    <col min="4098" max="4099" width="12.15234375" style="393" hidden="1" customWidth="1"/>
    <col min="4100" max="4100" width="12.84375" style="393" hidden="1" customWidth="1"/>
    <col min="4101" max="4106" width="12.15234375" style="393" hidden="1" customWidth="1"/>
    <col min="4107" max="4117" width="8.84375" style="393" hidden="1" customWidth="1"/>
    <col min="4118" max="4352" width="8.84375" style="393" hidden="1"/>
    <col min="4353" max="4353" width="32.69140625" style="393" hidden="1" customWidth="1"/>
    <col min="4354" max="4355" width="12.15234375" style="393" hidden="1" customWidth="1"/>
    <col min="4356" max="4356" width="12.84375" style="393" hidden="1" customWidth="1"/>
    <col min="4357" max="4362" width="12.15234375" style="393" hidden="1" customWidth="1"/>
    <col min="4363" max="4373" width="8.84375" style="393" hidden="1" customWidth="1"/>
    <col min="4374" max="4608" width="8.84375" style="393" hidden="1"/>
    <col min="4609" max="4609" width="32.69140625" style="393" hidden="1" customWidth="1"/>
    <col min="4610" max="4611" width="12.15234375" style="393" hidden="1" customWidth="1"/>
    <col min="4612" max="4612" width="12.84375" style="393" hidden="1" customWidth="1"/>
    <col min="4613" max="4618" width="12.15234375" style="393" hidden="1" customWidth="1"/>
    <col min="4619" max="4629" width="8.84375" style="393" hidden="1" customWidth="1"/>
    <col min="4630" max="4864" width="8.84375" style="393" hidden="1"/>
    <col min="4865" max="4865" width="32.69140625" style="393" hidden="1" customWidth="1"/>
    <col min="4866" max="4867" width="12.15234375" style="393" hidden="1" customWidth="1"/>
    <col min="4868" max="4868" width="12.84375" style="393" hidden="1" customWidth="1"/>
    <col min="4869" max="4874" width="12.15234375" style="393" hidden="1" customWidth="1"/>
    <col min="4875" max="4885" width="8.84375" style="393" hidden="1" customWidth="1"/>
    <col min="4886" max="5120" width="8.84375" style="393" hidden="1"/>
    <col min="5121" max="5121" width="32.69140625" style="393" hidden="1" customWidth="1"/>
    <col min="5122" max="5123" width="12.15234375" style="393" hidden="1" customWidth="1"/>
    <col min="5124" max="5124" width="12.84375" style="393" hidden="1" customWidth="1"/>
    <col min="5125" max="5130" width="12.15234375" style="393" hidden="1" customWidth="1"/>
    <col min="5131" max="5141" width="8.84375" style="393" hidden="1" customWidth="1"/>
    <col min="5142" max="5376" width="8.84375" style="393" hidden="1"/>
    <col min="5377" max="5377" width="32.69140625" style="393" hidden="1" customWidth="1"/>
    <col min="5378" max="5379" width="12.15234375" style="393" hidden="1" customWidth="1"/>
    <col min="5380" max="5380" width="12.84375" style="393" hidden="1" customWidth="1"/>
    <col min="5381" max="5386" width="12.15234375" style="393" hidden="1" customWidth="1"/>
    <col min="5387" max="5397" width="8.84375" style="393" hidden="1" customWidth="1"/>
    <col min="5398" max="5632" width="8.84375" style="393" hidden="1"/>
    <col min="5633" max="5633" width="32.69140625" style="393" hidden="1" customWidth="1"/>
    <col min="5634" max="5635" width="12.15234375" style="393" hidden="1" customWidth="1"/>
    <col min="5636" max="5636" width="12.84375" style="393" hidden="1" customWidth="1"/>
    <col min="5637" max="5642" width="12.15234375" style="393" hidden="1" customWidth="1"/>
    <col min="5643" max="5653" width="8.84375" style="393" hidden="1" customWidth="1"/>
    <col min="5654" max="5888" width="8.84375" style="393" hidden="1"/>
    <col min="5889" max="5889" width="32.69140625" style="393" hidden="1" customWidth="1"/>
    <col min="5890" max="5891" width="12.15234375" style="393" hidden="1" customWidth="1"/>
    <col min="5892" max="5892" width="12.84375" style="393" hidden="1" customWidth="1"/>
    <col min="5893" max="5898" width="12.15234375" style="393" hidden="1" customWidth="1"/>
    <col min="5899" max="5909" width="8.84375" style="393" hidden="1" customWidth="1"/>
    <col min="5910" max="6144" width="8.84375" style="393" hidden="1"/>
    <col min="6145" max="6145" width="32.69140625" style="393" hidden="1" customWidth="1"/>
    <col min="6146" max="6147" width="12.15234375" style="393" hidden="1" customWidth="1"/>
    <col min="6148" max="6148" width="12.84375" style="393" hidden="1" customWidth="1"/>
    <col min="6149" max="6154" width="12.15234375" style="393" hidden="1" customWidth="1"/>
    <col min="6155" max="6165" width="8.84375" style="393" hidden="1" customWidth="1"/>
    <col min="6166" max="6400" width="8.84375" style="393" hidden="1"/>
    <col min="6401" max="6401" width="32.69140625" style="393" hidden="1" customWidth="1"/>
    <col min="6402" max="6403" width="12.15234375" style="393" hidden="1" customWidth="1"/>
    <col min="6404" max="6404" width="12.84375" style="393" hidden="1" customWidth="1"/>
    <col min="6405" max="6410" width="12.15234375" style="393" hidden="1" customWidth="1"/>
    <col min="6411" max="6421" width="8.84375" style="393" hidden="1" customWidth="1"/>
    <col min="6422" max="6656" width="8.84375" style="393" hidden="1"/>
    <col min="6657" max="6657" width="32.69140625" style="393" hidden="1" customWidth="1"/>
    <col min="6658" max="6659" width="12.15234375" style="393" hidden="1" customWidth="1"/>
    <col min="6660" max="6660" width="12.84375" style="393" hidden="1" customWidth="1"/>
    <col min="6661" max="6666" width="12.15234375" style="393" hidden="1" customWidth="1"/>
    <col min="6667" max="6677" width="8.84375" style="393" hidden="1" customWidth="1"/>
    <col min="6678" max="6912" width="8.84375" style="393" hidden="1"/>
    <col min="6913" max="6913" width="32.69140625" style="393" hidden="1" customWidth="1"/>
    <col min="6914" max="6915" width="12.15234375" style="393" hidden="1" customWidth="1"/>
    <col min="6916" max="6916" width="12.84375" style="393" hidden="1" customWidth="1"/>
    <col min="6917" max="6922" width="12.15234375" style="393" hidden="1" customWidth="1"/>
    <col min="6923" max="6933" width="8.84375" style="393" hidden="1" customWidth="1"/>
    <col min="6934" max="7168" width="8.84375" style="393" hidden="1"/>
    <col min="7169" max="7169" width="32.69140625" style="393" hidden="1" customWidth="1"/>
    <col min="7170" max="7171" width="12.15234375" style="393" hidden="1" customWidth="1"/>
    <col min="7172" max="7172" width="12.84375" style="393" hidden="1" customWidth="1"/>
    <col min="7173" max="7178" width="12.15234375" style="393" hidden="1" customWidth="1"/>
    <col min="7179" max="7189" width="8.84375" style="393" hidden="1" customWidth="1"/>
    <col min="7190" max="7424" width="8.84375" style="393" hidden="1"/>
    <col min="7425" max="7425" width="32.69140625" style="393" hidden="1" customWidth="1"/>
    <col min="7426" max="7427" width="12.15234375" style="393" hidden="1" customWidth="1"/>
    <col min="7428" max="7428" width="12.84375" style="393" hidden="1" customWidth="1"/>
    <col min="7429" max="7434" width="12.15234375" style="393" hidden="1" customWidth="1"/>
    <col min="7435" max="7445" width="8.84375" style="393" hidden="1" customWidth="1"/>
    <col min="7446" max="7680" width="8.84375" style="393" hidden="1"/>
    <col min="7681" max="7681" width="32.69140625" style="393" hidden="1" customWidth="1"/>
    <col min="7682" max="7683" width="12.15234375" style="393" hidden="1" customWidth="1"/>
    <col min="7684" max="7684" width="12.84375" style="393" hidden="1" customWidth="1"/>
    <col min="7685" max="7690" width="12.15234375" style="393" hidden="1" customWidth="1"/>
    <col min="7691" max="7701" width="8.84375" style="393" hidden="1" customWidth="1"/>
    <col min="7702" max="7936" width="8.84375" style="393" hidden="1"/>
    <col min="7937" max="7937" width="32.69140625" style="393" hidden="1" customWidth="1"/>
    <col min="7938" max="7939" width="12.15234375" style="393" hidden="1" customWidth="1"/>
    <col min="7940" max="7940" width="12.84375" style="393" hidden="1" customWidth="1"/>
    <col min="7941" max="7946" width="12.15234375" style="393" hidden="1" customWidth="1"/>
    <col min="7947" max="7957" width="8.84375" style="393" hidden="1" customWidth="1"/>
    <col min="7958" max="8192" width="8.84375" style="393" hidden="1"/>
    <col min="8193" max="8193" width="32.69140625" style="393" hidden="1" customWidth="1"/>
    <col min="8194" max="8195" width="12.15234375" style="393" hidden="1" customWidth="1"/>
    <col min="8196" max="8196" width="12.84375" style="393" hidden="1" customWidth="1"/>
    <col min="8197" max="8202" width="12.15234375" style="393" hidden="1" customWidth="1"/>
    <col min="8203" max="8213" width="8.84375" style="393" hidden="1" customWidth="1"/>
    <col min="8214" max="8448" width="8.84375" style="393" hidden="1"/>
    <col min="8449" max="8449" width="32.69140625" style="393" hidden="1" customWidth="1"/>
    <col min="8450" max="8451" width="12.15234375" style="393" hidden="1" customWidth="1"/>
    <col min="8452" max="8452" width="12.84375" style="393" hidden="1" customWidth="1"/>
    <col min="8453" max="8458" width="12.15234375" style="393" hidden="1" customWidth="1"/>
    <col min="8459" max="8469" width="8.84375" style="393" hidden="1" customWidth="1"/>
    <col min="8470" max="8704" width="8.84375" style="393" hidden="1"/>
    <col min="8705" max="8705" width="32.69140625" style="393" hidden="1" customWidth="1"/>
    <col min="8706" max="8707" width="12.15234375" style="393" hidden="1" customWidth="1"/>
    <col min="8708" max="8708" width="12.84375" style="393" hidden="1" customWidth="1"/>
    <col min="8709" max="8714" width="12.15234375" style="393" hidden="1" customWidth="1"/>
    <col min="8715" max="8725" width="8.84375" style="393" hidden="1" customWidth="1"/>
    <col min="8726" max="8960" width="8.84375" style="393" hidden="1"/>
    <col min="8961" max="8961" width="32.69140625" style="393" hidden="1" customWidth="1"/>
    <col min="8962" max="8963" width="12.15234375" style="393" hidden="1" customWidth="1"/>
    <col min="8964" max="8964" width="12.84375" style="393" hidden="1" customWidth="1"/>
    <col min="8965" max="8970" width="12.15234375" style="393" hidden="1" customWidth="1"/>
    <col min="8971" max="8981" width="8.84375" style="393" hidden="1" customWidth="1"/>
    <col min="8982" max="9216" width="8.84375" style="393" hidden="1"/>
    <col min="9217" max="9217" width="32.69140625" style="393" hidden="1" customWidth="1"/>
    <col min="9218" max="9219" width="12.15234375" style="393" hidden="1" customWidth="1"/>
    <col min="9220" max="9220" width="12.84375" style="393" hidden="1" customWidth="1"/>
    <col min="9221" max="9226" width="12.15234375" style="393" hidden="1" customWidth="1"/>
    <col min="9227" max="9237" width="8.84375" style="393" hidden="1" customWidth="1"/>
    <col min="9238" max="9472" width="8.84375" style="393" hidden="1"/>
    <col min="9473" max="9473" width="32.69140625" style="393" hidden="1" customWidth="1"/>
    <col min="9474" max="9475" width="12.15234375" style="393" hidden="1" customWidth="1"/>
    <col min="9476" max="9476" width="12.84375" style="393" hidden="1" customWidth="1"/>
    <col min="9477" max="9482" width="12.15234375" style="393" hidden="1" customWidth="1"/>
    <col min="9483" max="9493" width="8.84375" style="393" hidden="1" customWidth="1"/>
    <col min="9494" max="9728" width="8.84375" style="393" hidden="1"/>
    <col min="9729" max="9729" width="32.69140625" style="393" hidden="1" customWidth="1"/>
    <col min="9730" max="9731" width="12.15234375" style="393" hidden="1" customWidth="1"/>
    <col min="9732" max="9732" width="12.84375" style="393" hidden="1" customWidth="1"/>
    <col min="9733" max="9738" width="12.15234375" style="393" hidden="1" customWidth="1"/>
    <col min="9739" max="9749" width="8.84375" style="393" hidden="1" customWidth="1"/>
    <col min="9750" max="9984" width="8.84375" style="393" hidden="1"/>
    <col min="9985" max="9985" width="32.69140625" style="393" hidden="1" customWidth="1"/>
    <col min="9986" max="9987" width="12.15234375" style="393" hidden="1" customWidth="1"/>
    <col min="9988" max="9988" width="12.84375" style="393" hidden="1" customWidth="1"/>
    <col min="9989" max="9994" width="12.15234375" style="393" hidden="1" customWidth="1"/>
    <col min="9995" max="10005" width="8.84375" style="393" hidden="1" customWidth="1"/>
    <col min="10006" max="10240" width="8.84375" style="393" hidden="1"/>
    <col min="10241" max="10241" width="32.69140625" style="393" hidden="1" customWidth="1"/>
    <col min="10242" max="10243" width="12.15234375" style="393" hidden="1" customWidth="1"/>
    <col min="10244" max="10244" width="12.84375" style="393" hidden="1" customWidth="1"/>
    <col min="10245" max="10250" width="12.15234375" style="393" hidden="1" customWidth="1"/>
    <col min="10251" max="10261" width="8.84375" style="393" hidden="1" customWidth="1"/>
    <col min="10262" max="10496" width="8.84375" style="393" hidden="1"/>
    <col min="10497" max="10497" width="32.69140625" style="393" hidden="1" customWidth="1"/>
    <col min="10498" max="10499" width="12.15234375" style="393" hidden="1" customWidth="1"/>
    <col min="10500" max="10500" width="12.84375" style="393" hidden="1" customWidth="1"/>
    <col min="10501" max="10506" width="12.15234375" style="393" hidden="1" customWidth="1"/>
    <col min="10507" max="10517" width="8.84375" style="393" hidden="1" customWidth="1"/>
    <col min="10518" max="10752" width="8.84375" style="393" hidden="1"/>
    <col min="10753" max="10753" width="32.69140625" style="393" hidden="1" customWidth="1"/>
    <col min="10754" max="10755" width="12.15234375" style="393" hidden="1" customWidth="1"/>
    <col min="10756" max="10756" width="12.84375" style="393" hidden="1" customWidth="1"/>
    <col min="10757" max="10762" width="12.15234375" style="393" hidden="1" customWidth="1"/>
    <col min="10763" max="10773" width="8.84375" style="393" hidden="1" customWidth="1"/>
    <col min="10774" max="11008" width="8.84375" style="393" hidden="1"/>
    <col min="11009" max="11009" width="32.69140625" style="393" hidden="1" customWidth="1"/>
    <col min="11010" max="11011" width="12.15234375" style="393" hidden="1" customWidth="1"/>
    <col min="11012" max="11012" width="12.84375" style="393" hidden="1" customWidth="1"/>
    <col min="11013" max="11018" width="12.15234375" style="393" hidden="1" customWidth="1"/>
    <col min="11019" max="11029" width="8.84375" style="393" hidden="1" customWidth="1"/>
    <col min="11030" max="11264" width="8.84375" style="393" hidden="1"/>
    <col min="11265" max="11265" width="32.69140625" style="393" hidden="1" customWidth="1"/>
    <col min="11266" max="11267" width="12.15234375" style="393" hidden="1" customWidth="1"/>
    <col min="11268" max="11268" width="12.84375" style="393" hidden="1" customWidth="1"/>
    <col min="11269" max="11274" width="12.15234375" style="393" hidden="1" customWidth="1"/>
    <col min="11275" max="11285" width="8.84375" style="393" hidden="1" customWidth="1"/>
    <col min="11286" max="11520" width="8.84375" style="393" hidden="1"/>
    <col min="11521" max="11521" width="32.69140625" style="393" hidden="1" customWidth="1"/>
    <col min="11522" max="11523" width="12.15234375" style="393" hidden="1" customWidth="1"/>
    <col min="11524" max="11524" width="12.84375" style="393" hidden="1" customWidth="1"/>
    <col min="11525" max="11530" width="12.15234375" style="393" hidden="1" customWidth="1"/>
    <col min="11531" max="11541" width="8.84375" style="393" hidden="1" customWidth="1"/>
    <col min="11542" max="11776" width="8.84375" style="393" hidden="1"/>
    <col min="11777" max="11777" width="32.69140625" style="393" hidden="1" customWidth="1"/>
    <col min="11778" max="11779" width="12.15234375" style="393" hidden="1" customWidth="1"/>
    <col min="11780" max="11780" width="12.84375" style="393" hidden="1" customWidth="1"/>
    <col min="11781" max="11786" width="12.15234375" style="393" hidden="1" customWidth="1"/>
    <col min="11787" max="11797" width="8.84375" style="393" hidden="1" customWidth="1"/>
    <col min="11798" max="12032" width="8.84375" style="393" hidden="1"/>
    <col min="12033" max="12033" width="32.69140625" style="393" hidden="1" customWidth="1"/>
    <col min="12034" max="12035" width="12.15234375" style="393" hidden="1" customWidth="1"/>
    <col min="12036" max="12036" width="12.84375" style="393" hidden="1" customWidth="1"/>
    <col min="12037" max="12042" width="12.15234375" style="393" hidden="1" customWidth="1"/>
    <col min="12043" max="12053" width="8.84375" style="393" hidden="1" customWidth="1"/>
    <col min="12054" max="12288" width="8.84375" style="393" hidden="1"/>
    <col min="12289" max="12289" width="32.69140625" style="393" hidden="1" customWidth="1"/>
    <col min="12290" max="12291" width="12.15234375" style="393" hidden="1" customWidth="1"/>
    <col min="12292" max="12292" width="12.84375" style="393" hidden="1" customWidth="1"/>
    <col min="12293" max="12298" width="12.15234375" style="393" hidden="1" customWidth="1"/>
    <col min="12299" max="12309" width="8.84375" style="393" hidden="1" customWidth="1"/>
    <col min="12310" max="12544" width="8.84375" style="393" hidden="1"/>
    <col min="12545" max="12545" width="32.69140625" style="393" hidden="1" customWidth="1"/>
    <col min="12546" max="12547" width="12.15234375" style="393" hidden="1" customWidth="1"/>
    <col min="12548" max="12548" width="12.84375" style="393" hidden="1" customWidth="1"/>
    <col min="12549" max="12554" width="12.15234375" style="393" hidden="1" customWidth="1"/>
    <col min="12555" max="12565" width="8.84375" style="393" hidden="1" customWidth="1"/>
    <col min="12566" max="12800" width="8.84375" style="393" hidden="1"/>
    <col min="12801" max="12801" width="32.69140625" style="393" hidden="1" customWidth="1"/>
    <col min="12802" max="12803" width="12.15234375" style="393" hidden="1" customWidth="1"/>
    <col min="12804" max="12804" width="12.84375" style="393" hidden="1" customWidth="1"/>
    <col min="12805" max="12810" width="12.15234375" style="393" hidden="1" customWidth="1"/>
    <col min="12811" max="12821" width="8.84375" style="393" hidden="1" customWidth="1"/>
    <col min="12822" max="13056" width="8.84375" style="393" hidden="1"/>
    <col min="13057" max="13057" width="32.69140625" style="393" hidden="1" customWidth="1"/>
    <col min="13058" max="13059" width="12.15234375" style="393" hidden="1" customWidth="1"/>
    <col min="13060" max="13060" width="12.84375" style="393" hidden="1" customWidth="1"/>
    <col min="13061" max="13066" width="12.15234375" style="393" hidden="1" customWidth="1"/>
    <col min="13067" max="13077" width="8.84375" style="393" hidden="1" customWidth="1"/>
    <col min="13078" max="13312" width="8.84375" style="393" hidden="1"/>
    <col min="13313" max="13313" width="32.69140625" style="393" hidden="1" customWidth="1"/>
    <col min="13314" max="13315" width="12.15234375" style="393" hidden="1" customWidth="1"/>
    <col min="13316" max="13316" width="12.84375" style="393" hidden="1" customWidth="1"/>
    <col min="13317" max="13322" width="12.15234375" style="393" hidden="1" customWidth="1"/>
    <col min="13323" max="13333" width="8.84375" style="393" hidden="1" customWidth="1"/>
    <col min="13334" max="13568" width="8.84375" style="393" hidden="1"/>
    <col min="13569" max="13569" width="32.69140625" style="393" hidden="1" customWidth="1"/>
    <col min="13570" max="13571" width="12.15234375" style="393" hidden="1" customWidth="1"/>
    <col min="13572" max="13572" width="12.84375" style="393" hidden="1" customWidth="1"/>
    <col min="13573" max="13578" width="12.15234375" style="393" hidden="1" customWidth="1"/>
    <col min="13579" max="13589" width="8.84375" style="393" hidden="1" customWidth="1"/>
    <col min="13590" max="13824" width="8.84375" style="393" hidden="1"/>
    <col min="13825" max="13825" width="32.69140625" style="393" hidden="1" customWidth="1"/>
    <col min="13826" max="13827" width="12.15234375" style="393" hidden="1" customWidth="1"/>
    <col min="13828" max="13828" width="12.84375" style="393" hidden="1" customWidth="1"/>
    <col min="13829" max="13834" width="12.15234375" style="393" hidden="1" customWidth="1"/>
    <col min="13835" max="13845" width="8.84375" style="393" hidden="1" customWidth="1"/>
    <col min="13846" max="14080" width="8.84375" style="393" hidden="1"/>
    <col min="14081" max="14081" width="32.69140625" style="393" hidden="1" customWidth="1"/>
    <col min="14082" max="14083" width="12.15234375" style="393" hidden="1" customWidth="1"/>
    <col min="14084" max="14084" width="12.84375" style="393" hidden="1" customWidth="1"/>
    <col min="14085" max="14090" width="12.15234375" style="393" hidden="1" customWidth="1"/>
    <col min="14091" max="14101" width="8.84375" style="393" hidden="1" customWidth="1"/>
    <col min="14102" max="14336" width="8.84375" style="393" hidden="1"/>
    <col min="14337" max="14337" width="32.69140625" style="393" hidden="1" customWidth="1"/>
    <col min="14338" max="14339" width="12.15234375" style="393" hidden="1" customWidth="1"/>
    <col min="14340" max="14340" width="12.84375" style="393" hidden="1" customWidth="1"/>
    <col min="14341" max="14346" width="12.15234375" style="393" hidden="1" customWidth="1"/>
    <col min="14347" max="14357" width="8.84375" style="393" hidden="1" customWidth="1"/>
    <col min="14358" max="14592" width="8.84375" style="393" hidden="1"/>
    <col min="14593" max="14593" width="32.69140625" style="393" hidden="1" customWidth="1"/>
    <col min="14594" max="14595" width="12.15234375" style="393" hidden="1" customWidth="1"/>
    <col min="14596" max="14596" width="12.84375" style="393" hidden="1" customWidth="1"/>
    <col min="14597" max="14602" width="12.15234375" style="393" hidden="1" customWidth="1"/>
    <col min="14603" max="14613" width="8.84375" style="393" hidden="1" customWidth="1"/>
    <col min="14614" max="14848" width="8.84375" style="393" hidden="1"/>
    <col min="14849" max="14849" width="32.69140625" style="393" hidden="1" customWidth="1"/>
    <col min="14850" max="14851" width="12.15234375" style="393" hidden="1" customWidth="1"/>
    <col min="14852" max="14852" width="12.84375" style="393" hidden="1" customWidth="1"/>
    <col min="14853" max="14858" width="12.15234375" style="393" hidden="1" customWidth="1"/>
    <col min="14859" max="14869" width="8.84375" style="393" hidden="1" customWidth="1"/>
    <col min="14870" max="15104" width="8.84375" style="393" hidden="1"/>
    <col min="15105" max="15105" width="32.69140625" style="393" hidden="1" customWidth="1"/>
    <col min="15106" max="15107" width="12.15234375" style="393" hidden="1" customWidth="1"/>
    <col min="15108" max="15108" width="12.84375" style="393" hidden="1" customWidth="1"/>
    <col min="15109" max="15114" width="12.15234375" style="393" hidden="1" customWidth="1"/>
    <col min="15115" max="15125" width="8.84375" style="393" hidden="1" customWidth="1"/>
    <col min="15126" max="15360" width="8.84375" style="393" hidden="1"/>
    <col min="15361" max="15361" width="32.69140625" style="393" hidden="1" customWidth="1"/>
    <col min="15362" max="15363" width="12.15234375" style="393" hidden="1" customWidth="1"/>
    <col min="15364" max="15364" width="12.84375" style="393" hidden="1" customWidth="1"/>
    <col min="15365" max="15370" width="12.15234375" style="393" hidden="1" customWidth="1"/>
    <col min="15371" max="15381" width="8.84375" style="393" hidden="1" customWidth="1"/>
    <col min="15382" max="15616" width="8.84375" style="393" hidden="1"/>
    <col min="15617" max="15617" width="32.69140625" style="393" hidden="1" customWidth="1"/>
    <col min="15618" max="15619" width="12.15234375" style="393" hidden="1" customWidth="1"/>
    <col min="15620" max="15620" width="12.84375" style="393" hidden="1" customWidth="1"/>
    <col min="15621" max="15626" width="12.15234375" style="393" hidden="1" customWidth="1"/>
    <col min="15627" max="15637" width="8.84375" style="393" hidden="1" customWidth="1"/>
    <col min="15638" max="15872" width="8.84375" style="393" hidden="1"/>
    <col min="15873" max="15873" width="32.69140625" style="393" hidden="1" customWidth="1"/>
    <col min="15874" max="15875" width="12.15234375" style="393" hidden="1" customWidth="1"/>
    <col min="15876" max="15876" width="12.84375" style="393" hidden="1" customWidth="1"/>
    <col min="15877" max="15882" width="12.15234375" style="393" hidden="1" customWidth="1"/>
    <col min="15883" max="15893" width="8.84375" style="393" hidden="1" customWidth="1"/>
    <col min="15894" max="16128" width="8.84375" style="393" hidden="1"/>
    <col min="16129" max="16129" width="32.69140625" style="393" hidden="1" customWidth="1"/>
    <col min="16130" max="16131" width="12.15234375" style="393" hidden="1" customWidth="1"/>
    <col min="16132" max="16132" width="12.84375" style="393" hidden="1" customWidth="1"/>
    <col min="16133" max="16138" width="12.15234375" style="393" hidden="1" customWidth="1"/>
    <col min="16139" max="16149" width="8.84375" style="393" hidden="1" customWidth="1"/>
    <col min="16150" max="16384" width="8.84375" style="393" hidden="1"/>
  </cols>
  <sheetData>
    <row r="1" spans="1:11" s="356" customFormat="1" ht="12.9">
      <c r="A1" s="1871" t="s">
        <v>1228</v>
      </c>
      <c r="B1" s="1872"/>
      <c r="C1" s="1872"/>
      <c r="D1" s="1872"/>
      <c r="E1" s="1872"/>
      <c r="F1" s="1872"/>
      <c r="G1" s="1872"/>
      <c r="H1" s="1872"/>
      <c r="I1" s="1872"/>
      <c r="J1" s="1873"/>
      <c r="K1" s="355"/>
    </row>
    <row r="2" spans="1:11" s="401" customFormat="1" ht="69.45">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1000000</v>
      </c>
      <c r="C10" s="362"/>
      <c r="D10" s="362"/>
      <c r="E10" s="361">
        <f>'Sources and Uses Budget'!S10</f>
        <v>1000000</v>
      </c>
      <c r="F10" s="362"/>
      <c r="G10" s="362"/>
      <c r="H10" s="361">
        <f>'Sources and Uses Budget'!T10</f>
        <v>0</v>
      </c>
      <c r="I10" s="362"/>
      <c r="J10" s="362"/>
      <c r="K10" s="359"/>
    </row>
    <row r="11" spans="1:11" s="360" customFormat="1">
      <c r="A11" s="365" t="s">
        <v>597</v>
      </c>
      <c r="B11" s="361">
        <f>'Sources and Uses Budget'!C11</f>
        <v>1000000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15">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4000000</v>
      </c>
      <c r="C29" s="362"/>
      <c r="D29" s="362"/>
      <c r="E29" s="361">
        <f>'Sources and Uses Budget'!S29</f>
        <v>4000000</v>
      </c>
      <c r="F29" s="362"/>
      <c r="G29" s="362"/>
      <c r="H29" s="361">
        <f>'Sources and Uses Budget'!T29</f>
        <v>0</v>
      </c>
      <c r="I29" s="362"/>
      <c r="J29" s="362"/>
      <c r="K29" s="359"/>
    </row>
    <row r="30" spans="1:11" s="360" customFormat="1">
      <c r="A30" s="145" t="s">
        <v>600</v>
      </c>
      <c r="B30" s="361">
        <f>'Sources and Uses Budget'!C30</f>
        <v>54462790</v>
      </c>
      <c r="C30" s="362"/>
      <c r="D30" s="362"/>
      <c r="E30" s="361">
        <f>'Sources and Uses Budget'!S30</f>
        <v>54462790</v>
      </c>
      <c r="F30" s="362"/>
      <c r="G30" s="362"/>
      <c r="H30" s="361">
        <f>'Sources and Uses Budget'!T30</f>
        <v>0</v>
      </c>
      <c r="I30" s="362"/>
      <c r="J30" s="362"/>
      <c r="K30" s="359"/>
    </row>
    <row r="31" spans="1:11" s="360" customFormat="1">
      <c r="A31" s="145" t="s">
        <v>601</v>
      </c>
      <c r="B31" s="361">
        <f>'Sources and Uses Budget'!C31</f>
        <v>3770000</v>
      </c>
      <c r="C31" s="362"/>
      <c r="D31" s="362"/>
      <c r="E31" s="361">
        <f>'Sources and Uses Budget'!S31</f>
        <v>3770000</v>
      </c>
      <c r="F31" s="362"/>
      <c r="G31" s="362"/>
      <c r="H31" s="361">
        <f>'Sources and Uses Budget'!T31</f>
        <v>0</v>
      </c>
      <c r="I31" s="362"/>
      <c r="J31" s="362"/>
      <c r="K31" s="359"/>
    </row>
    <row r="32" spans="1:11" s="360" customFormat="1">
      <c r="A32" s="145" t="s">
        <v>137</v>
      </c>
      <c r="B32" s="361">
        <f>'Sources and Uses Budget'!C32</f>
        <v>1587140</v>
      </c>
      <c r="C32" s="362"/>
      <c r="D32" s="362"/>
      <c r="E32" s="361">
        <f>'Sources and Uses Budget'!S32</f>
        <v>1587140</v>
      </c>
      <c r="F32" s="362"/>
      <c r="G32" s="362"/>
      <c r="H32" s="361">
        <f>'Sources and Uses Budget'!T32</f>
        <v>0</v>
      </c>
      <c r="I32" s="362"/>
      <c r="J32" s="362"/>
      <c r="K32" s="359"/>
    </row>
    <row r="33" spans="1:11" s="360" customFormat="1">
      <c r="A33" s="145" t="s">
        <v>138</v>
      </c>
      <c r="B33" s="361">
        <f>'Sources and Uses Budget'!C33</f>
        <v>1587139</v>
      </c>
      <c r="C33" s="362"/>
      <c r="D33" s="362"/>
      <c r="E33" s="361">
        <f>'Sources and Uses Budget'!S33</f>
        <v>1587139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2012153</v>
      </c>
      <c r="C35" s="362"/>
      <c r="D35" s="362"/>
      <c r="E35" s="361">
        <f>'Sources and Uses Budget'!S35</f>
        <v>2012153</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67419222</v>
      </c>
      <c r="C38" s="361">
        <f>SUM(C29:C37)</f>
        <v>0</v>
      </c>
      <c r="D38" s="361">
        <f>SUM(D29:D37)</f>
        <v>0</v>
      </c>
      <c r="E38" s="361">
        <f>'Sources and Uses Budget'!S38</f>
        <v>67419222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c r="E40" s="361">
        <f>'Sources and Uses Budget'!S40</f>
        <v>1500000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1500000</v>
      </c>
      <c r="C42" s="361">
        <f>SUM(C39:C41)</f>
        <v>0</v>
      </c>
      <c r="D42" s="361">
        <f>SUM(D39:D41)</f>
        <v>0</v>
      </c>
      <c r="E42" s="361">
        <f>'Sources and Uses Budget'!S42</f>
        <v>1500000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4569964</v>
      </c>
      <c r="C43" s="362"/>
      <c r="D43" s="362"/>
      <c r="E43" s="361">
        <f>'Sources and Uses Budget'!S43</f>
        <v>4569964</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11608032</v>
      </c>
      <c r="C45" s="362"/>
      <c r="D45" s="362"/>
      <c r="E45" s="361">
        <f>'Sources and Uses Budget'!S45</f>
        <v>4614632</v>
      </c>
      <c r="F45" s="362"/>
      <c r="G45" s="362"/>
      <c r="H45" s="361">
        <f>'Sources and Uses Budget'!T45</f>
        <v>0</v>
      </c>
      <c r="I45" s="362"/>
      <c r="J45" s="362"/>
      <c r="K45" s="359"/>
    </row>
    <row r="46" spans="1:11" s="360" customFormat="1">
      <c r="A46" s="364" t="s">
        <v>151</v>
      </c>
      <c r="B46" s="361">
        <f>'Sources and Uses Budget'!C46</f>
        <v>589523</v>
      </c>
      <c r="C46" s="362"/>
      <c r="D46" s="362"/>
      <c r="E46" s="361">
        <f>'Sources and Uses Budget'!S46</f>
        <v>589523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176303</v>
      </c>
      <c r="C49" s="362"/>
      <c r="D49" s="362"/>
      <c r="E49" s="361">
        <f>'Sources and Uses Budget'!S49</f>
        <v>176303</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2640000</v>
      </c>
      <c r="C52" s="362"/>
      <c r="D52" s="362"/>
      <c r="E52" s="361">
        <f>'Sources and Uses Budget'!S52</f>
        <v>2640000</v>
      </c>
      <c r="F52" s="362"/>
      <c r="G52" s="362"/>
      <c r="H52" s="361">
        <f>'Sources and Uses Budget'!T52</f>
        <v>0</v>
      </c>
      <c r="I52" s="362"/>
      <c r="J52" s="362"/>
      <c r="K52" s="359"/>
    </row>
    <row r="53" spans="1:11" s="360" customFormat="1">
      <c r="A53" s="364" t="str">
        <f>'Sources and Uses Budget'!$A53</f>
        <v>Lender Expenses</v>
      </c>
      <c r="B53" s="361">
        <f>'Sources and Uses Budget'!C53</f>
        <v>45000</v>
      </c>
      <c r="C53" s="362"/>
      <c r="D53" s="362"/>
      <c r="E53" s="361">
        <f>'Sources and Uses Budget'!S53</f>
        <v>45000</v>
      </c>
      <c r="F53" s="362"/>
      <c r="G53" s="362"/>
      <c r="H53" s="361">
        <f>'Sources and Uses Budget'!T53</f>
        <v>0</v>
      </c>
      <c r="I53" s="362"/>
      <c r="J53" s="362"/>
      <c r="K53" s="359"/>
    </row>
    <row r="54" spans="1:11" s="369" customFormat="1">
      <c r="A54" s="365" t="s">
        <v>157</v>
      </c>
      <c r="B54" s="361">
        <f>'Sources and Uses Budget'!C54</f>
        <v>15108858</v>
      </c>
      <c r="C54" s="367">
        <f>SUM(C45:C53)</f>
        <v>0</v>
      </c>
      <c r="D54" s="367">
        <f>SUM(D45:D53)</f>
        <v>0</v>
      </c>
      <c r="E54" s="361">
        <f>'Sources and Uses Budget'!S54</f>
        <v>8115458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310643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325643</v>
      </c>
      <c r="C62" s="361">
        <f>SUM(C56:C61)</f>
        <v>0</v>
      </c>
      <c r="D62" s="361">
        <f>SUM(D56:D61)</f>
        <v>0</v>
      </c>
      <c r="E62" s="363"/>
      <c r="F62" s="363"/>
      <c r="G62" s="363"/>
      <c r="H62" s="363"/>
      <c r="I62" s="363"/>
      <c r="J62" s="363"/>
      <c r="K62" s="359"/>
    </row>
    <row r="63" spans="1:11" s="360" customFormat="1">
      <c r="A63" s="370" t="s">
        <v>302</v>
      </c>
      <c r="B63" s="361">
        <f>'Sources and Uses Budget'!C63</f>
        <v>89923687</v>
      </c>
      <c r="C63" s="361">
        <f>SUM(C8+C11+C13+C14+C15+C26+C27+C38+C42+C43+C54+C62)</f>
        <v>0</v>
      </c>
      <c r="D63" s="361">
        <f>SUM(D8+D11+D13+D14+D15+D26+D27+D38+D42+D43+D54+D62)</f>
        <v>0</v>
      </c>
      <c r="E63" s="361">
        <f>'Sources and Uses Budget'!S63</f>
        <v>82604644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15">
      <c r="A64" s="141" t="s">
        <v>1645</v>
      </c>
      <c r="B64" s="358"/>
      <c r="C64" s="358"/>
      <c r="D64" s="358"/>
      <c r="E64" s="358"/>
      <c r="F64" s="358"/>
      <c r="G64" s="358"/>
      <c r="H64" s="358"/>
      <c r="I64" s="358"/>
      <c r="J64" s="358"/>
      <c r="K64" s="359"/>
    </row>
    <row r="65" spans="1:11" s="360" customFormat="1">
      <c r="A65" s="145" t="s">
        <v>171</v>
      </c>
      <c r="B65" s="361">
        <f>'Sources and Uses Budget'!C65</f>
        <v>745000</v>
      </c>
      <c r="C65" s="362"/>
      <c r="D65" s="362"/>
      <c r="E65" s="361">
        <f>'Sources and Uses Budget'!S65</f>
        <v>20000</v>
      </c>
      <c r="F65" s="362"/>
      <c r="G65" s="362"/>
      <c r="H65" s="361">
        <f>'Sources and Uses Budget'!T65</f>
        <v>0</v>
      </c>
      <c r="I65" s="362"/>
      <c r="J65" s="362"/>
      <c r="K65" s="359"/>
    </row>
    <row r="66" spans="1:11" s="360" customFormat="1" ht="23.15">
      <c r="A66" s="283" t="s">
        <v>1642</v>
      </c>
      <c r="B66" s="361">
        <f>'Sources and Uses Budget'!C66</f>
        <v>100000</v>
      </c>
      <c r="C66" s="362"/>
      <c r="D66" s="362"/>
      <c r="E66" s="361">
        <f>'Sources and Uses Budget'!S66</f>
        <v>0</v>
      </c>
      <c r="F66" s="362"/>
      <c r="G66" s="362"/>
      <c r="H66" s="361">
        <f>'Sources and Uses Budget'!T66</f>
        <v>0</v>
      </c>
      <c r="I66" s="362"/>
      <c r="J66" s="362"/>
      <c r="K66" s="359"/>
    </row>
    <row r="67" spans="1:11" s="360" customFormat="1" ht="23.15">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845000</v>
      </c>
      <c r="C70" s="361">
        <f>SUM(C64:C69)</f>
        <v>0</v>
      </c>
      <c r="D70" s="361">
        <f>SUM(D64:D69)</f>
        <v>0</v>
      </c>
      <c r="E70" s="361">
        <f>'Sources and Uses Budget'!S70</f>
        <v>20000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1536490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1536490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3395961</v>
      </c>
      <c r="C79" s="362"/>
      <c r="D79" s="362"/>
      <c r="E79" s="361">
        <f>'Sources and Uses Budget'!S79</f>
        <v>3395961</v>
      </c>
      <c r="F79" s="362"/>
      <c r="G79" s="362"/>
      <c r="H79" s="361">
        <f>'Sources and Uses Budget'!T79</f>
        <v>0</v>
      </c>
      <c r="I79" s="362"/>
      <c r="J79" s="362"/>
      <c r="K79" s="359"/>
    </row>
    <row r="80" spans="1:11" s="360" customFormat="1">
      <c r="A80" s="364" t="s">
        <v>58</v>
      </c>
      <c r="B80" s="361">
        <f>'Sources and Uses Budget'!C80</f>
        <v>464776</v>
      </c>
      <c r="C80" s="362"/>
      <c r="D80" s="362"/>
      <c r="E80" s="361">
        <f>'Sources and Uses Budget'!S80</f>
        <v>464776</v>
      </c>
      <c r="F80" s="362"/>
      <c r="G80" s="362"/>
      <c r="H80" s="361">
        <f>'Sources and Uses Budget'!T80</f>
        <v>0</v>
      </c>
      <c r="I80" s="362"/>
      <c r="J80" s="362"/>
      <c r="K80" s="359"/>
    </row>
    <row r="81" spans="1:11" s="360" customFormat="1">
      <c r="A81" s="365" t="s">
        <v>1210</v>
      </c>
      <c r="B81" s="361">
        <f>'Sources and Uses Budget'!C81</f>
        <v>3860737</v>
      </c>
      <c r="C81" s="361">
        <f>SUM(C79:C80)</f>
        <v>0</v>
      </c>
      <c r="D81" s="361">
        <f>SUM(D79:D80)</f>
        <v>0</v>
      </c>
      <c r="E81" s="361">
        <f>'Sources and Uses Budget'!S81</f>
        <v>3860737</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5" customHeight="1">
      <c r="A83" s="145" t="s">
        <v>2095</v>
      </c>
      <c r="B83" s="361">
        <f>'Sources and Uses Budget'!C83</f>
        <v>109057</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2020260</v>
      </c>
      <c r="C85" s="362"/>
      <c r="D85" s="362"/>
      <c r="E85" s="361">
        <f>'Sources and Uses Budget'!S85</f>
        <v>2020260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350000</v>
      </c>
      <c r="C88" s="362"/>
      <c r="D88" s="362"/>
      <c r="E88" s="363"/>
      <c r="F88" s="363"/>
      <c r="G88" s="363"/>
      <c r="H88" s="363"/>
      <c r="I88" s="363"/>
      <c r="J88" s="363"/>
      <c r="K88" s="359"/>
    </row>
    <row r="89" spans="1:11" s="360" customFormat="1">
      <c r="A89" s="145" t="s">
        <v>773</v>
      </c>
      <c r="B89" s="361">
        <f>'Sources and Uses Budget'!C89</f>
        <v>600000</v>
      </c>
      <c r="C89" s="362"/>
      <c r="D89" s="362"/>
      <c r="E89" s="361">
        <f>'Sources and Uses Budget'!S89</f>
        <v>600000</v>
      </c>
      <c r="F89" s="362"/>
      <c r="G89" s="362"/>
      <c r="H89" s="361">
        <f>'Sources and Uses Budget'!T89</f>
        <v>0</v>
      </c>
      <c r="I89" s="362"/>
      <c r="J89" s="362"/>
      <c r="K89" s="359"/>
    </row>
    <row r="90" spans="1:11" s="360" customFormat="1">
      <c r="A90" s="145" t="s">
        <v>774</v>
      </c>
      <c r="B90" s="361">
        <f>'Sources and Uses Budget'!C90</f>
        <v>12000</v>
      </c>
      <c r="C90" s="362"/>
      <c r="D90" s="362"/>
      <c r="E90" s="361">
        <f>'Sources and Uses Budget'!S90</f>
        <v>12000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7500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Insurnace 1st Year</v>
      </c>
      <c r="B93" s="361">
        <f>'Sources and Uses Budget'!C93</f>
        <v>198000</v>
      </c>
      <c r="C93" s="362"/>
      <c r="D93" s="362"/>
      <c r="E93" s="361">
        <f>'Sources and Uses Budget'!S93</f>
        <v>198000</v>
      </c>
      <c r="F93" s="362"/>
      <c r="G93" s="362"/>
      <c r="H93" s="361">
        <f>'Sources and Uses Budget'!T93</f>
        <v>0</v>
      </c>
      <c r="I93" s="362"/>
      <c r="J93" s="362"/>
      <c r="K93" s="359"/>
    </row>
    <row r="94" spans="1:11" s="360" customFormat="1">
      <c r="A94" s="364" t="str">
        <f>'Sources and Uses Budget'!$A94</f>
        <v>Administration</v>
      </c>
      <c r="B94" s="361">
        <f>'Sources and Uses Budget'!C94</f>
        <v>10000</v>
      </c>
      <c r="C94" s="362"/>
      <c r="D94" s="362"/>
      <c r="E94" s="361">
        <f>'Sources and Uses Budget'!S94</f>
        <v>10000</v>
      </c>
      <c r="F94" s="362"/>
      <c r="G94" s="362"/>
      <c r="H94" s="361">
        <f>'Sources and Uses Budget'!T94</f>
        <v>0</v>
      </c>
      <c r="I94" s="362"/>
      <c r="J94" s="362"/>
      <c r="K94" s="359"/>
    </row>
    <row r="95" spans="1:11" s="360" customFormat="1">
      <c r="A95" s="364">
        <f>'Sources and Uses Budget'!$A95</f>
        <v>0</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3324317</v>
      </c>
      <c r="C96" s="361">
        <f>SUM(C83:C95)</f>
        <v>0</v>
      </c>
      <c r="D96" s="361">
        <f>SUM(D83:D95)</f>
        <v>0</v>
      </c>
      <c r="E96" s="361">
        <f>'Sources and Uses Budget'!S96</f>
        <v>2857760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99490231</v>
      </c>
      <c r="C97" s="361">
        <f>SUM(C63+C70+C77+C81+C96)</f>
        <v>0</v>
      </c>
      <c r="D97" s="361">
        <f>SUM(D63+D70+D77+D81+D96)</f>
        <v>0</v>
      </c>
      <c r="E97" s="361">
        <f>'Sources and Uses Budget'!S97</f>
        <v>89343141</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13239769</v>
      </c>
      <c r="C99" s="362"/>
      <c r="D99" s="362"/>
      <c r="E99" s="361">
        <f>'Sources and Uses Budget'!S99</f>
        <v>13239769</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13239769</v>
      </c>
      <c r="C104" s="361">
        <f>SUM(C99:C103)</f>
        <v>0</v>
      </c>
      <c r="D104" s="361">
        <f>SUM(D99:D103)</f>
        <v>0</v>
      </c>
      <c r="E104" s="361">
        <f>'Sources and Uses Budget'!S104</f>
        <v>13239769</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112730000</v>
      </c>
      <c r="C105" s="367">
        <f>SUM(C97+C104)</f>
        <v>0</v>
      </c>
      <c r="D105" s="367">
        <f>SUM(D97+D104)</f>
        <v>0</v>
      </c>
      <c r="E105" s="361">
        <f>'Sources and Uses Budget'!S105</f>
        <v>102582910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102582910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45">
      <c r="A111" s="377"/>
      <c r="B111" s="375"/>
      <c r="C111" s="375"/>
      <c r="D111" s="375"/>
      <c r="J111" s="376"/>
      <c r="K111" s="359"/>
    </row>
    <row r="112" spans="1:11" s="360" customFormat="1" ht="12.45">
      <c r="A112" s="377"/>
      <c r="B112" s="375"/>
      <c r="C112" s="375"/>
      <c r="D112" s="375"/>
      <c r="J112" s="376"/>
      <c r="K112" s="359"/>
    </row>
    <row r="113" spans="1:11" s="360" customFormat="1" ht="13.75">
      <c r="A113" s="378"/>
      <c r="B113" s="375"/>
      <c r="C113" s="375"/>
      <c r="D113" s="375"/>
      <c r="J113" s="376"/>
      <c r="K113" s="359"/>
    </row>
    <row r="114" spans="1:11" s="360" customFormat="1" ht="12.45">
      <c r="A114" s="377"/>
      <c r="J114" s="376"/>
      <c r="K114" s="359"/>
    </row>
    <row r="115" spans="1:11" s="360" customFormat="1" ht="13.75">
      <c r="A115" s="378"/>
      <c r="J115" s="376"/>
      <c r="K115" s="359"/>
    </row>
    <row r="116" spans="1:11" s="360" customFormat="1" ht="13.7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3.75">
      <c r="A121" s="378"/>
      <c r="J121" s="376"/>
      <c r="K121" s="359"/>
    </row>
    <row r="122" spans="1:11" s="380" customFormat="1" ht="15.4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45">
      <c r="A125" s="385"/>
      <c r="B125" s="384"/>
      <c r="C125" s="385"/>
      <c r="D125" s="1312"/>
      <c r="E125" s="1312"/>
      <c r="F125" s="1312"/>
      <c r="G125" s="1312"/>
      <c r="H125" s="1312"/>
      <c r="I125" s="1312"/>
      <c r="J125" s="376"/>
      <c r="K125" s="359"/>
    </row>
    <row r="126" spans="1:11" s="360" customFormat="1" ht="12.45">
      <c r="A126" s="385"/>
      <c r="B126" s="384"/>
      <c r="C126" s="385"/>
      <c r="D126" s="1312"/>
      <c r="E126" s="1312"/>
      <c r="F126" s="1312"/>
      <c r="G126" s="1312"/>
      <c r="H126" s="1312"/>
      <c r="I126" s="1312"/>
      <c r="J126" s="376"/>
      <c r="K126" s="359"/>
    </row>
    <row r="127" spans="1:11" s="360" customFormat="1" ht="12.45">
      <c r="A127" s="385"/>
      <c r="B127" s="384"/>
      <c r="C127" s="385"/>
      <c r="D127" s="386"/>
      <c r="E127" s="385"/>
      <c r="F127" s="385"/>
      <c r="G127" s="385"/>
      <c r="J127" s="376"/>
      <c r="K127" s="359"/>
    </row>
    <row r="128" spans="1:11" s="360" customFormat="1" ht="12.45">
      <c r="A128" s="385"/>
      <c r="B128" s="384"/>
      <c r="C128" s="385"/>
      <c r="D128" s="386"/>
      <c r="E128" s="385"/>
      <c r="F128" s="385"/>
      <c r="G128" s="385"/>
      <c r="J128" s="376"/>
      <c r="K128" s="359"/>
    </row>
    <row r="129" spans="1:11" s="360" customFormat="1" ht="12.45">
      <c r="A129" s="385"/>
      <c r="B129" s="384"/>
      <c r="C129" s="385"/>
      <c r="D129" s="385"/>
      <c r="E129" s="385"/>
      <c r="F129" s="385"/>
      <c r="G129" s="385"/>
      <c r="J129" s="376"/>
      <c r="K129" s="359"/>
    </row>
    <row r="130" spans="1:11" s="360" customFormat="1" ht="12.45">
      <c r="A130" s="385"/>
      <c r="B130" s="384"/>
      <c r="C130" s="385"/>
      <c r="D130" s="385"/>
      <c r="E130" s="385"/>
      <c r="F130" s="385"/>
      <c r="G130" s="385"/>
      <c r="J130" s="376"/>
      <c r="K130" s="359"/>
    </row>
    <row r="131" spans="1:11" s="360" customFormat="1" ht="12.45">
      <c r="A131" s="385"/>
      <c r="B131" s="387"/>
      <c r="C131" s="385"/>
      <c r="D131" s="385"/>
      <c r="E131" s="385"/>
      <c r="F131" s="385"/>
      <c r="G131" s="385"/>
      <c r="J131" s="376"/>
      <c r="K131" s="359"/>
    </row>
    <row r="132" spans="1:11" s="360" customFormat="1" ht="12.45">
      <c r="A132" s="388"/>
      <c r="B132" s="389"/>
      <c r="C132" s="385"/>
      <c r="D132" s="390"/>
      <c r="E132" s="385"/>
      <c r="F132" s="385"/>
      <c r="G132" s="385"/>
      <c r="J132" s="376"/>
      <c r="K132" s="359"/>
    </row>
    <row r="133" spans="1:11" s="360" customFormat="1" ht="12.45">
      <c r="A133" s="391"/>
      <c r="B133" s="385"/>
      <c r="C133" s="385"/>
      <c r="D133" s="385"/>
      <c r="E133" s="385"/>
      <c r="F133" s="385"/>
      <c r="G133" s="385"/>
      <c r="J133" s="376"/>
      <c r="K133" s="359"/>
    </row>
    <row r="134" spans="1:11" s="360" customFormat="1" ht="12.45">
      <c r="A134" s="391"/>
      <c r="B134" s="385"/>
      <c r="C134" s="385"/>
      <c r="D134" s="385"/>
      <c r="E134" s="385"/>
      <c r="F134" s="385"/>
      <c r="G134" s="385"/>
      <c r="J134" s="376"/>
      <c r="K134" s="359"/>
    </row>
    <row r="135" spans="1:11" s="360" customFormat="1" ht="12.45">
      <c r="A135" s="392"/>
      <c r="B135" s="385"/>
      <c r="C135" s="385"/>
      <c r="D135" s="385"/>
      <c r="E135" s="385"/>
      <c r="F135" s="385"/>
      <c r="G135" s="385"/>
      <c r="J135" s="376"/>
      <c r="K135" s="359"/>
    </row>
    <row r="136" spans="1:11" s="360" customFormat="1" ht="12.45">
      <c r="A136" s="377"/>
      <c r="B136" s="385"/>
      <c r="C136" s="385"/>
      <c r="D136" s="385"/>
      <c r="E136" s="385"/>
      <c r="F136" s="385"/>
      <c r="G136" s="385"/>
      <c r="J136" s="376"/>
      <c r="K136" s="359"/>
    </row>
    <row r="137" spans="1:11" ht="12.4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9140625" defaultRowHeight="15.75" customHeight="1"/>
  <cols>
    <col min="1" max="8" width="2.69140625" style="1187"/>
    <col min="9" max="9" width="7.69140625" style="1187" customWidth="1"/>
    <col min="10" max="13" width="2.69140625" style="1187"/>
    <col min="14" max="14" width="4.69140625" style="1187" customWidth="1"/>
    <col min="15" max="19" width="2.69140625" style="1187"/>
    <col min="20" max="20" width="3.69140625" style="1187" customWidth="1"/>
    <col min="21" max="37" width="2.69140625" style="1187"/>
    <col min="38" max="38" width="3" style="1187" customWidth="1"/>
    <col min="39" max="45" width="2.69140625" style="1187"/>
    <col min="46" max="46" width="4.69140625" style="1187" customWidth="1"/>
    <col min="47" max="64" width="2.69140625" style="1187"/>
    <col min="65" max="65" width="10.3828125" style="1187" hidden="1" customWidth="1"/>
    <col min="66" max="66" width="5.53515625" style="1256" bestFit="1" customWidth="1"/>
    <col min="67" max="68" width="5.53515625" style="1256" customWidth="1"/>
    <col min="69" max="69" width="8" style="1256" customWidth="1"/>
    <col min="70" max="70" width="6" style="1256" customWidth="1"/>
    <col min="71" max="71" width="6.15234375" style="1256" customWidth="1"/>
    <col min="72" max="76" width="5.53515625" style="1256" customWidth="1"/>
    <col min="77" max="77" width="6.15234375" style="1256" bestFit="1" customWidth="1"/>
    <col min="78" max="78" width="5.53515625" style="1187" bestFit="1" customWidth="1"/>
    <col min="79" max="16384" width="2.6914062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Tamien Station Phase II</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CVCAH Tamien II LLC (to be formed)</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4.6">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4.6">
      <c r="A10" s="1189"/>
      <c r="B10" s="1192" t="s">
        <v>2446</v>
      </c>
      <c r="C10" s="1192"/>
      <c r="D10" s="1192"/>
      <c r="E10" s="1192"/>
      <c r="F10" s="1192"/>
      <c r="G10" s="1192"/>
      <c r="H10" s="1192"/>
      <c r="I10" s="1192"/>
      <c r="J10" s="1192"/>
      <c r="K10" s="1192"/>
      <c r="L10" s="1192"/>
      <c r="M10" s="1190"/>
      <c r="N10" s="1903">
        <f>Application!AO627</f>
        <v>31064000</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4.6">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1" t="s">
        <v>2440</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20</v>
      </c>
      <c r="AP13" s="1899"/>
      <c r="AQ13" s="1899"/>
      <c r="AR13" s="1899"/>
      <c r="AS13" s="1899"/>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6">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4.6">
      <c r="A19" s="1190"/>
      <c r="B19" s="1919">
        <v>0.3</v>
      </c>
      <c r="C19" s="1920"/>
      <c r="D19" s="1920"/>
      <c r="E19" s="1920"/>
      <c r="F19" s="1920"/>
      <c r="G19" s="1920"/>
      <c r="H19" s="1920"/>
      <c r="I19" s="1921"/>
      <c r="J19" s="1922">
        <f t="shared" ref="J19:J24" si="0">SUM(P19:AS19)</f>
        <v>15</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7</v>
      </c>
      <c r="W19" s="1923"/>
      <c r="X19" s="1923"/>
      <c r="Y19" s="1923"/>
      <c r="Z19" s="1923"/>
      <c r="AA19" s="1924"/>
      <c r="AB19" s="1922" cm="1">
        <f t="array" ref="AB19">SUMPRODUCT((Application!$B$714:$B$738 = 'CalHFA Addendum'!AB$18)*(Application!$AC$714:$AC$738 = 'CalHFA Addendum'!$B19),Application!$G$714:$G$738)</f>
        <v>4</v>
      </c>
      <c r="AC19" s="1923"/>
      <c r="AD19" s="1923"/>
      <c r="AE19" s="1923"/>
      <c r="AF19" s="1923"/>
      <c r="AG19" s="1924"/>
      <c r="AH19" s="1922" cm="1">
        <f t="array" ref="AH19">SUMPRODUCT((Application!$B$714:$B$738 = 'CalHFA Addendum'!AH$18)*(Application!$AC$714:$AC$738 = 'CalHFA Addendum'!$B19),Application!$G$714:$G$738)</f>
        <v>4</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0.11363636363636363</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4.6">
      <c r="A21" s="1190"/>
      <c r="B21" s="1919">
        <v>0.5</v>
      </c>
      <c r="C21" s="1920"/>
      <c r="D21" s="1920"/>
      <c r="E21" s="1920"/>
      <c r="F21" s="1920"/>
      <c r="G21" s="1920"/>
      <c r="H21" s="1920"/>
      <c r="I21" s="1921"/>
      <c r="J21" s="1922">
        <f t="shared" si="0"/>
        <v>36</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20</v>
      </c>
      <c r="W21" s="1923"/>
      <c r="X21" s="1923"/>
      <c r="Y21" s="1923"/>
      <c r="Z21" s="1923"/>
      <c r="AA21" s="1924"/>
      <c r="AB21" s="1922" cm="1">
        <f t="array" ref="AB21">SUMPRODUCT((Application!$B$714:$B$738 = 'CalHFA Addendum'!AB$18)*(Application!$AC$714:$AC$738 = 'CalHFA Addendum'!$B21),Application!$G$714:$G$738)</f>
        <v>8</v>
      </c>
      <c r="AC21" s="1923"/>
      <c r="AD21" s="1923"/>
      <c r="AE21" s="1923"/>
      <c r="AF21" s="1923"/>
      <c r="AG21" s="1924"/>
      <c r="AH21" s="1922" cm="1">
        <f t="array" ref="AH21">SUMPRODUCT((Application!$B$714:$B$738 = 'CalHFA Addendum'!AH$18)*(Application!$AC$714:$AC$738 = 'CalHFA Addendum'!$B21),Application!$G$714:$G$738)</f>
        <v>8</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0.27272727272727271</v>
      </c>
      <c r="AU21" s="1926"/>
      <c r="AV21" s="1926"/>
      <c r="AW21" s="1926"/>
      <c r="AX21" s="1926"/>
      <c r="AY21" s="1927"/>
      <c r="AZ21" s="1190"/>
      <c r="BA21" s="1190"/>
      <c r="BB21" s="1190"/>
      <c r="BC21" s="1190"/>
      <c r="BD21" s="1190"/>
      <c r="BE21" s="1194"/>
    </row>
    <row r="22" spans="1:58" ht="14.6">
      <c r="A22" s="1190"/>
      <c r="B22" s="1919">
        <v>0.6</v>
      </c>
      <c r="C22" s="1920"/>
      <c r="D22" s="1920"/>
      <c r="E22" s="1920"/>
      <c r="F22" s="1920"/>
      <c r="G22" s="1920"/>
      <c r="H22" s="1920"/>
      <c r="I22" s="1921"/>
      <c r="J22" s="1922">
        <f t="shared" si="0"/>
        <v>41</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30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11</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0.31060606060606061</v>
      </c>
      <c r="AU22" s="1926"/>
      <c r="AV22" s="1926"/>
      <c r="AW22" s="1926"/>
      <c r="AX22" s="1926"/>
      <c r="AY22" s="1927"/>
      <c r="AZ22" s="1190"/>
      <c r="BA22" s="1190"/>
      <c r="BB22" s="1190"/>
      <c r="BC22" s="1190"/>
      <c r="BD22" s="1190"/>
      <c r="BE22" s="1194"/>
    </row>
    <row r="23" spans="1:58" ht="14.6">
      <c r="A23" s="1190"/>
      <c r="B23" s="1919">
        <v>0.7</v>
      </c>
      <c r="C23" s="1920"/>
      <c r="D23" s="1920"/>
      <c r="E23" s="1920"/>
      <c r="F23" s="1920"/>
      <c r="G23" s="1920"/>
      <c r="H23" s="1920"/>
      <c r="I23" s="1921"/>
      <c r="J23" s="1922">
        <f t="shared" si="0"/>
        <v>39</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5</v>
      </c>
      <c r="W23" s="1923"/>
      <c r="X23" s="1923"/>
      <c r="Y23" s="1923"/>
      <c r="Z23" s="1923"/>
      <c r="AA23" s="1924"/>
      <c r="AB23" s="1922" cm="1">
        <f t="array" ref="AB23">SUMPRODUCT((Application!$B$714:$B$738 = 'CalHFA Addendum'!AB$18)*(Application!$AC$714:$AC$738 = 'CalHFA Addendum'!$B23),Application!$G$714:$G$738)</f>
        <v>24</v>
      </c>
      <c r="AC23" s="1923"/>
      <c r="AD23" s="1923"/>
      <c r="AE23" s="1923"/>
      <c r="AF23" s="1923"/>
      <c r="AG23" s="1924"/>
      <c r="AH23" s="1922" cm="1">
        <f t="array" ref="AH23">SUMPRODUCT((Application!$B$714:$B$738 = 'CalHFA Addendum'!AH$18)*(Application!$AC$714:$AC$738 = 'CalHFA Addendum'!$B23),Application!$G$714:$G$738)</f>
        <v>10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0.29545454545454547</v>
      </c>
      <c r="AU23" s="1926"/>
      <c r="AV23" s="1926"/>
      <c r="AW23" s="1926"/>
      <c r="AX23" s="1926"/>
      <c r="AY23" s="1927"/>
      <c r="AZ23" s="1190"/>
      <c r="BA23" s="1190"/>
      <c r="BB23" s="1190"/>
      <c r="BC23" s="1190"/>
      <c r="BD23" s="1190"/>
      <c r="BE23" s="1194"/>
    </row>
    <row r="24" spans="1:58" ht="14.6">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4.6">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6">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6">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2431</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1</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7.575757575757576E-3</v>
      </c>
      <c r="AU28" s="1938"/>
      <c r="AV28" s="1938"/>
      <c r="AW28" s="1938"/>
      <c r="AX28" s="1938"/>
      <c r="AY28" s="1939"/>
      <c r="AZ28" s="1190"/>
      <c r="BA28" s="1190"/>
      <c r="BB28" s="1190"/>
      <c r="BC28" s="1190"/>
      <c r="BD28" s="1190"/>
      <c r="BE28" s="1194"/>
    </row>
    <row r="29" spans="1:58" ht="15" thickBot="1">
      <c r="A29" s="1190"/>
      <c r="B29" s="1968" t="s">
        <v>1587</v>
      </c>
      <c r="C29" s="1941"/>
      <c r="D29" s="1941"/>
      <c r="E29" s="1941"/>
      <c r="F29" s="1941"/>
      <c r="G29" s="1941"/>
      <c r="H29" s="1941"/>
      <c r="I29" s="1942"/>
      <c r="J29" s="1940">
        <f>SUM(J19:O28)</f>
        <v>132</v>
      </c>
      <c r="K29" s="1941"/>
      <c r="L29" s="1941"/>
      <c r="M29" s="1941"/>
      <c r="N29" s="1941"/>
      <c r="O29" s="1942"/>
      <c r="P29" s="1940">
        <f>SUM(P19:U28)</f>
        <v>0</v>
      </c>
      <c r="Q29" s="1941"/>
      <c r="R29" s="1941"/>
      <c r="S29" s="1941"/>
      <c r="T29" s="1941"/>
      <c r="U29" s="1942"/>
      <c r="V29" s="1940">
        <f>SUM(V19:AA28)</f>
        <v>62</v>
      </c>
      <c r="W29" s="1941"/>
      <c r="X29" s="1941"/>
      <c r="Y29" s="1941"/>
      <c r="Z29" s="1941"/>
      <c r="AA29" s="1942"/>
      <c r="AB29" s="1940">
        <f>SUM(AB19:AG28)</f>
        <v>37</v>
      </c>
      <c r="AC29" s="1941"/>
      <c r="AD29" s="1941"/>
      <c r="AE29" s="1941"/>
      <c r="AF29" s="1941"/>
      <c r="AG29" s="1942"/>
      <c r="AH29" s="1940">
        <f>SUM(AH19:AM28)</f>
        <v>33</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Core RUP Tamien II, LLC (to be formed) (Core Affordable Housing LLC)</v>
      </c>
      <c r="BR96" s="1259">
        <f>Application!AH246</f>
        <v>5.1000000000000004E-3</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CVCAH Tamien II LLC (to be formed) (Central Valley Coalition for Affordable Housing)</v>
      </c>
      <c r="BR97" s="1259">
        <f>Application!AH254</f>
        <v>4.8999999999999998E-3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112730000</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854015.15151515149</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2020260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2020260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838710.15151515149</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D35" sqref="AD35:AH37"/>
    </sheetView>
  </sheetViews>
  <sheetFormatPr defaultColWidth="0" defaultRowHeight="13" customHeight="1"/>
  <cols>
    <col min="1" max="1" width="1.53515625" style="402" customWidth="1"/>
    <col min="2" max="2" width="0.84375" style="402" customWidth="1"/>
    <col min="3" max="18" width="2.53515625" style="402" customWidth="1"/>
    <col min="19" max="19" width="6.3046875" style="402" customWidth="1"/>
    <col min="20" max="39" width="2.69140625" style="402" customWidth="1"/>
    <col min="40" max="40" width="1.53515625" style="402" customWidth="1"/>
    <col min="41" max="256" width="2.53515625" style="402" hidden="1"/>
    <col min="257" max="257" width="1.53515625" style="402" hidden="1" customWidth="1"/>
    <col min="258" max="258" width="0.84375" style="402" hidden="1" customWidth="1"/>
    <col min="259" max="274" width="2.53515625" style="402" hidden="1" customWidth="1"/>
    <col min="275" max="275" width="4" style="402" hidden="1" customWidth="1"/>
    <col min="276" max="279" width="2.53515625" style="402" hidden="1" customWidth="1"/>
    <col min="280" max="280" width="2.3828125" style="402" hidden="1" customWidth="1"/>
    <col min="281" max="284" width="2.53515625" style="402" hidden="1" customWidth="1"/>
    <col min="285" max="285" width="2.3828125" style="402" hidden="1" customWidth="1"/>
    <col min="286" max="289" width="2.53515625" style="402" hidden="1" customWidth="1"/>
    <col min="290" max="295" width="2.3828125" style="402" hidden="1" customWidth="1"/>
    <col min="296" max="296" width="1.53515625" style="402" hidden="1" customWidth="1"/>
    <col min="297" max="512" width="2.53515625" style="402" hidden="1"/>
    <col min="513" max="513" width="1.53515625" style="402" hidden="1" customWidth="1"/>
    <col min="514" max="514" width="0.84375" style="402" hidden="1" customWidth="1"/>
    <col min="515" max="530" width="2.53515625" style="402" hidden="1" customWidth="1"/>
    <col min="531" max="531" width="4" style="402" hidden="1" customWidth="1"/>
    <col min="532" max="535" width="2.53515625" style="402" hidden="1" customWidth="1"/>
    <col min="536" max="536" width="2.3828125" style="402" hidden="1" customWidth="1"/>
    <col min="537" max="540" width="2.53515625" style="402" hidden="1" customWidth="1"/>
    <col min="541" max="541" width="2.3828125" style="402" hidden="1" customWidth="1"/>
    <col min="542" max="545" width="2.53515625" style="402" hidden="1" customWidth="1"/>
    <col min="546" max="551" width="2.3828125" style="402" hidden="1" customWidth="1"/>
    <col min="552" max="552" width="1.53515625" style="402" hidden="1" customWidth="1"/>
    <col min="553" max="768" width="2.53515625" style="402" hidden="1"/>
    <col min="769" max="769" width="1.53515625" style="402" hidden="1" customWidth="1"/>
    <col min="770" max="770" width="0.84375" style="402" hidden="1" customWidth="1"/>
    <col min="771" max="786" width="2.53515625" style="402" hidden="1" customWidth="1"/>
    <col min="787" max="787" width="4" style="402" hidden="1" customWidth="1"/>
    <col min="788" max="791" width="2.53515625" style="402" hidden="1" customWidth="1"/>
    <col min="792" max="792" width="2.3828125" style="402" hidden="1" customWidth="1"/>
    <col min="793" max="796" width="2.53515625" style="402" hidden="1" customWidth="1"/>
    <col min="797" max="797" width="2.3828125" style="402" hidden="1" customWidth="1"/>
    <col min="798" max="801" width="2.53515625" style="402" hidden="1" customWidth="1"/>
    <col min="802" max="807" width="2.3828125" style="402" hidden="1" customWidth="1"/>
    <col min="808" max="808" width="1.53515625" style="402" hidden="1" customWidth="1"/>
    <col min="809" max="1024" width="2.53515625" style="402" hidden="1"/>
    <col min="1025" max="1025" width="1.53515625" style="402" hidden="1" customWidth="1"/>
    <col min="1026" max="1026" width="0.84375" style="402" hidden="1" customWidth="1"/>
    <col min="1027" max="1042" width="2.53515625" style="402" hidden="1" customWidth="1"/>
    <col min="1043" max="1043" width="4" style="402" hidden="1" customWidth="1"/>
    <col min="1044" max="1047" width="2.53515625" style="402" hidden="1" customWidth="1"/>
    <col min="1048" max="1048" width="2.3828125" style="402" hidden="1" customWidth="1"/>
    <col min="1049" max="1052" width="2.53515625" style="402" hidden="1" customWidth="1"/>
    <col min="1053" max="1053" width="2.3828125" style="402" hidden="1" customWidth="1"/>
    <col min="1054" max="1057" width="2.53515625" style="402" hidden="1" customWidth="1"/>
    <col min="1058" max="1063" width="2.3828125" style="402" hidden="1" customWidth="1"/>
    <col min="1064" max="1064" width="1.53515625" style="402" hidden="1" customWidth="1"/>
    <col min="1065" max="1280" width="2.53515625" style="402" hidden="1"/>
    <col min="1281" max="1281" width="1.53515625" style="402" hidden="1" customWidth="1"/>
    <col min="1282" max="1282" width="0.84375" style="402" hidden="1" customWidth="1"/>
    <col min="1283" max="1298" width="2.53515625" style="402" hidden="1" customWidth="1"/>
    <col min="1299" max="1299" width="4" style="402" hidden="1" customWidth="1"/>
    <col min="1300" max="1303" width="2.53515625" style="402" hidden="1" customWidth="1"/>
    <col min="1304" max="1304" width="2.3828125" style="402" hidden="1" customWidth="1"/>
    <col min="1305" max="1308" width="2.53515625" style="402" hidden="1" customWidth="1"/>
    <col min="1309" max="1309" width="2.3828125" style="402" hidden="1" customWidth="1"/>
    <col min="1310" max="1313" width="2.53515625" style="402" hidden="1" customWidth="1"/>
    <col min="1314" max="1319" width="2.3828125" style="402" hidden="1" customWidth="1"/>
    <col min="1320" max="1320" width="1.53515625" style="402" hidden="1" customWidth="1"/>
    <col min="1321" max="1536" width="2.53515625" style="402" hidden="1"/>
    <col min="1537" max="1537" width="1.53515625" style="402" hidden="1" customWidth="1"/>
    <col min="1538" max="1538" width="0.84375" style="402" hidden="1" customWidth="1"/>
    <col min="1539" max="1554" width="2.53515625" style="402" hidden="1" customWidth="1"/>
    <col min="1555" max="1555" width="4" style="402" hidden="1" customWidth="1"/>
    <col min="1556" max="1559" width="2.53515625" style="402" hidden="1" customWidth="1"/>
    <col min="1560" max="1560" width="2.3828125" style="402" hidden="1" customWidth="1"/>
    <col min="1561" max="1564" width="2.53515625" style="402" hidden="1" customWidth="1"/>
    <col min="1565" max="1565" width="2.3828125" style="402" hidden="1" customWidth="1"/>
    <col min="1566" max="1569" width="2.53515625" style="402" hidden="1" customWidth="1"/>
    <col min="1570" max="1575" width="2.3828125" style="402" hidden="1" customWidth="1"/>
    <col min="1576" max="1576" width="1.53515625" style="402" hidden="1" customWidth="1"/>
    <col min="1577" max="1792" width="2.53515625" style="402" hidden="1"/>
    <col min="1793" max="1793" width="1.53515625" style="402" hidden="1" customWidth="1"/>
    <col min="1794" max="1794" width="0.84375" style="402" hidden="1" customWidth="1"/>
    <col min="1795" max="1810" width="2.53515625" style="402" hidden="1" customWidth="1"/>
    <col min="1811" max="1811" width="4" style="402" hidden="1" customWidth="1"/>
    <col min="1812" max="1815" width="2.53515625" style="402" hidden="1" customWidth="1"/>
    <col min="1816" max="1816" width="2.3828125" style="402" hidden="1" customWidth="1"/>
    <col min="1817" max="1820" width="2.53515625" style="402" hidden="1" customWidth="1"/>
    <col min="1821" max="1821" width="2.3828125" style="402" hidden="1" customWidth="1"/>
    <col min="1822" max="1825" width="2.53515625" style="402" hidden="1" customWidth="1"/>
    <col min="1826" max="1831" width="2.3828125" style="402" hidden="1" customWidth="1"/>
    <col min="1832" max="1832" width="1.53515625" style="402" hidden="1" customWidth="1"/>
    <col min="1833" max="2048" width="2.53515625" style="402" hidden="1"/>
    <col min="2049" max="2049" width="1.53515625" style="402" hidden="1" customWidth="1"/>
    <col min="2050" max="2050" width="0.84375" style="402" hidden="1" customWidth="1"/>
    <col min="2051" max="2066" width="2.53515625" style="402" hidden="1" customWidth="1"/>
    <col min="2067" max="2067" width="4" style="402" hidden="1" customWidth="1"/>
    <col min="2068" max="2071" width="2.53515625" style="402" hidden="1" customWidth="1"/>
    <col min="2072" max="2072" width="2.3828125" style="402" hidden="1" customWidth="1"/>
    <col min="2073" max="2076" width="2.53515625" style="402" hidden="1" customWidth="1"/>
    <col min="2077" max="2077" width="2.3828125" style="402" hidden="1" customWidth="1"/>
    <col min="2078" max="2081" width="2.53515625" style="402" hidden="1" customWidth="1"/>
    <col min="2082" max="2087" width="2.3828125" style="402" hidden="1" customWidth="1"/>
    <col min="2088" max="2088" width="1.53515625" style="402" hidden="1" customWidth="1"/>
    <col min="2089" max="2304" width="2.53515625" style="402" hidden="1"/>
    <col min="2305" max="2305" width="1.53515625" style="402" hidden="1" customWidth="1"/>
    <col min="2306" max="2306" width="0.84375" style="402" hidden="1" customWidth="1"/>
    <col min="2307" max="2322" width="2.53515625" style="402" hidden="1" customWidth="1"/>
    <col min="2323" max="2323" width="4" style="402" hidden="1" customWidth="1"/>
    <col min="2324" max="2327" width="2.53515625" style="402" hidden="1" customWidth="1"/>
    <col min="2328" max="2328" width="2.3828125" style="402" hidden="1" customWidth="1"/>
    <col min="2329" max="2332" width="2.53515625" style="402" hidden="1" customWidth="1"/>
    <col min="2333" max="2333" width="2.3828125" style="402" hidden="1" customWidth="1"/>
    <col min="2334" max="2337" width="2.53515625" style="402" hidden="1" customWidth="1"/>
    <col min="2338" max="2343" width="2.3828125" style="402" hidden="1" customWidth="1"/>
    <col min="2344" max="2344" width="1.53515625" style="402" hidden="1" customWidth="1"/>
    <col min="2345" max="2560" width="2.53515625" style="402" hidden="1"/>
    <col min="2561" max="2561" width="1.53515625" style="402" hidden="1" customWidth="1"/>
    <col min="2562" max="2562" width="0.84375" style="402" hidden="1" customWidth="1"/>
    <col min="2563" max="2578" width="2.53515625" style="402" hidden="1" customWidth="1"/>
    <col min="2579" max="2579" width="4" style="402" hidden="1" customWidth="1"/>
    <col min="2580" max="2583" width="2.53515625" style="402" hidden="1" customWidth="1"/>
    <col min="2584" max="2584" width="2.3828125" style="402" hidden="1" customWidth="1"/>
    <col min="2585" max="2588" width="2.53515625" style="402" hidden="1" customWidth="1"/>
    <col min="2589" max="2589" width="2.3828125" style="402" hidden="1" customWidth="1"/>
    <col min="2590" max="2593" width="2.53515625" style="402" hidden="1" customWidth="1"/>
    <col min="2594" max="2599" width="2.3828125" style="402" hidden="1" customWidth="1"/>
    <col min="2600" max="2600" width="1.53515625" style="402" hidden="1" customWidth="1"/>
    <col min="2601" max="2816" width="2.53515625" style="402" hidden="1"/>
    <col min="2817" max="2817" width="1.53515625" style="402" hidden="1" customWidth="1"/>
    <col min="2818" max="2818" width="0.84375" style="402" hidden="1" customWidth="1"/>
    <col min="2819" max="2834" width="2.53515625" style="402" hidden="1" customWidth="1"/>
    <col min="2835" max="2835" width="4" style="402" hidden="1" customWidth="1"/>
    <col min="2836" max="2839" width="2.53515625" style="402" hidden="1" customWidth="1"/>
    <col min="2840" max="2840" width="2.3828125" style="402" hidden="1" customWidth="1"/>
    <col min="2841" max="2844" width="2.53515625" style="402" hidden="1" customWidth="1"/>
    <col min="2845" max="2845" width="2.3828125" style="402" hidden="1" customWidth="1"/>
    <col min="2846" max="2849" width="2.53515625" style="402" hidden="1" customWidth="1"/>
    <col min="2850" max="2855" width="2.3828125" style="402" hidden="1" customWidth="1"/>
    <col min="2856" max="2856" width="1.53515625" style="402" hidden="1" customWidth="1"/>
    <col min="2857" max="3072" width="2.53515625" style="402" hidden="1"/>
    <col min="3073" max="3073" width="1.53515625" style="402" hidden="1" customWidth="1"/>
    <col min="3074" max="3074" width="0.84375" style="402" hidden="1" customWidth="1"/>
    <col min="3075" max="3090" width="2.53515625" style="402" hidden="1" customWidth="1"/>
    <col min="3091" max="3091" width="4" style="402" hidden="1" customWidth="1"/>
    <col min="3092" max="3095" width="2.53515625" style="402" hidden="1" customWidth="1"/>
    <col min="3096" max="3096" width="2.3828125" style="402" hidden="1" customWidth="1"/>
    <col min="3097" max="3100" width="2.53515625" style="402" hidden="1" customWidth="1"/>
    <col min="3101" max="3101" width="2.3828125" style="402" hidden="1" customWidth="1"/>
    <col min="3102" max="3105" width="2.53515625" style="402" hidden="1" customWidth="1"/>
    <col min="3106" max="3111" width="2.3828125" style="402" hidden="1" customWidth="1"/>
    <col min="3112" max="3112" width="1.53515625" style="402" hidden="1" customWidth="1"/>
    <col min="3113" max="3328" width="2.53515625" style="402" hidden="1"/>
    <col min="3329" max="3329" width="1.53515625" style="402" hidden="1" customWidth="1"/>
    <col min="3330" max="3330" width="0.84375" style="402" hidden="1" customWidth="1"/>
    <col min="3331" max="3346" width="2.53515625" style="402" hidden="1" customWidth="1"/>
    <col min="3347" max="3347" width="4" style="402" hidden="1" customWidth="1"/>
    <col min="3348" max="3351" width="2.53515625" style="402" hidden="1" customWidth="1"/>
    <col min="3352" max="3352" width="2.3828125" style="402" hidden="1" customWidth="1"/>
    <col min="3353" max="3356" width="2.53515625" style="402" hidden="1" customWidth="1"/>
    <col min="3357" max="3357" width="2.3828125" style="402" hidden="1" customWidth="1"/>
    <col min="3358" max="3361" width="2.53515625" style="402" hidden="1" customWidth="1"/>
    <col min="3362" max="3367" width="2.3828125" style="402" hidden="1" customWidth="1"/>
    <col min="3368" max="3368" width="1.53515625" style="402" hidden="1" customWidth="1"/>
    <col min="3369" max="3584" width="2.53515625" style="402" hidden="1"/>
    <col min="3585" max="3585" width="1.53515625" style="402" hidden="1" customWidth="1"/>
    <col min="3586" max="3586" width="0.84375" style="402" hidden="1" customWidth="1"/>
    <col min="3587" max="3602" width="2.53515625" style="402" hidden="1" customWidth="1"/>
    <col min="3603" max="3603" width="4" style="402" hidden="1" customWidth="1"/>
    <col min="3604" max="3607" width="2.53515625" style="402" hidden="1" customWidth="1"/>
    <col min="3608" max="3608" width="2.3828125" style="402" hidden="1" customWidth="1"/>
    <col min="3609" max="3612" width="2.53515625" style="402" hidden="1" customWidth="1"/>
    <col min="3613" max="3613" width="2.3828125" style="402" hidden="1" customWidth="1"/>
    <col min="3614" max="3617" width="2.53515625" style="402" hidden="1" customWidth="1"/>
    <col min="3618" max="3623" width="2.3828125" style="402" hidden="1" customWidth="1"/>
    <col min="3624" max="3624" width="1.53515625" style="402" hidden="1" customWidth="1"/>
    <col min="3625" max="3840" width="2.53515625" style="402" hidden="1"/>
    <col min="3841" max="3841" width="1.53515625" style="402" hidden="1" customWidth="1"/>
    <col min="3842" max="3842" width="0.84375" style="402" hidden="1" customWidth="1"/>
    <col min="3843" max="3858" width="2.53515625" style="402" hidden="1" customWidth="1"/>
    <col min="3859" max="3859" width="4" style="402" hidden="1" customWidth="1"/>
    <col min="3860" max="3863" width="2.53515625" style="402" hidden="1" customWidth="1"/>
    <col min="3864" max="3864" width="2.3828125" style="402" hidden="1" customWidth="1"/>
    <col min="3865" max="3868" width="2.53515625" style="402" hidden="1" customWidth="1"/>
    <col min="3869" max="3869" width="2.3828125" style="402" hidden="1" customWidth="1"/>
    <col min="3870" max="3873" width="2.53515625" style="402" hidden="1" customWidth="1"/>
    <col min="3874" max="3879" width="2.3828125" style="402" hidden="1" customWidth="1"/>
    <col min="3880" max="3880" width="1.53515625" style="402" hidden="1" customWidth="1"/>
    <col min="3881" max="4096" width="2.53515625" style="402" hidden="1"/>
    <col min="4097" max="4097" width="1.53515625" style="402" hidden="1" customWidth="1"/>
    <col min="4098" max="4098" width="0.84375" style="402" hidden="1" customWidth="1"/>
    <col min="4099" max="4114" width="2.53515625" style="402" hidden="1" customWidth="1"/>
    <col min="4115" max="4115" width="4" style="402" hidden="1" customWidth="1"/>
    <col min="4116" max="4119" width="2.53515625" style="402" hidden="1" customWidth="1"/>
    <col min="4120" max="4120" width="2.3828125" style="402" hidden="1" customWidth="1"/>
    <col min="4121" max="4124" width="2.53515625" style="402" hidden="1" customWidth="1"/>
    <col min="4125" max="4125" width="2.3828125" style="402" hidden="1" customWidth="1"/>
    <col min="4126" max="4129" width="2.53515625" style="402" hidden="1" customWidth="1"/>
    <col min="4130" max="4135" width="2.3828125" style="402" hidden="1" customWidth="1"/>
    <col min="4136" max="4136" width="1.53515625" style="402" hidden="1" customWidth="1"/>
    <col min="4137" max="4352" width="2.53515625" style="402" hidden="1"/>
    <col min="4353" max="4353" width="1.53515625" style="402" hidden="1" customWidth="1"/>
    <col min="4354" max="4354" width="0.84375" style="402" hidden="1" customWidth="1"/>
    <col min="4355" max="4370" width="2.53515625" style="402" hidden="1" customWidth="1"/>
    <col min="4371" max="4371" width="4" style="402" hidden="1" customWidth="1"/>
    <col min="4372" max="4375" width="2.53515625" style="402" hidden="1" customWidth="1"/>
    <col min="4376" max="4376" width="2.3828125" style="402" hidden="1" customWidth="1"/>
    <col min="4377" max="4380" width="2.53515625" style="402" hidden="1" customWidth="1"/>
    <col min="4381" max="4381" width="2.3828125" style="402" hidden="1" customWidth="1"/>
    <col min="4382" max="4385" width="2.53515625" style="402" hidden="1" customWidth="1"/>
    <col min="4386" max="4391" width="2.3828125" style="402" hidden="1" customWidth="1"/>
    <col min="4392" max="4392" width="1.53515625" style="402" hidden="1" customWidth="1"/>
    <col min="4393" max="4608" width="2.53515625" style="402" hidden="1"/>
    <col min="4609" max="4609" width="1.53515625" style="402" hidden="1" customWidth="1"/>
    <col min="4610" max="4610" width="0.84375" style="402" hidden="1" customWidth="1"/>
    <col min="4611" max="4626" width="2.53515625" style="402" hidden="1" customWidth="1"/>
    <col min="4627" max="4627" width="4" style="402" hidden="1" customWidth="1"/>
    <col min="4628" max="4631" width="2.53515625" style="402" hidden="1" customWidth="1"/>
    <col min="4632" max="4632" width="2.3828125" style="402" hidden="1" customWidth="1"/>
    <col min="4633" max="4636" width="2.53515625" style="402" hidden="1" customWidth="1"/>
    <col min="4637" max="4637" width="2.3828125" style="402" hidden="1" customWidth="1"/>
    <col min="4638" max="4641" width="2.53515625" style="402" hidden="1" customWidth="1"/>
    <col min="4642" max="4647" width="2.3828125" style="402" hidden="1" customWidth="1"/>
    <col min="4648" max="4648" width="1.53515625" style="402" hidden="1" customWidth="1"/>
    <col min="4649" max="4864" width="2.53515625" style="402" hidden="1"/>
    <col min="4865" max="4865" width="1.53515625" style="402" hidden="1" customWidth="1"/>
    <col min="4866" max="4866" width="0.84375" style="402" hidden="1" customWidth="1"/>
    <col min="4867" max="4882" width="2.53515625" style="402" hidden="1" customWidth="1"/>
    <col min="4883" max="4883" width="4" style="402" hidden="1" customWidth="1"/>
    <col min="4884" max="4887" width="2.53515625" style="402" hidden="1" customWidth="1"/>
    <col min="4888" max="4888" width="2.3828125" style="402" hidden="1" customWidth="1"/>
    <col min="4889" max="4892" width="2.53515625" style="402" hidden="1" customWidth="1"/>
    <col min="4893" max="4893" width="2.3828125" style="402" hidden="1" customWidth="1"/>
    <col min="4894" max="4897" width="2.53515625" style="402" hidden="1" customWidth="1"/>
    <col min="4898" max="4903" width="2.3828125" style="402" hidden="1" customWidth="1"/>
    <col min="4904" max="4904" width="1.53515625" style="402" hidden="1" customWidth="1"/>
    <col min="4905" max="5120" width="2.53515625" style="402" hidden="1"/>
    <col min="5121" max="5121" width="1.53515625" style="402" hidden="1" customWidth="1"/>
    <col min="5122" max="5122" width="0.84375" style="402" hidden="1" customWidth="1"/>
    <col min="5123" max="5138" width="2.53515625" style="402" hidden="1" customWidth="1"/>
    <col min="5139" max="5139" width="4" style="402" hidden="1" customWidth="1"/>
    <col min="5140" max="5143" width="2.53515625" style="402" hidden="1" customWidth="1"/>
    <col min="5144" max="5144" width="2.3828125" style="402" hidden="1" customWidth="1"/>
    <col min="5145" max="5148" width="2.53515625" style="402" hidden="1" customWidth="1"/>
    <col min="5149" max="5149" width="2.3828125" style="402" hidden="1" customWidth="1"/>
    <col min="5150" max="5153" width="2.53515625" style="402" hidden="1" customWidth="1"/>
    <col min="5154" max="5159" width="2.3828125" style="402" hidden="1" customWidth="1"/>
    <col min="5160" max="5160" width="1.53515625" style="402" hidden="1" customWidth="1"/>
    <col min="5161" max="5376" width="2.53515625" style="402" hidden="1"/>
    <col min="5377" max="5377" width="1.53515625" style="402" hidden="1" customWidth="1"/>
    <col min="5378" max="5378" width="0.84375" style="402" hidden="1" customWidth="1"/>
    <col min="5379" max="5394" width="2.53515625" style="402" hidden="1" customWidth="1"/>
    <col min="5395" max="5395" width="4" style="402" hidden="1" customWidth="1"/>
    <col min="5396" max="5399" width="2.53515625" style="402" hidden="1" customWidth="1"/>
    <col min="5400" max="5400" width="2.3828125" style="402" hidden="1" customWidth="1"/>
    <col min="5401" max="5404" width="2.53515625" style="402" hidden="1" customWidth="1"/>
    <col min="5405" max="5405" width="2.3828125" style="402" hidden="1" customWidth="1"/>
    <col min="5406" max="5409" width="2.53515625" style="402" hidden="1" customWidth="1"/>
    <col min="5410" max="5415" width="2.3828125" style="402" hidden="1" customWidth="1"/>
    <col min="5416" max="5416" width="1.53515625" style="402" hidden="1" customWidth="1"/>
    <col min="5417" max="5632" width="2.53515625" style="402" hidden="1"/>
    <col min="5633" max="5633" width="1.53515625" style="402" hidden="1" customWidth="1"/>
    <col min="5634" max="5634" width="0.84375" style="402" hidden="1" customWidth="1"/>
    <col min="5635" max="5650" width="2.53515625" style="402" hidden="1" customWidth="1"/>
    <col min="5651" max="5651" width="4" style="402" hidden="1" customWidth="1"/>
    <col min="5652" max="5655" width="2.53515625" style="402" hidden="1" customWidth="1"/>
    <col min="5656" max="5656" width="2.3828125" style="402" hidden="1" customWidth="1"/>
    <col min="5657" max="5660" width="2.53515625" style="402" hidden="1" customWidth="1"/>
    <col min="5661" max="5661" width="2.3828125" style="402" hidden="1" customWidth="1"/>
    <col min="5662" max="5665" width="2.53515625" style="402" hidden="1" customWidth="1"/>
    <col min="5666" max="5671" width="2.3828125" style="402" hidden="1" customWidth="1"/>
    <col min="5672" max="5672" width="1.53515625" style="402" hidden="1" customWidth="1"/>
    <col min="5673" max="5888" width="2.53515625" style="402" hidden="1"/>
    <col min="5889" max="5889" width="1.53515625" style="402" hidden="1" customWidth="1"/>
    <col min="5890" max="5890" width="0.84375" style="402" hidden="1" customWidth="1"/>
    <col min="5891" max="5906" width="2.53515625" style="402" hidden="1" customWidth="1"/>
    <col min="5907" max="5907" width="4" style="402" hidden="1" customWidth="1"/>
    <col min="5908" max="5911" width="2.53515625" style="402" hidden="1" customWidth="1"/>
    <col min="5912" max="5912" width="2.3828125" style="402" hidden="1" customWidth="1"/>
    <col min="5913" max="5916" width="2.53515625" style="402" hidden="1" customWidth="1"/>
    <col min="5917" max="5917" width="2.3828125" style="402" hidden="1" customWidth="1"/>
    <col min="5918" max="5921" width="2.53515625" style="402" hidden="1" customWidth="1"/>
    <col min="5922" max="5927" width="2.3828125" style="402" hidden="1" customWidth="1"/>
    <col min="5928" max="5928" width="1.53515625" style="402" hidden="1" customWidth="1"/>
    <col min="5929" max="6144" width="2.53515625" style="402" hidden="1"/>
    <col min="6145" max="6145" width="1.53515625" style="402" hidden="1" customWidth="1"/>
    <col min="6146" max="6146" width="0.84375" style="402" hidden="1" customWidth="1"/>
    <col min="6147" max="6162" width="2.53515625" style="402" hidden="1" customWidth="1"/>
    <col min="6163" max="6163" width="4" style="402" hidden="1" customWidth="1"/>
    <col min="6164" max="6167" width="2.53515625" style="402" hidden="1" customWidth="1"/>
    <col min="6168" max="6168" width="2.3828125" style="402" hidden="1" customWidth="1"/>
    <col min="6169" max="6172" width="2.53515625" style="402" hidden="1" customWidth="1"/>
    <col min="6173" max="6173" width="2.3828125" style="402" hidden="1" customWidth="1"/>
    <col min="6174" max="6177" width="2.53515625" style="402" hidden="1" customWidth="1"/>
    <col min="6178" max="6183" width="2.3828125" style="402" hidden="1" customWidth="1"/>
    <col min="6184" max="6184" width="1.53515625" style="402" hidden="1" customWidth="1"/>
    <col min="6185" max="6400" width="2.53515625" style="402" hidden="1"/>
    <col min="6401" max="6401" width="1.53515625" style="402" hidden="1" customWidth="1"/>
    <col min="6402" max="6402" width="0.84375" style="402" hidden="1" customWidth="1"/>
    <col min="6403" max="6418" width="2.53515625" style="402" hidden="1" customWidth="1"/>
    <col min="6419" max="6419" width="4" style="402" hidden="1" customWidth="1"/>
    <col min="6420" max="6423" width="2.53515625" style="402" hidden="1" customWidth="1"/>
    <col min="6424" max="6424" width="2.3828125" style="402" hidden="1" customWidth="1"/>
    <col min="6425" max="6428" width="2.53515625" style="402" hidden="1" customWidth="1"/>
    <col min="6429" max="6429" width="2.3828125" style="402" hidden="1" customWidth="1"/>
    <col min="6430" max="6433" width="2.53515625" style="402" hidden="1" customWidth="1"/>
    <col min="6434" max="6439" width="2.3828125" style="402" hidden="1" customWidth="1"/>
    <col min="6440" max="6440" width="1.53515625" style="402" hidden="1" customWidth="1"/>
    <col min="6441" max="6656" width="2.53515625" style="402" hidden="1"/>
    <col min="6657" max="6657" width="1.53515625" style="402" hidden="1" customWidth="1"/>
    <col min="6658" max="6658" width="0.84375" style="402" hidden="1" customWidth="1"/>
    <col min="6659" max="6674" width="2.53515625" style="402" hidden="1" customWidth="1"/>
    <col min="6675" max="6675" width="4" style="402" hidden="1" customWidth="1"/>
    <col min="6676" max="6679" width="2.53515625" style="402" hidden="1" customWidth="1"/>
    <col min="6680" max="6680" width="2.3828125" style="402" hidden="1" customWidth="1"/>
    <col min="6681" max="6684" width="2.53515625" style="402" hidden="1" customWidth="1"/>
    <col min="6685" max="6685" width="2.3828125" style="402" hidden="1" customWidth="1"/>
    <col min="6686" max="6689" width="2.53515625" style="402" hidden="1" customWidth="1"/>
    <col min="6690" max="6695" width="2.3828125" style="402" hidden="1" customWidth="1"/>
    <col min="6696" max="6696" width="1.53515625" style="402" hidden="1" customWidth="1"/>
    <col min="6697" max="6912" width="2.53515625" style="402" hidden="1"/>
    <col min="6913" max="6913" width="1.53515625" style="402" hidden="1" customWidth="1"/>
    <col min="6914" max="6914" width="0.84375" style="402" hidden="1" customWidth="1"/>
    <col min="6915" max="6930" width="2.53515625" style="402" hidden="1" customWidth="1"/>
    <col min="6931" max="6931" width="4" style="402" hidden="1" customWidth="1"/>
    <col min="6932" max="6935" width="2.53515625" style="402" hidden="1" customWidth="1"/>
    <col min="6936" max="6936" width="2.3828125" style="402" hidden="1" customWidth="1"/>
    <col min="6937" max="6940" width="2.53515625" style="402" hidden="1" customWidth="1"/>
    <col min="6941" max="6941" width="2.3828125" style="402" hidden="1" customWidth="1"/>
    <col min="6942" max="6945" width="2.53515625" style="402" hidden="1" customWidth="1"/>
    <col min="6946" max="6951" width="2.3828125" style="402" hidden="1" customWidth="1"/>
    <col min="6952" max="6952" width="1.53515625" style="402" hidden="1" customWidth="1"/>
    <col min="6953" max="7168" width="2.53515625" style="402" hidden="1"/>
    <col min="7169" max="7169" width="1.53515625" style="402" hidden="1" customWidth="1"/>
    <col min="7170" max="7170" width="0.84375" style="402" hidden="1" customWidth="1"/>
    <col min="7171" max="7186" width="2.53515625" style="402" hidden="1" customWidth="1"/>
    <col min="7187" max="7187" width="4" style="402" hidden="1" customWidth="1"/>
    <col min="7188" max="7191" width="2.53515625" style="402" hidden="1" customWidth="1"/>
    <col min="7192" max="7192" width="2.3828125" style="402" hidden="1" customWidth="1"/>
    <col min="7193" max="7196" width="2.53515625" style="402" hidden="1" customWidth="1"/>
    <col min="7197" max="7197" width="2.3828125" style="402" hidden="1" customWidth="1"/>
    <col min="7198" max="7201" width="2.53515625" style="402" hidden="1" customWidth="1"/>
    <col min="7202" max="7207" width="2.3828125" style="402" hidden="1" customWidth="1"/>
    <col min="7208" max="7208" width="1.53515625" style="402" hidden="1" customWidth="1"/>
    <col min="7209" max="7424" width="2.53515625" style="402" hidden="1"/>
    <col min="7425" max="7425" width="1.53515625" style="402" hidden="1" customWidth="1"/>
    <col min="7426" max="7426" width="0.84375" style="402" hidden="1" customWidth="1"/>
    <col min="7427" max="7442" width="2.53515625" style="402" hidden="1" customWidth="1"/>
    <col min="7443" max="7443" width="4" style="402" hidden="1" customWidth="1"/>
    <col min="7444" max="7447" width="2.53515625" style="402" hidden="1" customWidth="1"/>
    <col min="7448" max="7448" width="2.3828125" style="402" hidden="1" customWidth="1"/>
    <col min="7449" max="7452" width="2.53515625" style="402" hidden="1" customWidth="1"/>
    <col min="7453" max="7453" width="2.3828125" style="402" hidden="1" customWidth="1"/>
    <col min="7454" max="7457" width="2.53515625" style="402" hidden="1" customWidth="1"/>
    <col min="7458" max="7463" width="2.3828125" style="402" hidden="1" customWidth="1"/>
    <col min="7464" max="7464" width="1.53515625" style="402" hidden="1" customWidth="1"/>
    <col min="7465" max="7680" width="2.53515625" style="402" hidden="1"/>
    <col min="7681" max="7681" width="1.53515625" style="402" hidden="1" customWidth="1"/>
    <col min="7682" max="7682" width="0.84375" style="402" hidden="1" customWidth="1"/>
    <col min="7683" max="7698" width="2.53515625" style="402" hidden="1" customWidth="1"/>
    <col min="7699" max="7699" width="4" style="402" hidden="1" customWidth="1"/>
    <col min="7700" max="7703" width="2.53515625" style="402" hidden="1" customWidth="1"/>
    <col min="7704" max="7704" width="2.3828125" style="402" hidden="1" customWidth="1"/>
    <col min="7705" max="7708" width="2.53515625" style="402" hidden="1" customWidth="1"/>
    <col min="7709" max="7709" width="2.3828125" style="402" hidden="1" customWidth="1"/>
    <col min="7710" max="7713" width="2.53515625" style="402" hidden="1" customWidth="1"/>
    <col min="7714" max="7719" width="2.3828125" style="402" hidden="1" customWidth="1"/>
    <col min="7720" max="7720" width="1.53515625" style="402" hidden="1" customWidth="1"/>
    <col min="7721" max="7936" width="2.53515625" style="402" hidden="1"/>
    <col min="7937" max="7937" width="1.53515625" style="402" hidden="1" customWidth="1"/>
    <col min="7938" max="7938" width="0.84375" style="402" hidden="1" customWidth="1"/>
    <col min="7939" max="7954" width="2.53515625" style="402" hidden="1" customWidth="1"/>
    <col min="7955" max="7955" width="4" style="402" hidden="1" customWidth="1"/>
    <col min="7956" max="7959" width="2.53515625" style="402" hidden="1" customWidth="1"/>
    <col min="7960" max="7960" width="2.3828125" style="402" hidden="1" customWidth="1"/>
    <col min="7961" max="7964" width="2.53515625" style="402" hidden="1" customWidth="1"/>
    <col min="7965" max="7965" width="2.3828125" style="402" hidden="1" customWidth="1"/>
    <col min="7966" max="7969" width="2.53515625" style="402" hidden="1" customWidth="1"/>
    <col min="7970" max="7975" width="2.3828125" style="402" hidden="1" customWidth="1"/>
    <col min="7976" max="7976" width="1.53515625" style="402" hidden="1" customWidth="1"/>
    <col min="7977" max="8192" width="2.53515625" style="402" hidden="1"/>
    <col min="8193" max="8193" width="1.53515625" style="402" hidden="1" customWidth="1"/>
    <col min="8194" max="8194" width="0.84375" style="402" hidden="1" customWidth="1"/>
    <col min="8195" max="8210" width="2.53515625" style="402" hidden="1" customWidth="1"/>
    <col min="8211" max="8211" width="4" style="402" hidden="1" customWidth="1"/>
    <col min="8212" max="8215" width="2.53515625" style="402" hidden="1" customWidth="1"/>
    <col min="8216" max="8216" width="2.3828125" style="402" hidden="1" customWidth="1"/>
    <col min="8217" max="8220" width="2.53515625" style="402" hidden="1" customWidth="1"/>
    <col min="8221" max="8221" width="2.3828125" style="402" hidden="1" customWidth="1"/>
    <col min="8222" max="8225" width="2.53515625" style="402" hidden="1" customWidth="1"/>
    <col min="8226" max="8231" width="2.3828125" style="402" hidden="1" customWidth="1"/>
    <col min="8232" max="8232" width="1.53515625" style="402" hidden="1" customWidth="1"/>
    <col min="8233" max="8448" width="2.53515625" style="402" hidden="1"/>
    <col min="8449" max="8449" width="1.53515625" style="402" hidden="1" customWidth="1"/>
    <col min="8450" max="8450" width="0.84375" style="402" hidden="1" customWidth="1"/>
    <col min="8451" max="8466" width="2.53515625" style="402" hidden="1" customWidth="1"/>
    <col min="8467" max="8467" width="4" style="402" hidden="1" customWidth="1"/>
    <col min="8468" max="8471" width="2.53515625" style="402" hidden="1" customWidth="1"/>
    <col min="8472" max="8472" width="2.3828125" style="402" hidden="1" customWidth="1"/>
    <col min="8473" max="8476" width="2.53515625" style="402" hidden="1" customWidth="1"/>
    <col min="8477" max="8477" width="2.3828125" style="402" hidden="1" customWidth="1"/>
    <col min="8478" max="8481" width="2.53515625" style="402" hidden="1" customWidth="1"/>
    <col min="8482" max="8487" width="2.3828125" style="402" hidden="1" customWidth="1"/>
    <col min="8488" max="8488" width="1.53515625" style="402" hidden="1" customWidth="1"/>
    <col min="8489" max="8704" width="2.53515625" style="402" hidden="1"/>
    <col min="8705" max="8705" width="1.53515625" style="402" hidden="1" customWidth="1"/>
    <col min="8706" max="8706" width="0.84375" style="402" hidden="1" customWidth="1"/>
    <col min="8707" max="8722" width="2.53515625" style="402" hidden="1" customWidth="1"/>
    <col min="8723" max="8723" width="4" style="402" hidden="1" customWidth="1"/>
    <col min="8724" max="8727" width="2.53515625" style="402" hidden="1" customWidth="1"/>
    <col min="8728" max="8728" width="2.3828125" style="402" hidden="1" customWidth="1"/>
    <col min="8729" max="8732" width="2.53515625" style="402" hidden="1" customWidth="1"/>
    <col min="8733" max="8733" width="2.3828125" style="402" hidden="1" customWidth="1"/>
    <col min="8734" max="8737" width="2.53515625" style="402" hidden="1" customWidth="1"/>
    <col min="8738" max="8743" width="2.3828125" style="402" hidden="1" customWidth="1"/>
    <col min="8744" max="8744" width="1.53515625" style="402" hidden="1" customWidth="1"/>
    <col min="8745" max="8960" width="2.53515625" style="402" hidden="1"/>
    <col min="8961" max="8961" width="1.53515625" style="402" hidden="1" customWidth="1"/>
    <col min="8962" max="8962" width="0.84375" style="402" hidden="1" customWidth="1"/>
    <col min="8963" max="8978" width="2.53515625" style="402" hidden="1" customWidth="1"/>
    <col min="8979" max="8979" width="4" style="402" hidden="1" customWidth="1"/>
    <col min="8980" max="8983" width="2.53515625" style="402" hidden="1" customWidth="1"/>
    <col min="8984" max="8984" width="2.3828125" style="402" hidden="1" customWidth="1"/>
    <col min="8985" max="8988" width="2.53515625" style="402" hidden="1" customWidth="1"/>
    <col min="8989" max="8989" width="2.3828125" style="402" hidden="1" customWidth="1"/>
    <col min="8990" max="8993" width="2.53515625" style="402" hidden="1" customWidth="1"/>
    <col min="8994" max="8999" width="2.3828125" style="402" hidden="1" customWidth="1"/>
    <col min="9000" max="9000" width="1.53515625" style="402" hidden="1" customWidth="1"/>
    <col min="9001" max="9216" width="2.53515625" style="402" hidden="1"/>
    <col min="9217" max="9217" width="1.53515625" style="402" hidden="1" customWidth="1"/>
    <col min="9218" max="9218" width="0.84375" style="402" hidden="1" customWidth="1"/>
    <col min="9219" max="9234" width="2.53515625" style="402" hidden="1" customWidth="1"/>
    <col min="9235" max="9235" width="4" style="402" hidden="1" customWidth="1"/>
    <col min="9236" max="9239" width="2.53515625" style="402" hidden="1" customWidth="1"/>
    <col min="9240" max="9240" width="2.3828125" style="402" hidden="1" customWidth="1"/>
    <col min="9241" max="9244" width="2.53515625" style="402" hidden="1" customWidth="1"/>
    <col min="9245" max="9245" width="2.3828125" style="402" hidden="1" customWidth="1"/>
    <col min="9246" max="9249" width="2.53515625" style="402" hidden="1" customWidth="1"/>
    <col min="9250" max="9255" width="2.3828125" style="402" hidden="1" customWidth="1"/>
    <col min="9256" max="9256" width="1.53515625" style="402" hidden="1" customWidth="1"/>
    <col min="9257" max="9472" width="2.53515625" style="402" hidden="1"/>
    <col min="9473" max="9473" width="1.53515625" style="402" hidden="1" customWidth="1"/>
    <col min="9474" max="9474" width="0.84375" style="402" hidden="1" customWidth="1"/>
    <col min="9475" max="9490" width="2.53515625" style="402" hidden="1" customWidth="1"/>
    <col min="9491" max="9491" width="4" style="402" hidden="1" customWidth="1"/>
    <col min="9492" max="9495" width="2.53515625" style="402" hidden="1" customWidth="1"/>
    <col min="9496" max="9496" width="2.3828125" style="402" hidden="1" customWidth="1"/>
    <col min="9497" max="9500" width="2.53515625" style="402" hidden="1" customWidth="1"/>
    <col min="9501" max="9501" width="2.3828125" style="402" hidden="1" customWidth="1"/>
    <col min="9502" max="9505" width="2.53515625" style="402" hidden="1" customWidth="1"/>
    <col min="9506" max="9511" width="2.3828125" style="402" hidden="1" customWidth="1"/>
    <col min="9512" max="9512" width="1.53515625" style="402" hidden="1" customWidth="1"/>
    <col min="9513" max="9728" width="2.53515625" style="402" hidden="1"/>
    <col min="9729" max="9729" width="1.53515625" style="402" hidden="1" customWidth="1"/>
    <col min="9730" max="9730" width="0.84375" style="402" hidden="1" customWidth="1"/>
    <col min="9731" max="9746" width="2.53515625" style="402" hidden="1" customWidth="1"/>
    <col min="9747" max="9747" width="4" style="402" hidden="1" customWidth="1"/>
    <col min="9748" max="9751" width="2.53515625" style="402" hidden="1" customWidth="1"/>
    <col min="9752" max="9752" width="2.3828125" style="402" hidden="1" customWidth="1"/>
    <col min="9753" max="9756" width="2.53515625" style="402" hidden="1" customWidth="1"/>
    <col min="9757" max="9757" width="2.3828125" style="402" hidden="1" customWidth="1"/>
    <col min="9758" max="9761" width="2.53515625" style="402" hidden="1" customWidth="1"/>
    <col min="9762" max="9767" width="2.3828125" style="402" hidden="1" customWidth="1"/>
    <col min="9768" max="9768" width="1.53515625" style="402" hidden="1" customWidth="1"/>
    <col min="9769" max="9984" width="2.53515625" style="402" hidden="1"/>
    <col min="9985" max="9985" width="1.53515625" style="402" hidden="1" customWidth="1"/>
    <col min="9986" max="9986" width="0.84375" style="402" hidden="1" customWidth="1"/>
    <col min="9987" max="10002" width="2.53515625" style="402" hidden="1" customWidth="1"/>
    <col min="10003" max="10003" width="4" style="402" hidden="1" customWidth="1"/>
    <col min="10004" max="10007" width="2.53515625" style="402" hidden="1" customWidth="1"/>
    <col min="10008" max="10008" width="2.3828125" style="402" hidden="1" customWidth="1"/>
    <col min="10009" max="10012" width="2.53515625" style="402" hidden="1" customWidth="1"/>
    <col min="10013" max="10013" width="2.3828125" style="402" hidden="1" customWidth="1"/>
    <col min="10014" max="10017" width="2.53515625" style="402" hidden="1" customWidth="1"/>
    <col min="10018" max="10023" width="2.3828125" style="402" hidden="1" customWidth="1"/>
    <col min="10024" max="10024" width="1.53515625" style="402" hidden="1" customWidth="1"/>
    <col min="10025" max="10240" width="2.53515625" style="402" hidden="1"/>
    <col min="10241" max="10241" width="1.53515625" style="402" hidden="1" customWidth="1"/>
    <col min="10242" max="10242" width="0.84375" style="402" hidden="1" customWidth="1"/>
    <col min="10243" max="10258" width="2.53515625" style="402" hidden="1" customWidth="1"/>
    <col min="10259" max="10259" width="4" style="402" hidden="1" customWidth="1"/>
    <col min="10260" max="10263" width="2.53515625" style="402" hidden="1" customWidth="1"/>
    <col min="10264" max="10264" width="2.3828125" style="402" hidden="1" customWidth="1"/>
    <col min="10265" max="10268" width="2.53515625" style="402" hidden="1" customWidth="1"/>
    <col min="10269" max="10269" width="2.3828125" style="402" hidden="1" customWidth="1"/>
    <col min="10270" max="10273" width="2.53515625" style="402" hidden="1" customWidth="1"/>
    <col min="10274" max="10279" width="2.3828125" style="402" hidden="1" customWidth="1"/>
    <col min="10280" max="10280" width="1.53515625" style="402" hidden="1" customWidth="1"/>
    <col min="10281" max="10496" width="2.53515625" style="402" hidden="1"/>
    <col min="10497" max="10497" width="1.53515625" style="402" hidden="1" customWidth="1"/>
    <col min="10498" max="10498" width="0.84375" style="402" hidden="1" customWidth="1"/>
    <col min="10499" max="10514" width="2.53515625" style="402" hidden="1" customWidth="1"/>
    <col min="10515" max="10515" width="4" style="402" hidden="1" customWidth="1"/>
    <col min="10516" max="10519" width="2.53515625" style="402" hidden="1" customWidth="1"/>
    <col min="10520" max="10520" width="2.3828125" style="402" hidden="1" customWidth="1"/>
    <col min="10521" max="10524" width="2.53515625" style="402" hidden="1" customWidth="1"/>
    <col min="10525" max="10525" width="2.3828125" style="402" hidden="1" customWidth="1"/>
    <col min="10526" max="10529" width="2.53515625" style="402" hidden="1" customWidth="1"/>
    <col min="10530" max="10535" width="2.3828125" style="402" hidden="1" customWidth="1"/>
    <col min="10536" max="10536" width="1.53515625" style="402" hidden="1" customWidth="1"/>
    <col min="10537" max="10752" width="2.53515625" style="402" hidden="1"/>
    <col min="10753" max="10753" width="1.53515625" style="402" hidden="1" customWidth="1"/>
    <col min="10754" max="10754" width="0.84375" style="402" hidden="1" customWidth="1"/>
    <col min="10755" max="10770" width="2.53515625" style="402" hidden="1" customWidth="1"/>
    <col min="10771" max="10771" width="4" style="402" hidden="1" customWidth="1"/>
    <col min="10772" max="10775" width="2.53515625" style="402" hidden="1" customWidth="1"/>
    <col min="10776" max="10776" width="2.3828125" style="402" hidden="1" customWidth="1"/>
    <col min="10777" max="10780" width="2.53515625" style="402" hidden="1" customWidth="1"/>
    <col min="10781" max="10781" width="2.3828125" style="402" hidden="1" customWidth="1"/>
    <col min="10782" max="10785" width="2.53515625" style="402" hidden="1" customWidth="1"/>
    <col min="10786" max="10791" width="2.3828125" style="402" hidden="1" customWidth="1"/>
    <col min="10792" max="10792" width="1.53515625" style="402" hidden="1" customWidth="1"/>
    <col min="10793" max="11008" width="2.53515625" style="402" hidden="1"/>
    <col min="11009" max="11009" width="1.53515625" style="402" hidden="1" customWidth="1"/>
    <col min="11010" max="11010" width="0.84375" style="402" hidden="1" customWidth="1"/>
    <col min="11011" max="11026" width="2.53515625" style="402" hidden="1" customWidth="1"/>
    <col min="11027" max="11027" width="4" style="402" hidden="1" customWidth="1"/>
    <col min="11028" max="11031" width="2.53515625" style="402" hidden="1" customWidth="1"/>
    <col min="11032" max="11032" width="2.3828125" style="402" hidden="1" customWidth="1"/>
    <col min="11033" max="11036" width="2.53515625" style="402" hidden="1" customWidth="1"/>
    <col min="11037" max="11037" width="2.3828125" style="402" hidden="1" customWidth="1"/>
    <col min="11038" max="11041" width="2.53515625" style="402" hidden="1" customWidth="1"/>
    <col min="11042" max="11047" width="2.3828125" style="402" hidden="1" customWidth="1"/>
    <col min="11048" max="11048" width="1.53515625" style="402" hidden="1" customWidth="1"/>
    <col min="11049" max="11264" width="2.53515625" style="402" hidden="1"/>
    <col min="11265" max="11265" width="1.53515625" style="402" hidden="1" customWidth="1"/>
    <col min="11266" max="11266" width="0.84375" style="402" hidden="1" customWidth="1"/>
    <col min="11267" max="11282" width="2.53515625" style="402" hidden="1" customWidth="1"/>
    <col min="11283" max="11283" width="4" style="402" hidden="1" customWidth="1"/>
    <col min="11284" max="11287" width="2.53515625" style="402" hidden="1" customWidth="1"/>
    <col min="11288" max="11288" width="2.3828125" style="402" hidden="1" customWidth="1"/>
    <col min="11289" max="11292" width="2.53515625" style="402" hidden="1" customWidth="1"/>
    <col min="11293" max="11293" width="2.3828125" style="402" hidden="1" customWidth="1"/>
    <col min="11294" max="11297" width="2.53515625" style="402" hidden="1" customWidth="1"/>
    <col min="11298" max="11303" width="2.3828125" style="402" hidden="1" customWidth="1"/>
    <col min="11304" max="11304" width="1.53515625" style="402" hidden="1" customWidth="1"/>
    <col min="11305" max="11520" width="2.53515625" style="402" hidden="1"/>
    <col min="11521" max="11521" width="1.53515625" style="402" hidden="1" customWidth="1"/>
    <col min="11522" max="11522" width="0.84375" style="402" hidden="1" customWidth="1"/>
    <col min="11523" max="11538" width="2.53515625" style="402" hidden="1" customWidth="1"/>
    <col min="11539" max="11539" width="4" style="402" hidden="1" customWidth="1"/>
    <col min="11540" max="11543" width="2.53515625" style="402" hidden="1" customWidth="1"/>
    <col min="11544" max="11544" width="2.3828125" style="402" hidden="1" customWidth="1"/>
    <col min="11545" max="11548" width="2.53515625" style="402" hidden="1" customWidth="1"/>
    <col min="11549" max="11549" width="2.3828125" style="402" hidden="1" customWidth="1"/>
    <col min="11550" max="11553" width="2.53515625" style="402" hidden="1" customWidth="1"/>
    <col min="11554" max="11559" width="2.3828125" style="402" hidden="1" customWidth="1"/>
    <col min="11560" max="11560" width="1.53515625" style="402" hidden="1" customWidth="1"/>
    <col min="11561" max="11776" width="2.53515625" style="402" hidden="1"/>
    <col min="11777" max="11777" width="1.53515625" style="402" hidden="1" customWidth="1"/>
    <col min="11778" max="11778" width="0.84375" style="402" hidden="1" customWidth="1"/>
    <col min="11779" max="11794" width="2.53515625" style="402" hidden="1" customWidth="1"/>
    <col min="11795" max="11795" width="4" style="402" hidden="1" customWidth="1"/>
    <col min="11796" max="11799" width="2.53515625" style="402" hidden="1" customWidth="1"/>
    <col min="11800" max="11800" width="2.3828125" style="402" hidden="1" customWidth="1"/>
    <col min="11801" max="11804" width="2.53515625" style="402" hidden="1" customWidth="1"/>
    <col min="11805" max="11805" width="2.3828125" style="402" hidden="1" customWidth="1"/>
    <col min="11806" max="11809" width="2.53515625" style="402" hidden="1" customWidth="1"/>
    <col min="11810" max="11815" width="2.3828125" style="402" hidden="1" customWidth="1"/>
    <col min="11816" max="11816" width="1.53515625" style="402" hidden="1" customWidth="1"/>
    <col min="11817" max="12032" width="2.53515625" style="402" hidden="1"/>
    <col min="12033" max="12033" width="1.53515625" style="402" hidden="1" customWidth="1"/>
    <col min="12034" max="12034" width="0.84375" style="402" hidden="1" customWidth="1"/>
    <col min="12035" max="12050" width="2.53515625" style="402" hidden="1" customWidth="1"/>
    <col min="12051" max="12051" width="4" style="402" hidden="1" customWidth="1"/>
    <col min="12052" max="12055" width="2.53515625" style="402" hidden="1" customWidth="1"/>
    <col min="12056" max="12056" width="2.3828125" style="402" hidden="1" customWidth="1"/>
    <col min="12057" max="12060" width="2.53515625" style="402" hidden="1" customWidth="1"/>
    <col min="12061" max="12061" width="2.3828125" style="402" hidden="1" customWidth="1"/>
    <col min="12062" max="12065" width="2.53515625" style="402" hidden="1" customWidth="1"/>
    <col min="12066" max="12071" width="2.3828125" style="402" hidden="1" customWidth="1"/>
    <col min="12072" max="12072" width="1.53515625" style="402" hidden="1" customWidth="1"/>
    <col min="12073" max="12288" width="2.53515625" style="402" hidden="1"/>
    <col min="12289" max="12289" width="1.53515625" style="402" hidden="1" customWidth="1"/>
    <col min="12290" max="12290" width="0.84375" style="402" hidden="1" customWidth="1"/>
    <col min="12291" max="12306" width="2.53515625" style="402" hidden="1" customWidth="1"/>
    <col min="12307" max="12307" width="4" style="402" hidden="1" customWidth="1"/>
    <col min="12308" max="12311" width="2.53515625" style="402" hidden="1" customWidth="1"/>
    <col min="12312" max="12312" width="2.3828125" style="402" hidden="1" customWidth="1"/>
    <col min="12313" max="12316" width="2.53515625" style="402" hidden="1" customWidth="1"/>
    <col min="12317" max="12317" width="2.3828125" style="402" hidden="1" customWidth="1"/>
    <col min="12318" max="12321" width="2.53515625" style="402" hidden="1" customWidth="1"/>
    <col min="12322" max="12327" width="2.3828125" style="402" hidden="1" customWidth="1"/>
    <col min="12328" max="12328" width="1.53515625" style="402" hidden="1" customWidth="1"/>
    <col min="12329" max="12544" width="2.53515625" style="402" hidden="1"/>
    <col min="12545" max="12545" width="1.53515625" style="402" hidden="1" customWidth="1"/>
    <col min="12546" max="12546" width="0.84375" style="402" hidden="1" customWidth="1"/>
    <col min="12547" max="12562" width="2.53515625" style="402" hidden="1" customWidth="1"/>
    <col min="12563" max="12563" width="4" style="402" hidden="1" customWidth="1"/>
    <col min="12564" max="12567" width="2.53515625" style="402" hidden="1" customWidth="1"/>
    <col min="12568" max="12568" width="2.3828125" style="402" hidden="1" customWidth="1"/>
    <col min="12569" max="12572" width="2.53515625" style="402" hidden="1" customWidth="1"/>
    <col min="12573" max="12573" width="2.3828125" style="402" hidden="1" customWidth="1"/>
    <col min="12574" max="12577" width="2.53515625" style="402" hidden="1" customWidth="1"/>
    <col min="12578" max="12583" width="2.3828125" style="402" hidden="1" customWidth="1"/>
    <col min="12584" max="12584" width="1.53515625" style="402" hidden="1" customWidth="1"/>
    <col min="12585" max="12800" width="2.53515625" style="402" hidden="1"/>
    <col min="12801" max="12801" width="1.53515625" style="402" hidden="1" customWidth="1"/>
    <col min="12802" max="12802" width="0.84375" style="402" hidden="1" customWidth="1"/>
    <col min="12803" max="12818" width="2.53515625" style="402" hidden="1" customWidth="1"/>
    <col min="12819" max="12819" width="4" style="402" hidden="1" customWidth="1"/>
    <col min="12820" max="12823" width="2.53515625" style="402" hidden="1" customWidth="1"/>
    <col min="12824" max="12824" width="2.3828125" style="402" hidden="1" customWidth="1"/>
    <col min="12825" max="12828" width="2.53515625" style="402" hidden="1" customWidth="1"/>
    <col min="12829" max="12829" width="2.3828125" style="402" hidden="1" customWidth="1"/>
    <col min="12830" max="12833" width="2.53515625" style="402" hidden="1" customWidth="1"/>
    <col min="12834" max="12839" width="2.3828125" style="402" hidden="1" customWidth="1"/>
    <col min="12840" max="12840" width="1.53515625" style="402" hidden="1" customWidth="1"/>
    <col min="12841" max="13056" width="2.53515625" style="402" hidden="1"/>
    <col min="13057" max="13057" width="1.53515625" style="402" hidden="1" customWidth="1"/>
    <col min="13058" max="13058" width="0.84375" style="402" hidden="1" customWidth="1"/>
    <col min="13059" max="13074" width="2.53515625" style="402" hidden="1" customWidth="1"/>
    <col min="13075" max="13075" width="4" style="402" hidden="1" customWidth="1"/>
    <col min="13076" max="13079" width="2.53515625" style="402" hidden="1" customWidth="1"/>
    <col min="13080" max="13080" width="2.3828125" style="402" hidden="1" customWidth="1"/>
    <col min="13081" max="13084" width="2.53515625" style="402" hidden="1" customWidth="1"/>
    <col min="13085" max="13085" width="2.3828125" style="402" hidden="1" customWidth="1"/>
    <col min="13086" max="13089" width="2.53515625" style="402" hidden="1" customWidth="1"/>
    <col min="13090" max="13095" width="2.3828125" style="402" hidden="1" customWidth="1"/>
    <col min="13096" max="13096" width="1.53515625" style="402" hidden="1" customWidth="1"/>
    <col min="13097" max="13312" width="2.53515625" style="402" hidden="1"/>
    <col min="13313" max="13313" width="1.53515625" style="402" hidden="1" customWidth="1"/>
    <col min="13314" max="13314" width="0.84375" style="402" hidden="1" customWidth="1"/>
    <col min="13315" max="13330" width="2.53515625" style="402" hidden="1" customWidth="1"/>
    <col min="13331" max="13331" width="4" style="402" hidden="1" customWidth="1"/>
    <col min="13332" max="13335" width="2.53515625" style="402" hidden="1" customWidth="1"/>
    <col min="13336" max="13336" width="2.3828125" style="402" hidden="1" customWidth="1"/>
    <col min="13337" max="13340" width="2.53515625" style="402" hidden="1" customWidth="1"/>
    <col min="13341" max="13341" width="2.3828125" style="402" hidden="1" customWidth="1"/>
    <col min="13342" max="13345" width="2.53515625" style="402" hidden="1" customWidth="1"/>
    <col min="13346" max="13351" width="2.3828125" style="402" hidden="1" customWidth="1"/>
    <col min="13352" max="13352" width="1.53515625" style="402" hidden="1" customWidth="1"/>
    <col min="13353" max="13568" width="2.53515625" style="402" hidden="1"/>
    <col min="13569" max="13569" width="1.53515625" style="402" hidden="1" customWidth="1"/>
    <col min="13570" max="13570" width="0.84375" style="402" hidden="1" customWidth="1"/>
    <col min="13571" max="13586" width="2.53515625" style="402" hidden="1" customWidth="1"/>
    <col min="13587" max="13587" width="4" style="402" hidden="1" customWidth="1"/>
    <col min="13588" max="13591" width="2.53515625" style="402" hidden="1" customWidth="1"/>
    <col min="13592" max="13592" width="2.3828125" style="402" hidden="1" customWidth="1"/>
    <col min="13593" max="13596" width="2.53515625" style="402" hidden="1" customWidth="1"/>
    <col min="13597" max="13597" width="2.3828125" style="402" hidden="1" customWidth="1"/>
    <col min="13598" max="13601" width="2.53515625" style="402" hidden="1" customWidth="1"/>
    <col min="13602" max="13607" width="2.3828125" style="402" hidden="1" customWidth="1"/>
    <col min="13608" max="13608" width="1.53515625" style="402" hidden="1" customWidth="1"/>
    <col min="13609" max="13824" width="2.53515625" style="402" hidden="1"/>
    <col min="13825" max="13825" width="1.53515625" style="402" hidden="1" customWidth="1"/>
    <col min="13826" max="13826" width="0.84375" style="402" hidden="1" customWidth="1"/>
    <col min="13827" max="13842" width="2.53515625" style="402" hidden="1" customWidth="1"/>
    <col min="13843" max="13843" width="4" style="402" hidden="1" customWidth="1"/>
    <col min="13844" max="13847" width="2.53515625" style="402" hidden="1" customWidth="1"/>
    <col min="13848" max="13848" width="2.3828125" style="402" hidden="1" customWidth="1"/>
    <col min="13849" max="13852" width="2.53515625" style="402" hidden="1" customWidth="1"/>
    <col min="13853" max="13853" width="2.3828125" style="402" hidden="1" customWidth="1"/>
    <col min="13854" max="13857" width="2.53515625" style="402" hidden="1" customWidth="1"/>
    <col min="13858" max="13863" width="2.3828125" style="402" hidden="1" customWidth="1"/>
    <col min="13864" max="13864" width="1.53515625" style="402" hidden="1" customWidth="1"/>
    <col min="13865" max="14080" width="2.53515625" style="402" hidden="1"/>
    <col min="14081" max="14081" width="1.53515625" style="402" hidden="1" customWidth="1"/>
    <col min="14082" max="14082" width="0.84375" style="402" hidden="1" customWidth="1"/>
    <col min="14083" max="14098" width="2.53515625" style="402" hidden="1" customWidth="1"/>
    <col min="14099" max="14099" width="4" style="402" hidden="1" customWidth="1"/>
    <col min="14100" max="14103" width="2.53515625" style="402" hidden="1" customWidth="1"/>
    <col min="14104" max="14104" width="2.3828125" style="402" hidden="1" customWidth="1"/>
    <col min="14105" max="14108" width="2.53515625" style="402" hidden="1" customWidth="1"/>
    <col min="14109" max="14109" width="2.3828125" style="402" hidden="1" customWidth="1"/>
    <col min="14110" max="14113" width="2.53515625" style="402" hidden="1" customWidth="1"/>
    <col min="14114" max="14119" width="2.3828125" style="402" hidden="1" customWidth="1"/>
    <col min="14120" max="14120" width="1.53515625" style="402" hidden="1" customWidth="1"/>
    <col min="14121" max="14336" width="2.53515625" style="402" hidden="1"/>
    <col min="14337" max="14337" width="1.53515625" style="402" hidden="1" customWidth="1"/>
    <col min="14338" max="14338" width="0.84375" style="402" hidden="1" customWidth="1"/>
    <col min="14339" max="14354" width="2.53515625" style="402" hidden="1" customWidth="1"/>
    <col min="14355" max="14355" width="4" style="402" hidden="1" customWidth="1"/>
    <col min="14356" max="14359" width="2.53515625" style="402" hidden="1" customWidth="1"/>
    <col min="14360" max="14360" width="2.3828125" style="402" hidden="1" customWidth="1"/>
    <col min="14361" max="14364" width="2.53515625" style="402" hidden="1" customWidth="1"/>
    <col min="14365" max="14365" width="2.3828125" style="402" hidden="1" customWidth="1"/>
    <col min="14366" max="14369" width="2.53515625" style="402" hidden="1" customWidth="1"/>
    <col min="14370" max="14375" width="2.3828125" style="402" hidden="1" customWidth="1"/>
    <col min="14376" max="14376" width="1.53515625" style="402" hidden="1" customWidth="1"/>
    <col min="14377" max="14592" width="2.53515625" style="402" hidden="1"/>
    <col min="14593" max="14593" width="1.53515625" style="402" hidden="1" customWidth="1"/>
    <col min="14594" max="14594" width="0.84375" style="402" hidden="1" customWidth="1"/>
    <col min="14595" max="14610" width="2.53515625" style="402" hidden="1" customWidth="1"/>
    <col min="14611" max="14611" width="4" style="402" hidden="1" customWidth="1"/>
    <col min="14612" max="14615" width="2.53515625" style="402" hidden="1" customWidth="1"/>
    <col min="14616" max="14616" width="2.3828125" style="402" hidden="1" customWidth="1"/>
    <col min="14617" max="14620" width="2.53515625" style="402" hidden="1" customWidth="1"/>
    <col min="14621" max="14621" width="2.3828125" style="402" hidden="1" customWidth="1"/>
    <col min="14622" max="14625" width="2.53515625" style="402" hidden="1" customWidth="1"/>
    <col min="14626" max="14631" width="2.3828125" style="402" hidden="1" customWidth="1"/>
    <col min="14632" max="14632" width="1.53515625" style="402" hidden="1" customWidth="1"/>
    <col min="14633" max="14848" width="2.53515625" style="402" hidden="1"/>
    <col min="14849" max="14849" width="1.53515625" style="402" hidden="1" customWidth="1"/>
    <col min="14850" max="14850" width="0.84375" style="402" hidden="1" customWidth="1"/>
    <col min="14851" max="14866" width="2.53515625" style="402" hidden="1" customWidth="1"/>
    <col min="14867" max="14867" width="4" style="402" hidden="1" customWidth="1"/>
    <col min="14868" max="14871" width="2.53515625" style="402" hidden="1" customWidth="1"/>
    <col min="14872" max="14872" width="2.3828125" style="402" hidden="1" customWidth="1"/>
    <col min="14873" max="14876" width="2.53515625" style="402" hidden="1" customWidth="1"/>
    <col min="14877" max="14877" width="2.3828125" style="402" hidden="1" customWidth="1"/>
    <col min="14878" max="14881" width="2.53515625" style="402" hidden="1" customWidth="1"/>
    <col min="14882" max="14887" width="2.3828125" style="402" hidden="1" customWidth="1"/>
    <col min="14888" max="14888" width="1.53515625" style="402" hidden="1" customWidth="1"/>
    <col min="14889" max="15104" width="2.53515625" style="402" hidden="1"/>
    <col min="15105" max="15105" width="1.53515625" style="402" hidden="1" customWidth="1"/>
    <col min="15106" max="15106" width="0.84375" style="402" hidden="1" customWidth="1"/>
    <col min="15107" max="15122" width="2.53515625" style="402" hidden="1" customWidth="1"/>
    <col min="15123" max="15123" width="4" style="402" hidden="1" customWidth="1"/>
    <col min="15124" max="15127" width="2.53515625" style="402" hidden="1" customWidth="1"/>
    <col min="15128" max="15128" width="2.3828125" style="402" hidden="1" customWidth="1"/>
    <col min="15129" max="15132" width="2.53515625" style="402" hidden="1" customWidth="1"/>
    <col min="15133" max="15133" width="2.3828125" style="402" hidden="1" customWidth="1"/>
    <col min="15134" max="15137" width="2.53515625" style="402" hidden="1" customWidth="1"/>
    <col min="15138" max="15143" width="2.3828125" style="402" hidden="1" customWidth="1"/>
    <col min="15144" max="15144" width="1.53515625" style="402" hidden="1" customWidth="1"/>
    <col min="15145" max="15360" width="2.53515625" style="402" hidden="1"/>
    <col min="15361" max="15361" width="1.53515625" style="402" hidden="1" customWidth="1"/>
    <col min="15362" max="15362" width="0.84375" style="402" hidden="1" customWidth="1"/>
    <col min="15363" max="15378" width="2.53515625" style="402" hidden="1" customWidth="1"/>
    <col min="15379" max="15379" width="4" style="402" hidden="1" customWidth="1"/>
    <col min="15380" max="15383" width="2.53515625" style="402" hidden="1" customWidth="1"/>
    <col min="15384" max="15384" width="2.3828125" style="402" hidden="1" customWidth="1"/>
    <col min="15385" max="15388" width="2.53515625" style="402" hidden="1" customWidth="1"/>
    <col min="15389" max="15389" width="2.3828125" style="402" hidden="1" customWidth="1"/>
    <col min="15390" max="15393" width="2.53515625" style="402" hidden="1" customWidth="1"/>
    <col min="15394" max="15399" width="2.3828125" style="402" hidden="1" customWidth="1"/>
    <col min="15400" max="15400" width="1.53515625" style="402" hidden="1" customWidth="1"/>
    <col min="15401" max="15616" width="2.53515625" style="402" hidden="1"/>
    <col min="15617" max="15617" width="1.53515625" style="402" hidden="1" customWidth="1"/>
    <col min="15618" max="15618" width="0.84375" style="402" hidden="1" customWidth="1"/>
    <col min="15619" max="15634" width="2.53515625" style="402" hidden="1" customWidth="1"/>
    <col min="15635" max="15635" width="4" style="402" hidden="1" customWidth="1"/>
    <col min="15636" max="15639" width="2.53515625" style="402" hidden="1" customWidth="1"/>
    <col min="15640" max="15640" width="2.3828125" style="402" hidden="1" customWidth="1"/>
    <col min="15641" max="15644" width="2.53515625" style="402" hidden="1" customWidth="1"/>
    <col min="15645" max="15645" width="2.3828125" style="402" hidden="1" customWidth="1"/>
    <col min="15646" max="15649" width="2.53515625" style="402" hidden="1" customWidth="1"/>
    <col min="15650" max="15655" width="2.3828125" style="402" hidden="1" customWidth="1"/>
    <col min="15656" max="15656" width="1.53515625" style="402" hidden="1" customWidth="1"/>
    <col min="15657" max="15872" width="2.53515625" style="402" hidden="1"/>
    <col min="15873" max="15873" width="1.53515625" style="402" hidden="1" customWidth="1"/>
    <col min="15874" max="15874" width="0.84375" style="402" hidden="1" customWidth="1"/>
    <col min="15875" max="15890" width="2.53515625" style="402" hidden="1" customWidth="1"/>
    <col min="15891" max="15891" width="4" style="402" hidden="1" customWidth="1"/>
    <col min="15892" max="15895" width="2.53515625" style="402" hidden="1" customWidth="1"/>
    <col min="15896" max="15896" width="2.3828125" style="402" hidden="1" customWidth="1"/>
    <col min="15897" max="15900" width="2.53515625" style="402" hidden="1" customWidth="1"/>
    <col min="15901" max="15901" width="2.3828125" style="402" hidden="1" customWidth="1"/>
    <col min="15902" max="15905" width="2.53515625" style="402" hidden="1" customWidth="1"/>
    <col min="15906" max="15911" width="2.3828125" style="402" hidden="1" customWidth="1"/>
    <col min="15912" max="15912" width="1.53515625" style="402" hidden="1" customWidth="1"/>
    <col min="15913" max="16128" width="2.53515625" style="402" hidden="1"/>
    <col min="16129" max="16129" width="1.53515625" style="402" hidden="1" customWidth="1"/>
    <col min="16130" max="16130" width="0.84375" style="402" hidden="1" customWidth="1"/>
    <col min="16131" max="16146" width="2.53515625" style="402" hidden="1" customWidth="1"/>
    <col min="16147" max="16147" width="4" style="402" hidden="1" customWidth="1"/>
    <col min="16148" max="16151" width="2.53515625" style="402" hidden="1" customWidth="1"/>
    <col min="16152" max="16152" width="2.3828125" style="402" hidden="1" customWidth="1"/>
    <col min="16153" max="16156" width="2.53515625" style="402" hidden="1" customWidth="1"/>
    <col min="16157" max="16157" width="2.3828125" style="402" hidden="1" customWidth="1"/>
    <col min="16158" max="16161" width="2.53515625" style="402" hidden="1" customWidth="1"/>
    <col min="16162" max="16167" width="2.3828125" style="402" hidden="1" customWidth="1"/>
    <col min="16168" max="16168" width="1.53515625" style="402" hidden="1" customWidth="1"/>
    <col min="16169" max="16384" width="2.53515625" style="402" hidden="1"/>
  </cols>
  <sheetData>
    <row r="1" spans="1:40" ht="13"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102582910</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50"/>
      <c r="C18" s="1810" t="s">
        <v>961</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50"/>
      <c r="C19" s="1810" t="s">
        <v>961</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102582910</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194397778.80000001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133357783</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133357783</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133357783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3" customHeight="1">
      <c r="B36" s="407"/>
      <c r="X36" s="412"/>
      <c r="Y36" s="2358"/>
      <c r="Z36" s="2358"/>
      <c r="AA36" s="2358"/>
      <c r="AB36" s="2358"/>
      <c r="AC36" s="2358"/>
      <c r="AD36" s="2378"/>
      <c r="AE36" s="2378"/>
      <c r="AF36" s="2378"/>
      <c r="AG36" s="2378"/>
      <c r="AH36" s="237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133357783</v>
      </c>
      <c r="Z38" s="2331"/>
      <c r="AA38" s="2331"/>
      <c r="AB38" s="2331"/>
      <c r="AC38" s="2331"/>
      <c r="AD38" s="2331">
        <f>IF(T24&gt;=(T23+Y23+AD23+AI23),AD28+AI28,0)</f>
        <v>0</v>
      </c>
      <c r="AE38" s="2331"/>
      <c r="AF38" s="2331"/>
      <c r="AG38" s="2331"/>
      <c r="AH38" s="2331"/>
    </row>
    <row r="39" spans="1:76" ht="13"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5334311</v>
      </c>
      <c r="Z40" s="2331"/>
      <c r="AA40" s="2331"/>
      <c r="AB40" s="2331"/>
      <c r="AC40" s="2331"/>
      <c r="AD40" s="2330">
        <f>ROUND(AD38*AD39,0)</f>
        <v>0</v>
      </c>
      <c r="AE40" s="2331"/>
      <c r="AF40" s="2331"/>
      <c r="AG40" s="2331"/>
      <c r="AH40" s="2331"/>
    </row>
    <row r="41" spans="1:76" ht="13"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5334311</v>
      </c>
      <c r="Z41" s="2333"/>
      <c r="AA41" s="2333"/>
      <c r="AB41" s="2333"/>
      <c r="AC41" s="2333"/>
      <c r="AD41" s="2333"/>
      <c r="AE41" s="2333"/>
      <c r="AF41" s="2333"/>
      <c r="AG41" s="2333"/>
      <c r="AH41" s="2330"/>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4" t="s">
        <v>587</v>
      </c>
      <c r="C46" s="404" t="s">
        <v>282</v>
      </c>
    </row>
    <row r="47" spans="1:76" ht="13" customHeight="1">
      <c r="D47" s="404" t="s">
        <v>283</v>
      </c>
      <c r="AB47" s="2347">
        <f>'Sources and Uses Budget'!B105-MAX(IF('Sources and Uses Budget'!B15="",0,'Sources and Uses Budget'!B15),IF(Application!AG394="",0,Application!AG394))</f>
        <v>112730000</v>
      </c>
      <c r="AC47" s="2348"/>
      <c r="AD47" s="2348"/>
      <c r="AE47" s="2348"/>
      <c r="AF47" s="2349"/>
    </row>
    <row r="48" spans="1:76" ht="13" customHeight="1">
      <c r="D48" s="404" t="s">
        <v>21</v>
      </c>
      <c r="AB48" s="2347">
        <f>Application!AO639-MAX(IF('Sources and Uses Budget'!B15="",0,'Sources and Uses Budget'!B15),IF(Application!AG394="",0,Application!AG394))</f>
        <v>43348500</v>
      </c>
      <c r="AC48" s="2348"/>
      <c r="AD48" s="2348"/>
      <c r="AE48" s="2348"/>
      <c r="AF48" s="2349"/>
    </row>
    <row r="49" spans="1:76" ht="13" customHeight="1">
      <c r="D49" s="404" t="s">
        <v>91</v>
      </c>
      <c r="AB49" s="2347">
        <f>AB47-AB48</f>
        <v>69381500</v>
      </c>
      <c r="AC49" s="2348"/>
      <c r="AD49" s="2348"/>
      <c r="AE49" s="2348"/>
      <c r="AF49" s="2349"/>
    </row>
    <row r="50" spans="1:76" ht="13" customHeight="1">
      <c r="D50" s="404" t="s">
        <v>682</v>
      </c>
      <c r="AA50" s="415"/>
      <c r="AB50" s="2374">
        <v>0.88</v>
      </c>
      <c r="AC50" s="2375"/>
      <c r="AD50" s="2375"/>
      <c r="AE50" s="2375"/>
      <c r="AF50" s="2376"/>
    </row>
    <row r="51" spans="1:76" s="417" customFormat="1" ht="13" customHeight="1">
      <c r="A51" s="402"/>
      <c r="B51" s="402"/>
      <c r="C51" s="402"/>
      <c r="D51" s="402"/>
      <c r="E51" s="2377" t="s">
        <v>2612</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7">
        <f>ROUND(IF(ISERROR((AB49/AB50)),0,(AB49/AB50)),0)</f>
        <v>78842614</v>
      </c>
      <c r="AC54" s="2348"/>
      <c r="AD54" s="2348"/>
      <c r="AE54" s="2348"/>
      <c r="AF54" s="2349"/>
    </row>
    <row r="55" spans="1:76" ht="13" customHeight="1">
      <c r="D55" s="404" t="s">
        <v>333</v>
      </c>
      <c r="AB55" s="2347">
        <f>(AB54/10)</f>
        <v>7884261.4000000004</v>
      </c>
      <c r="AC55" s="2348"/>
      <c r="AD55" s="2348"/>
      <c r="AE55" s="2348"/>
      <c r="AF55" s="2349"/>
    </row>
    <row r="56" spans="1:76" ht="13" customHeight="1">
      <c r="D56" s="404" t="s">
        <v>757</v>
      </c>
      <c r="AB56" s="2347">
        <f>ROUND((IF((Y41&lt;AB55),Y41,AB55)),0)</f>
        <v>5334311</v>
      </c>
      <c r="AC56" s="2348"/>
      <c r="AD56" s="2348"/>
      <c r="AE56" s="2348"/>
      <c r="AF56" s="2349"/>
    </row>
    <row r="57" spans="1:76" ht="13" customHeight="1">
      <c r="D57" s="404" t="s">
        <v>756</v>
      </c>
      <c r="AB57" s="2347">
        <f>ROUND((10*AB56*AB50),0)</f>
        <v>46941937</v>
      </c>
      <c r="AC57" s="2348"/>
      <c r="AD57" s="2348"/>
      <c r="AE57" s="2348"/>
      <c r="AF57" s="2349"/>
    </row>
    <row r="58" spans="1:76" ht="13" customHeight="1">
      <c r="D58" s="404"/>
      <c r="AB58" s="423"/>
      <c r="AC58" s="423"/>
      <c r="AD58" s="423"/>
      <c r="AE58" s="423"/>
      <c r="AF58" s="423"/>
    </row>
    <row r="59" spans="1:76" ht="13" customHeight="1">
      <c r="D59" s="404" t="s">
        <v>755</v>
      </c>
      <c r="AB59" s="2370">
        <f>AB49-AB57</f>
        <v>22439563</v>
      </c>
      <c r="AC59" s="2370"/>
      <c r="AD59" s="2370"/>
      <c r="AE59" s="2370"/>
      <c r="AF59" s="2370"/>
    </row>
    <row r="60" spans="1:76" ht="13" customHeight="1">
      <c r="D60" s="404"/>
      <c r="AB60" s="423"/>
      <c r="AC60" s="423"/>
      <c r="AD60" s="423"/>
      <c r="AE60" s="423"/>
      <c r="AF60" s="423"/>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4" t="s">
        <v>590</v>
      </c>
      <c r="C63" s="205" t="s">
        <v>1249</v>
      </c>
      <c r="Y63" s="2371" t="s">
        <v>985</v>
      </c>
      <c r="Z63" s="2371"/>
      <c r="AA63" s="2371"/>
      <c r="AB63" s="2371"/>
      <c r="AC63" s="2371"/>
      <c r="AD63" s="2371" t="s">
        <v>369</v>
      </c>
      <c r="AE63" s="2371"/>
      <c r="AF63" s="2371"/>
      <c r="AG63" s="2371"/>
      <c r="AH63" s="2371"/>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102582910</v>
      </c>
      <c r="Z64" s="2372"/>
      <c r="AA64" s="2372"/>
      <c r="AB64" s="2372"/>
      <c r="AC64" s="2373"/>
      <c r="AD64" s="2332">
        <f>IF(AND(OR(Application!D211="At-Risk",Application!D211="At-Risk and Special Needs"),Application!M358="yes"),AD28+AI28,0)</f>
        <v>0</v>
      </c>
      <c r="AE64" s="2372"/>
      <c r="AF64" s="2372"/>
      <c r="AG64" s="2372"/>
      <c r="AH64" s="2373"/>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System'!B13="Yes"),0.13,0))</f>
        <v>0</v>
      </c>
      <c r="AE67" s="2385"/>
      <c r="AF67" s="2385"/>
      <c r="AG67" s="2385"/>
      <c r="AH67" s="2385"/>
    </row>
    <row r="68" spans="1:36" ht="13" customHeight="1">
      <c r="C68" s="404"/>
      <c r="D68" s="205" t="s">
        <v>2225</v>
      </c>
      <c r="Y68" s="2331">
        <f>ROUND(Y64*Y67,0)</f>
        <v>30774873</v>
      </c>
      <c r="Z68" s="2386"/>
      <c r="AA68" s="2386"/>
      <c r="AB68" s="2386"/>
      <c r="AC68" s="2386"/>
      <c r="AD68" s="2331">
        <f>ROUND(AD64*AD67,0)</f>
        <v>0</v>
      </c>
      <c r="AE68" s="2386"/>
      <c r="AF68" s="2386"/>
      <c r="AG68" s="2386"/>
      <c r="AH68" s="2386"/>
    </row>
    <row r="69" spans="1:36" ht="13" customHeight="1">
      <c r="C69" s="404"/>
      <c r="D69" s="205" t="s">
        <v>2226</v>
      </c>
      <c r="Y69" s="2331">
        <f>IF(OR(Application!Z205="State Farmworker Credit",Application!Z205="$500M (Farmworker Housing)"),Y68+AD68,MIN(Y68+AD68,200000*(Application!G753+Application!O777)))</f>
        <v>26400000</v>
      </c>
      <c r="Z69" s="2331"/>
      <c r="AA69" s="2331"/>
      <c r="AB69" s="2331"/>
      <c r="AC69" s="2331"/>
      <c r="AD69" s="2331"/>
      <c r="AE69" s="2331"/>
      <c r="AF69" s="2331"/>
      <c r="AG69" s="2331"/>
      <c r="AH69" s="2331"/>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74">
        <v>0.85</v>
      </c>
      <c r="AC72" s="2375"/>
      <c r="AD72" s="2375"/>
      <c r="AE72" s="2375"/>
      <c r="AF72" s="2376"/>
    </row>
    <row r="73" spans="1:36" ht="13"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0">
        <f>ROUND(IF(ISERROR((AB59/AB72)),0,(AB59/AB72)),0)</f>
        <v>26399486</v>
      </c>
      <c r="AC77" s="2380"/>
      <c r="AD77" s="2380"/>
      <c r="AE77" s="2380"/>
      <c r="AF77" s="2380"/>
    </row>
    <row r="78" spans="1:36" ht="13" customHeight="1">
      <c r="C78" s="404"/>
      <c r="D78" s="205" t="s">
        <v>1254</v>
      </c>
      <c r="AB78" s="2381">
        <f>ROUNDUP(MIN(Y69,AB77),0)</f>
        <v>26399486</v>
      </c>
      <c r="AC78" s="2382"/>
      <c r="AD78" s="2382"/>
      <c r="AE78" s="2382"/>
      <c r="AF78" s="2383"/>
    </row>
    <row r="79" spans="1:36" ht="13" customHeight="1">
      <c r="C79" s="404"/>
      <c r="D79" s="205" t="s">
        <v>1255</v>
      </c>
      <c r="AB79" s="2384">
        <f>AB78*AB72</f>
        <v>22439563.099999998</v>
      </c>
      <c r="AC79" s="2384"/>
      <c r="AD79" s="2384"/>
      <c r="AE79" s="2384"/>
      <c r="AF79" s="2384"/>
    </row>
    <row r="80" spans="1:36" ht="13" customHeight="1">
      <c r="C80" s="404"/>
      <c r="D80" s="404"/>
      <c r="AB80" s="425"/>
      <c r="AC80" s="425"/>
      <c r="AD80" s="425"/>
      <c r="AE80" s="425"/>
      <c r="AF80" s="425"/>
    </row>
    <row r="81" spans="1:78" ht="13" customHeight="1">
      <c r="D81" s="404" t="s">
        <v>755</v>
      </c>
      <c r="AB81" s="2370">
        <f>AB49-(AB57+AB79)</f>
        <v>-9.9999994039535522E-2</v>
      </c>
      <c r="AC81" s="2370"/>
      <c r="AD81" s="2370"/>
      <c r="AE81" s="2370"/>
      <c r="AF81" s="2370"/>
    </row>
    <row r="82" spans="1:78" ht="13" customHeight="1">
      <c r="F82" s="522"/>
      <c r="J82" s="522" t="str">
        <f>IF(AB81&gt;0,"FUNDING GAP MUST NOT EXCEED ZERO","")</f>
        <v/>
      </c>
    </row>
    <row r="83" spans="1:78" ht="13" customHeight="1">
      <c r="D83" s="523"/>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customHeight="1">
      <c r="A86" s="404"/>
      <c r="C86" s="205"/>
    </row>
    <row r="87" spans="1:78" ht="13" customHeight="1">
      <c r="D87" s="205"/>
      <c r="AB87" s="2336"/>
      <c r="AC87" s="2336"/>
      <c r="AD87" s="2336"/>
      <c r="AE87" s="2336"/>
      <c r="AF87" s="2336"/>
    </row>
    <row r="88" spans="1:78" ht="13"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48" workbookViewId="0">
      <selection activeCell="AM676" sqref="AM676"/>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34"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546</v>
      </c>
      <c r="C68" s="2612"/>
      <c r="D68" s="547" t="s">
        <v>1316</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592</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592</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0.56793893129770978</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2.9999999999999916E-2</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5.9999999999999831</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0.56793893129770978</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0.11450381679389313</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0.27480916030534353</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1 Bedroom</v>
      </c>
      <c r="AQ112" s="536">
        <f>Application!O718</f>
        <v>1072</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1825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2202</v>
      </c>
    </row>
    <row r="115" spans="1:52" s="536" customFormat="1" ht="12.75" customHeight="1">
      <c r="A115" s="540"/>
      <c r="B115" s="2612" t="s">
        <v>546</v>
      </c>
      <c r="C115" s="2612"/>
      <c r="D115" s="547" t="s">
        <v>1316</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2371</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1277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2181</v>
      </c>
      <c r="AU117" s="856" t="str">
        <f>J124</f>
        <v>1-bedroom</v>
      </c>
      <c r="AV117" s="536">
        <f t="array" ref="AV117">SUM(IF(Application!B718:F752="1 Bedroom",Application!G718:J752))</f>
        <v>62</v>
      </c>
      <c r="AW117" s="1011">
        <f>AV117/AV122</f>
        <v>0.47328244274809161</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2872</v>
      </c>
      <c r="AU118" s="856" t="str">
        <f>O124</f>
        <v>2-bedroom</v>
      </c>
      <c r="AV118" s="536">
        <f t="array" ref="AV118">SUM(IF(Application!B718:F752="2 Bedrooms",Application!G718:J752))</f>
        <v>36</v>
      </c>
      <c r="AW118" s="1011">
        <f>AV118/AV122</f>
        <v>0.27480916030534353</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3 Bedrooms</v>
      </c>
      <c r="AQ119" s="536">
        <f>Application!O725</f>
        <v>1464</v>
      </c>
      <c r="AU119" s="856" t="str">
        <f>T124</f>
        <v>3-bedroom</v>
      </c>
      <c r="AV119" s="536">
        <f t="array" ref="AV119">SUM(IF(Application!B718:F752="3 Bedrooms",Application!G718:J752))</f>
        <v>33</v>
      </c>
      <c r="AW119" s="1011">
        <f>AV119/AV122</f>
        <v>0.25190839694656486</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2509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3031</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3553</v>
      </c>
      <c r="AV122" s="536">
        <f>SUM(AV116:AV121)</f>
        <v>131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2988</v>
      </c>
      <c r="K127" s="2603"/>
      <c r="L127" s="2603"/>
      <c r="M127" s="2603"/>
      <c r="N127" s="864"/>
      <c r="O127" s="2603">
        <v>3333</v>
      </c>
      <c r="P127" s="2603"/>
      <c r="Q127" s="2603"/>
      <c r="R127" s="2603"/>
      <c r="S127" s="864"/>
      <c r="T127" s="2603">
        <v>4006</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1966.4354838709678</v>
      </c>
      <c r="K130" s="2611"/>
      <c r="L130" s="2611"/>
      <c r="M130" s="2611"/>
      <c r="N130" s="864"/>
      <c r="O130" s="2611">
        <f>Application!EH670</f>
        <v>2541.2222222222222</v>
      </c>
      <c r="P130" s="2611"/>
      <c r="Q130" s="2611"/>
      <c r="R130" s="2611"/>
      <c r="S130" s="868"/>
      <c r="T130" s="2611">
        <f>Application!EM670</f>
        <v>2872.69696969697</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0.34188906162283539</v>
      </c>
      <c r="K133" s="2406"/>
      <c r="L133" s="2406"/>
      <c r="M133" s="2407"/>
      <c r="N133" s="577"/>
      <c r="O133" s="2405">
        <f>(O127-O130)/O127</f>
        <v>0.23755708904223757</v>
      </c>
      <c r="P133" s="2406"/>
      <c r="Q133" s="2406"/>
      <c r="R133" s="2407"/>
      <c r="S133" s="577"/>
      <c r="T133" s="2405">
        <f>(T127-T130)/T127</f>
        <v>0.28290140546755616</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0.11448184595889919</v>
      </c>
      <c r="K136" s="2614"/>
      <c r="L136" s="2614"/>
      <c r="M136" s="2615"/>
      <c r="N136" s="577"/>
      <c r="O136" s="2613">
        <f>IF(((O133-0.1)*AW118)&gt;0,((O133-0.1)*AW118),0)</f>
        <v>3.7801948133744677E-2</v>
      </c>
      <c r="P136" s="2614"/>
      <c r="Q136" s="2614"/>
      <c r="R136" s="2615"/>
      <c r="S136" s="577"/>
      <c r="T136" s="2613">
        <f>IF(((T133-0.1)*AW119)&gt;0,((T133-0.1)*AW119),0)</f>
        <v>4.6074399850605741E-2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0.19</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2632</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The John Stewart Company</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2731</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9150000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9150000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1185</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1185</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1185</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9150000</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112730000</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0.16</v>
      </c>
      <c r="AH270" s="2569"/>
      <c r="AI270" s="2569"/>
      <c r="AJ270" s="2569"/>
      <c r="AK270" s="2569"/>
    </row>
    <row r="271" spans="1:37" ht="12.9">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2.9"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0" t="s">
        <v>546</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3.75"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5"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2.9" thickBot="1"/>
    <row r="287" spans="1:52" ht="12.9"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1383</v>
      </c>
      <c r="B292" s="1634"/>
      <c r="C292" s="2391" t="s">
        <v>546</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1387</v>
      </c>
      <c r="B302" s="1634"/>
      <c r="C302" s="2440" t="s">
        <v>592</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1390</v>
      </c>
      <c r="B310" s="1634"/>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4" t="s">
        <v>1393</v>
      </c>
      <c r="B333" s="1634"/>
      <c r="C333" s="2440" t="s">
        <v>592</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5"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2"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9"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1879</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9"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5"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150000000000006"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233</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546</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592</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546</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5"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7"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2.9"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592</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96672120</v>
      </c>
      <c r="AQ550" s="2417"/>
      <c r="AR550" s="2417"/>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102582910</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194397778.80000001</v>
      </c>
      <c r="AG552" s="2424"/>
      <c r="AH552" s="2424"/>
      <c r="AI552" s="2424"/>
      <c r="AJ552" s="2424"/>
      <c r="AK552" s="595"/>
      <c r="AL552" s="595"/>
      <c r="AM552" s="595"/>
      <c r="AN552" s="597"/>
      <c r="AP552" s="2417">
        <f>Application!AJ1045</f>
        <v>26101472.400000002</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0.47</v>
      </c>
      <c r="AG553" s="2425"/>
      <c r="AH553" s="2425"/>
      <c r="AI553" s="2425"/>
      <c r="AJ553" s="2425"/>
      <c r="AK553" s="595"/>
      <c r="AL553" s="595"/>
      <c r="AM553" s="595"/>
      <c r="AN553" s="597"/>
      <c r="AP553" s="2413">
        <f>Application!AJ1049</f>
        <v>21267866.399999999</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0.49</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147028440</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194397778.80000001</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194397778.80000001</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688</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510</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2</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688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131</v>
      </c>
    </row>
    <row r="691" spans="1:51" s="550" customFormat="1" ht="12.75" customHeight="1">
      <c r="A691" s="679"/>
      <c r="B691" s="536"/>
      <c r="C691" s="948"/>
      <c r="D691" s="663" t="s">
        <v>688</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2185</v>
      </c>
      <c r="AX691" s="550">
        <f>Application!DE753</f>
        <v>33</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2188</v>
      </c>
      <c r="AX694" s="550">
        <f>AX691+AX692+AX693</f>
        <v>33</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0.25190839694656486</v>
      </c>
      <c r="AY695" s="550">
        <f>IFERROR(AX694/(AX690-AX689),0)</f>
        <v>0.25190839694656486</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688</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3</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9"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ht="12.9">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ht="12.9">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2.9">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2.9">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2.9">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2.9">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592</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2.9">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2.9">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510</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1</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3.75"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546</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45">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4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Tracy Nakamura</cp:lastModifiedBy>
  <cp:lastPrinted>2025-09-05T18:36:42Z</cp:lastPrinted>
  <dcterms:created xsi:type="dcterms:W3CDTF">2007-12-27T18:26:28Z</dcterms:created>
  <dcterms:modified xsi:type="dcterms:W3CDTF">2025-09-08T23:42:01Z</dcterms:modified>
</cp:coreProperties>
</file>