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G:\4% Non-Competitive Projects\2023\2023 Project Info for Sort\"/>
    </mc:Choice>
  </mc:AlternateContent>
  <xr:revisionPtr revIDLastSave="0" documentId="13_ncr:1_{5A1B0F41-22DC-4D48-B0CD-5359C34D7023}" xr6:coauthVersionLast="47" xr6:coauthVersionMax="47" xr10:uidLastSave="{00000000-0000-0000-0000-000000000000}"/>
  <bookViews>
    <workbookView xWindow="3450" yWindow="990" windowWidth="24420" windowHeight="13845" tabRatio="730" firstSheet="2" activeTab="2" xr2:uid="{00000000-000D-0000-FFFF-FFFF00000000}"/>
  </bookViews>
  <sheets>
    <sheet name="SORT - more state credits" sheetId="194" state="hidden" r:id="rId1"/>
    <sheet name="Sheet2" sheetId="195" state="hidden" r:id="rId2"/>
    <sheet name="2023 R3" sheetId="198" r:id="rId3"/>
    <sheet name="SORT - OLD" sheetId="7" state="hidden" r:id="rId4"/>
  </sheets>
  <externalReferences>
    <externalReference r:id="rId5"/>
  </externalReferences>
  <definedNames>
    <definedName name="_xlnm._FilterDatabase" localSheetId="2" hidden="1">'2023 R3'!$A$1:$AP$1</definedName>
    <definedName name="List3">'[1]RANKED APPLICANT LIST'!$A$1:$AJ$104</definedName>
    <definedName name="ListAppNumbers">#REF!</definedName>
    <definedName name="R2.2023">'2023 R3'!#REF!</definedName>
    <definedName name="Round1">#REF!</definedName>
    <definedName name="Round12023">'2023 R3'!#REF!</definedName>
    <definedName name="Round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9" i="194" l="1"/>
  <c r="O129" i="194" s="1"/>
  <c r="L130" i="194"/>
  <c r="L131" i="194"/>
  <c r="O131" i="194" s="1"/>
  <c r="L132" i="194"/>
  <c r="O132" i="194" s="1"/>
  <c r="L133" i="194"/>
  <c r="O133" i="194" s="1"/>
  <c r="L134" i="194"/>
  <c r="O134" i="194" s="1"/>
  <c r="D134" i="194"/>
  <c r="E134" i="194"/>
  <c r="F134" i="194"/>
  <c r="G134" i="194"/>
  <c r="H134" i="194"/>
  <c r="I134" i="194"/>
  <c r="J134" i="194"/>
  <c r="K134" i="194"/>
  <c r="P134" i="194"/>
  <c r="Q134" i="194"/>
  <c r="R134" i="194"/>
  <c r="S134" i="194"/>
  <c r="T134" i="194"/>
  <c r="T133" i="194"/>
  <c r="S133" i="194"/>
  <c r="R133" i="194"/>
  <c r="Q133" i="194"/>
  <c r="P133" i="194"/>
  <c r="K133" i="194"/>
  <c r="J133" i="194"/>
  <c r="I133" i="194"/>
  <c r="H133" i="194"/>
  <c r="G133" i="194"/>
  <c r="F133" i="194"/>
  <c r="E133" i="194"/>
  <c r="D133" i="194"/>
  <c r="T132" i="194"/>
  <c r="S132" i="194"/>
  <c r="R132" i="194"/>
  <c r="Q132" i="194"/>
  <c r="P132" i="194"/>
  <c r="K132" i="194"/>
  <c r="J132" i="194"/>
  <c r="I132" i="194"/>
  <c r="H132" i="194"/>
  <c r="G132" i="194"/>
  <c r="F132" i="194"/>
  <c r="E132" i="194"/>
  <c r="D132" i="194"/>
  <c r="T131" i="194"/>
  <c r="S131" i="194"/>
  <c r="R131" i="194"/>
  <c r="Q131" i="194"/>
  <c r="P131" i="194"/>
  <c r="K131" i="194"/>
  <c r="J131" i="194"/>
  <c r="I131" i="194"/>
  <c r="H131" i="194"/>
  <c r="G131" i="194"/>
  <c r="F131" i="194"/>
  <c r="E131" i="194"/>
  <c r="D131" i="194"/>
  <c r="L109" i="194"/>
  <c r="O109" i="194" s="1"/>
  <c r="L110" i="194"/>
  <c r="O110" i="194" s="1"/>
  <c r="L111" i="194"/>
  <c r="O111" i="194" s="1"/>
  <c r="L112" i="194"/>
  <c r="O112" i="194" s="1"/>
  <c r="L113" i="194"/>
  <c r="O113" i="194" s="1"/>
  <c r="L114" i="194"/>
  <c r="O114" i="194" s="1"/>
  <c r="L115" i="194"/>
  <c r="O115" i="194" s="1"/>
  <c r="T115" i="194"/>
  <c r="S115" i="194"/>
  <c r="R115" i="194"/>
  <c r="Q115" i="194"/>
  <c r="P115" i="194"/>
  <c r="K115" i="194"/>
  <c r="J115" i="194"/>
  <c r="I115" i="194"/>
  <c r="H115" i="194"/>
  <c r="G115" i="194"/>
  <c r="F115" i="194"/>
  <c r="E115" i="194"/>
  <c r="D115" i="194"/>
  <c r="T124" i="194"/>
  <c r="S124" i="194"/>
  <c r="R124" i="194"/>
  <c r="Q124" i="194"/>
  <c r="P124" i="194"/>
  <c r="L124" i="194"/>
  <c r="O124" i="194" s="1"/>
  <c r="K124" i="194"/>
  <c r="J124" i="194"/>
  <c r="I124" i="194"/>
  <c r="H124" i="194"/>
  <c r="G124" i="194"/>
  <c r="F124" i="194"/>
  <c r="E124" i="194"/>
  <c r="D124" i="194"/>
  <c r="T123" i="194"/>
  <c r="S123" i="194"/>
  <c r="R123" i="194"/>
  <c r="Q123" i="194"/>
  <c r="P123" i="194"/>
  <c r="L123" i="194"/>
  <c r="O123" i="194" s="1"/>
  <c r="K123" i="194"/>
  <c r="J123" i="194"/>
  <c r="I123" i="194"/>
  <c r="H123" i="194"/>
  <c r="G123" i="194"/>
  <c r="F123" i="194"/>
  <c r="E123" i="194"/>
  <c r="D123" i="194"/>
  <c r="T122" i="194"/>
  <c r="S122" i="194"/>
  <c r="R122" i="194"/>
  <c r="Q122" i="194"/>
  <c r="P122" i="194"/>
  <c r="L122" i="194"/>
  <c r="O122" i="194" s="1"/>
  <c r="K122" i="194"/>
  <c r="J122" i="194"/>
  <c r="I122" i="194"/>
  <c r="H122" i="194"/>
  <c r="G122" i="194"/>
  <c r="F122" i="194"/>
  <c r="E122" i="194"/>
  <c r="D122" i="194"/>
  <c r="T121" i="194"/>
  <c r="S121" i="194"/>
  <c r="R121" i="194"/>
  <c r="Q121" i="194"/>
  <c r="P121" i="194"/>
  <c r="L121" i="194"/>
  <c r="O121" i="194" s="1"/>
  <c r="O125" i="194" s="1"/>
  <c r="K121" i="194"/>
  <c r="J121" i="194"/>
  <c r="I121" i="194"/>
  <c r="H121" i="194"/>
  <c r="G121" i="194"/>
  <c r="F121" i="194"/>
  <c r="E121" i="194"/>
  <c r="D121" i="194"/>
  <c r="T114" i="194"/>
  <c r="S114" i="194"/>
  <c r="R114" i="194"/>
  <c r="Q114" i="194"/>
  <c r="P114" i="194"/>
  <c r="K114" i="194"/>
  <c r="J114" i="194"/>
  <c r="I114" i="194"/>
  <c r="H114" i="194"/>
  <c r="G114" i="194"/>
  <c r="F114" i="194"/>
  <c r="E114" i="194"/>
  <c r="D114" i="194"/>
  <c r="T113" i="194"/>
  <c r="S113" i="194"/>
  <c r="R113" i="194"/>
  <c r="Q113" i="194"/>
  <c r="P113" i="194"/>
  <c r="K113" i="194"/>
  <c r="J113" i="194"/>
  <c r="I113" i="194"/>
  <c r="H113" i="194"/>
  <c r="G113" i="194"/>
  <c r="F113" i="194"/>
  <c r="E113" i="194"/>
  <c r="D113" i="194"/>
  <c r="T112" i="194"/>
  <c r="S112" i="194"/>
  <c r="R112" i="194"/>
  <c r="Q112" i="194"/>
  <c r="P112" i="194"/>
  <c r="K112" i="194"/>
  <c r="J112" i="194"/>
  <c r="I112" i="194"/>
  <c r="H112" i="194"/>
  <c r="G112" i="194"/>
  <c r="F112" i="194"/>
  <c r="E112" i="194"/>
  <c r="D112" i="194"/>
  <c r="T111" i="194"/>
  <c r="S111" i="194"/>
  <c r="R111" i="194"/>
  <c r="Q111" i="194"/>
  <c r="P111" i="194"/>
  <c r="K111" i="194"/>
  <c r="J111" i="194"/>
  <c r="I111" i="194"/>
  <c r="H111" i="194"/>
  <c r="G111" i="194"/>
  <c r="F111" i="194"/>
  <c r="E111" i="194"/>
  <c r="D111" i="194"/>
  <c r="T110" i="194"/>
  <c r="S110" i="194"/>
  <c r="R110" i="194"/>
  <c r="Q110" i="194"/>
  <c r="P110" i="194"/>
  <c r="K110" i="194"/>
  <c r="J110" i="194"/>
  <c r="I110" i="194"/>
  <c r="H110" i="194"/>
  <c r="G110" i="194"/>
  <c r="F110" i="194"/>
  <c r="E110" i="194"/>
  <c r="D110" i="194"/>
  <c r="T109" i="194"/>
  <c r="S109" i="194"/>
  <c r="R109" i="194"/>
  <c r="Q109" i="194"/>
  <c r="P109" i="194"/>
  <c r="K109" i="194"/>
  <c r="J109" i="194"/>
  <c r="I109" i="194"/>
  <c r="H109" i="194"/>
  <c r="G109" i="194"/>
  <c r="F109" i="194"/>
  <c r="E109" i="194"/>
  <c r="D109" i="194"/>
  <c r="L54" i="194"/>
  <c r="O54" i="194" s="1"/>
  <c r="L55" i="194"/>
  <c r="O55" i="194" s="1"/>
  <c r="L56" i="194"/>
  <c r="O56" i="194" s="1"/>
  <c r="L57" i="194"/>
  <c r="O57" i="194" s="1"/>
  <c r="L58" i="194"/>
  <c r="O58" i="194" s="1"/>
  <c r="L59" i="194"/>
  <c r="O59" i="194" s="1"/>
  <c r="L60" i="194"/>
  <c r="O60" i="194" s="1"/>
  <c r="L61" i="194"/>
  <c r="O61" i="194" s="1"/>
  <c r="L62" i="194"/>
  <c r="O62" i="194" s="1"/>
  <c r="L63" i="194"/>
  <c r="O63" i="194" s="1"/>
  <c r="D63" i="194"/>
  <c r="E63" i="194"/>
  <c r="F63" i="194"/>
  <c r="G63" i="194"/>
  <c r="H63" i="194"/>
  <c r="I63" i="194"/>
  <c r="J63" i="194"/>
  <c r="K63" i="194"/>
  <c r="P63" i="194"/>
  <c r="Q63" i="194"/>
  <c r="R63" i="194"/>
  <c r="S63" i="194"/>
  <c r="T63" i="194"/>
  <c r="T62" i="194"/>
  <c r="S62" i="194"/>
  <c r="R62" i="194"/>
  <c r="Q62" i="194"/>
  <c r="P62" i="194"/>
  <c r="K62" i="194"/>
  <c r="J62" i="194"/>
  <c r="I62" i="194"/>
  <c r="H62" i="194"/>
  <c r="G62" i="194"/>
  <c r="F62" i="194"/>
  <c r="E62" i="194"/>
  <c r="D62" i="194"/>
  <c r="T61" i="194"/>
  <c r="S61" i="194"/>
  <c r="R61" i="194"/>
  <c r="Q61" i="194"/>
  <c r="P61" i="194"/>
  <c r="K61" i="194"/>
  <c r="J61" i="194"/>
  <c r="I61" i="194"/>
  <c r="H61" i="194"/>
  <c r="G61" i="194"/>
  <c r="F61" i="194"/>
  <c r="E61" i="194"/>
  <c r="D61" i="194"/>
  <c r="T60" i="194"/>
  <c r="S60" i="194"/>
  <c r="R60" i="194"/>
  <c r="Q60" i="194"/>
  <c r="P60" i="194"/>
  <c r="K60" i="194"/>
  <c r="J60" i="194"/>
  <c r="I60" i="194"/>
  <c r="H60" i="194"/>
  <c r="G60" i="194"/>
  <c r="F60" i="194"/>
  <c r="E60" i="194"/>
  <c r="D60" i="194"/>
  <c r="T130" i="194"/>
  <c r="S130" i="194"/>
  <c r="R130" i="194"/>
  <c r="Q130" i="194"/>
  <c r="P130" i="194"/>
  <c r="K130" i="194"/>
  <c r="J130" i="194"/>
  <c r="I130" i="194"/>
  <c r="H130" i="194"/>
  <c r="G130" i="194"/>
  <c r="F130" i="194"/>
  <c r="E130" i="194"/>
  <c r="D130" i="194"/>
  <c r="T129" i="194"/>
  <c r="S129" i="194"/>
  <c r="R129" i="194"/>
  <c r="Q129" i="194"/>
  <c r="P129" i="194"/>
  <c r="K129" i="194"/>
  <c r="J129" i="194"/>
  <c r="I129" i="194"/>
  <c r="H129" i="194"/>
  <c r="G129" i="194"/>
  <c r="F129" i="194"/>
  <c r="E129" i="194"/>
  <c r="D129" i="194"/>
  <c r="L89" i="194"/>
  <c r="O89" i="194" s="1"/>
  <c r="L90" i="194"/>
  <c r="O90" i="194" s="1"/>
  <c r="L91" i="194"/>
  <c r="O91" i="194" s="1"/>
  <c r="L92" i="194"/>
  <c r="O92" i="194" s="1"/>
  <c r="L93" i="194"/>
  <c r="L99" i="194"/>
  <c r="O99" i="194" s="1"/>
  <c r="L100" i="194"/>
  <c r="O100" i="194" s="1"/>
  <c r="L101" i="194"/>
  <c r="O101" i="194" s="1"/>
  <c r="L102" i="194"/>
  <c r="O102" i="194" s="1"/>
  <c r="L103" i="194"/>
  <c r="O103" i="194" s="1"/>
  <c r="L70" i="194"/>
  <c r="O70" i="194" s="1"/>
  <c r="L71" i="194"/>
  <c r="O71" i="194" s="1"/>
  <c r="L72" i="194"/>
  <c r="O72" i="194" s="1"/>
  <c r="L78" i="194"/>
  <c r="O78" i="194" s="1"/>
  <c r="L79" i="194"/>
  <c r="O79" i="194" s="1"/>
  <c r="L80" i="194"/>
  <c r="O80" i="194" s="1"/>
  <c r="L81" i="194"/>
  <c r="O81" i="194" s="1"/>
  <c r="L82" i="194"/>
  <c r="O82" i="194" s="1"/>
  <c r="L83" i="194"/>
  <c r="O83" i="194" s="1"/>
  <c r="O84" i="194" s="1"/>
  <c r="L39" i="194"/>
  <c r="O39" i="194" s="1"/>
  <c r="L40" i="194"/>
  <c r="O40" i="194" s="1"/>
  <c r="L41" i="194"/>
  <c r="O41" i="194" s="1"/>
  <c r="L42" i="194"/>
  <c r="O42" i="194" s="1"/>
  <c r="L43" i="194"/>
  <c r="O43" i="194" s="1"/>
  <c r="L44" i="194"/>
  <c r="O44" i="194" s="1"/>
  <c r="L45" i="194"/>
  <c r="O45" i="194" s="1"/>
  <c r="L46" i="194"/>
  <c r="O46" i="194" s="1"/>
  <c r="L47" i="194"/>
  <c r="O47" i="194" s="1"/>
  <c r="L48" i="194"/>
  <c r="O48" i="194" s="1"/>
  <c r="L30" i="194"/>
  <c r="O30" i="194" s="1"/>
  <c r="L31" i="194"/>
  <c r="O31" i="194" s="1"/>
  <c r="L32" i="194"/>
  <c r="O32" i="194" s="1"/>
  <c r="L23" i="194"/>
  <c r="O23" i="194" s="1"/>
  <c r="L24" i="194"/>
  <c r="O24" i="194" s="1"/>
  <c r="L13" i="194"/>
  <c r="O13" i="194" s="1"/>
  <c r="L14" i="194"/>
  <c r="O14" i="194" s="1"/>
  <c r="L15" i="194"/>
  <c r="O15" i="194" s="1"/>
  <c r="L16" i="194"/>
  <c r="O16" i="194" s="1"/>
  <c r="L17" i="194"/>
  <c r="O17" i="194" s="1"/>
  <c r="L6" i="194"/>
  <c r="O6" i="194" s="1"/>
  <c r="L7" i="194"/>
  <c r="O7" i="194" s="1"/>
  <c r="F58" i="194"/>
  <c r="F43" i="194"/>
  <c r="F17" i="194"/>
  <c r="T103" i="194"/>
  <c r="S103" i="194"/>
  <c r="R103" i="194"/>
  <c r="Q103" i="194"/>
  <c r="P103" i="194"/>
  <c r="K103" i="194"/>
  <c r="J103" i="194"/>
  <c r="I103" i="194"/>
  <c r="H103" i="194"/>
  <c r="G103" i="194"/>
  <c r="F103" i="194"/>
  <c r="E103" i="194"/>
  <c r="D103" i="194"/>
  <c r="T102" i="194"/>
  <c r="S102" i="194"/>
  <c r="R102" i="194"/>
  <c r="Q102" i="194"/>
  <c r="P102" i="194"/>
  <c r="K102" i="194"/>
  <c r="J102" i="194"/>
  <c r="I102" i="194"/>
  <c r="H102" i="194"/>
  <c r="G102" i="194"/>
  <c r="F102" i="194"/>
  <c r="E102" i="194"/>
  <c r="D102" i="194"/>
  <c r="T101" i="194"/>
  <c r="S101" i="194"/>
  <c r="R101" i="194"/>
  <c r="Q101" i="194"/>
  <c r="P101" i="194"/>
  <c r="K101" i="194"/>
  <c r="J101" i="194"/>
  <c r="I101" i="194"/>
  <c r="H101" i="194"/>
  <c r="G101" i="194"/>
  <c r="F101" i="194"/>
  <c r="E101" i="194"/>
  <c r="D101" i="194"/>
  <c r="T100" i="194"/>
  <c r="S100" i="194"/>
  <c r="R100" i="194"/>
  <c r="Q100" i="194"/>
  <c r="P100" i="194"/>
  <c r="K100" i="194"/>
  <c r="J100" i="194"/>
  <c r="I100" i="194"/>
  <c r="H100" i="194"/>
  <c r="G100" i="194"/>
  <c r="F100" i="194"/>
  <c r="E100" i="194"/>
  <c r="D100" i="194"/>
  <c r="T99" i="194"/>
  <c r="S99" i="194"/>
  <c r="R99" i="194"/>
  <c r="Q99" i="194"/>
  <c r="P99" i="194"/>
  <c r="K99" i="194"/>
  <c r="J99" i="194"/>
  <c r="I99" i="194"/>
  <c r="H99" i="194"/>
  <c r="G99" i="194"/>
  <c r="F99" i="194"/>
  <c r="E99" i="194"/>
  <c r="D99" i="194"/>
  <c r="T93" i="194"/>
  <c r="S93" i="194"/>
  <c r="R93" i="194"/>
  <c r="Q93" i="194"/>
  <c r="P93" i="194"/>
  <c r="K93" i="194"/>
  <c r="J93" i="194"/>
  <c r="I93" i="194"/>
  <c r="H93" i="194"/>
  <c r="G93" i="194"/>
  <c r="F93" i="194"/>
  <c r="E93" i="194"/>
  <c r="D93" i="194"/>
  <c r="T92" i="194"/>
  <c r="S92" i="194"/>
  <c r="R92" i="194"/>
  <c r="Q92" i="194"/>
  <c r="P92" i="194"/>
  <c r="K92" i="194"/>
  <c r="J92" i="194"/>
  <c r="I92" i="194"/>
  <c r="H92" i="194"/>
  <c r="G92" i="194"/>
  <c r="F92" i="194"/>
  <c r="E92" i="194"/>
  <c r="D92" i="194"/>
  <c r="T91" i="194"/>
  <c r="S91" i="194"/>
  <c r="R91" i="194"/>
  <c r="Q91" i="194"/>
  <c r="P91" i="194"/>
  <c r="K91" i="194"/>
  <c r="J91" i="194"/>
  <c r="I91" i="194"/>
  <c r="H91" i="194"/>
  <c r="G91" i="194"/>
  <c r="F91" i="194"/>
  <c r="E91" i="194"/>
  <c r="D91" i="194"/>
  <c r="T90" i="194"/>
  <c r="S90" i="194"/>
  <c r="R90" i="194"/>
  <c r="Q90" i="194"/>
  <c r="P90" i="194"/>
  <c r="K90" i="194"/>
  <c r="J90" i="194"/>
  <c r="I90" i="194"/>
  <c r="H90" i="194"/>
  <c r="G90" i="194"/>
  <c r="F90" i="194"/>
  <c r="E90" i="194"/>
  <c r="D90" i="194"/>
  <c r="T89" i="194"/>
  <c r="S89" i="194"/>
  <c r="R89" i="194"/>
  <c r="Q89" i="194"/>
  <c r="P89" i="194"/>
  <c r="K89" i="194"/>
  <c r="J89" i="194"/>
  <c r="I89" i="194"/>
  <c r="H89" i="194"/>
  <c r="G89" i="194"/>
  <c r="F89" i="194"/>
  <c r="E89" i="194"/>
  <c r="D89" i="194"/>
  <c r="T83" i="194"/>
  <c r="S83" i="194"/>
  <c r="R83" i="194"/>
  <c r="Q83" i="194"/>
  <c r="P83" i="194"/>
  <c r="K83" i="194"/>
  <c r="J83" i="194"/>
  <c r="I83" i="194"/>
  <c r="H83" i="194"/>
  <c r="G83" i="194"/>
  <c r="F83" i="194"/>
  <c r="E83" i="194"/>
  <c r="D83" i="194"/>
  <c r="T82" i="194"/>
  <c r="S82" i="194"/>
  <c r="R82" i="194"/>
  <c r="Q82" i="194"/>
  <c r="P82" i="194"/>
  <c r="K82" i="194"/>
  <c r="J82" i="194"/>
  <c r="I82" i="194"/>
  <c r="H82" i="194"/>
  <c r="G82" i="194"/>
  <c r="F82" i="194"/>
  <c r="E82" i="194"/>
  <c r="D82" i="194"/>
  <c r="T81" i="194"/>
  <c r="S81" i="194"/>
  <c r="R81" i="194"/>
  <c r="Q81" i="194"/>
  <c r="P81" i="194"/>
  <c r="K81" i="194"/>
  <c r="J81" i="194"/>
  <c r="I81" i="194"/>
  <c r="H81" i="194"/>
  <c r="G81" i="194"/>
  <c r="F81" i="194"/>
  <c r="E81" i="194"/>
  <c r="D81" i="194"/>
  <c r="T80" i="194"/>
  <c r="S80" i="194"/>
  <c r="R80" i="194"/>
  <c r="Q80" i="194"/>
  <c r="P80" i="194"/>
  <c r="K80" i="194"/>
  <c r="J80" i="194"/>
  <c r="I80" i="194"/>
  <c r="H80" i="194"/>
  <c r="G80" i="194"/>
  <c r="F80" i="194"/>
  <c r="E80" i="194"/>
  <c r="D80" i="194"/>
  <c r="T79" i="194"/>
  <c r="S79" i="194"/>
  <c r="R79" i="194"/>
  <c r="Q79" i="194"/>
  <c r="P79" i="194"/>
  <c r="K79" i="194"/>
  <c r="J79" i="194"/>
  <c r="I79" i="194"/>
  <c r="H79" i="194"/>
  <c r="G79" i="194"/>
  <c r="F79" i="194"/>
  <c r="E79" i="194"/>
  <c r="D79" i="194"/>
  <c r="T78" i="194"/>
  <c r="S78" i="194"/>
  <c r="R78" i="194"/>
  <c r="Q78" i="194"/>
  <c r="P78" i="194"/>
  <c r="K78" i="194"/>
  <c r="J78" i="194"/>
  <c r="I78" i="194"/>
  <c r="H78" i="194"/>
  <c r="G78" i="194"/>
  <c r="F78" i="194"/>
  <c r="E78" i="194"/>
  <c r="D78" i="194"/>
  <c r="T72" i="194"/>
  <c r="S72" i="194"/>
  <c r="R72" i="194"/>
  <c r="Q72" i="194"/>
  <c r="P72" i="194"/>
  <c r="K72" i="194"/>
  <c r="J72" i="194"/>
  <c r="I72" i="194"/>
  <c r="H72" i="194"/>
  <c r="G72" i="194"/>
  <c r="F72" i="194"/>
  <c r="E72" i="194"/>
  <c r="D72" i="194"/>
  <c r="T71" i="194"/>
  <c r="S71" i="194"/>
  <c r="R71" i="194"/>
  <c r="Q71" i="194"/>
  <c r="P71" i="194"/>
  <c r="K71" i="194"/>
  <c r="J71" i="194"/>
  <c r="I71" i="194"/>
  <c r="H71" i="194"/>
  <c r="G71" i="194"/>
  <c r="F71" i="194"/>
  <c r="E71" i="194"/>
  <c r="D71" i="194"/>
  <c r="T70" i="194"/>
  <c r="S70" i="194"/>
  <c r="R70" i="194"/>
  <c r="Q70" i="194"/>
  <c r="P70" i="194"/>
  <c r="K70" i="194"/>
  <c r="J70" i="194"/>
  <c r="I70" i="194"/>
  <c r="H70" i="194"/>
  <c r="G70" i="194"/>
  <c r="F70" i="194"/>
  <c r="E70" i="194"/>
  <c r="D70" i="194"/>
  <c r="T59" i="194"/>
  <c r="S59" i="194"/>
  <c r="R59" i="194"/>
  <c r="Q59" i="194"/>
  <c r="P59" i="194"/>
  <c r="K59" i="194"/>
  <c r="J59" i="194"/>
  <c r="I59" i="194"/>
  <c r="H59" i="194"/>
  <c r="G59" i="194"/>
  <c r="F59" i="194"/>
  <c r="E59" i="194"/>
  <c r="D59" i="194"/>
  <c r="T58" i="194"/>
  <c r="S58" i="194"/>
  <c r="R58" i="194"/>
  <c r="Q58" i="194"/>
  <c r="P58" i="194"/>
  <c r="K58" i="194"/>
  <c r="J58" i="194"/>
  <c r="I58" i="194"/>
  <c r="H58" i="194"/>
  <c r="G58" i="194"/>
  <c r="E58" i="194"/>
  <c r="D58" i="194"/>
  <c r="T57" i="194"/>
  <c r="S57" i="194"/>
  <c r="R57" i="194"/>
  <c r="Q57" i="194"/>
  <c r="P57" i="194"/>
  <c r="K57" i="194"/>
  <c r="J57" i="194"/>
  <c r="I57" i="194"/>
  <c r="H57" i="194"/>
  <c r="G57" i="194"/>
  <c r="F57" i="194"/>
  <c r="E57" i="194"/>
  <c r="D57" i="194"/>
  <c r="T56" i="194"/>
  <c r="S56" i="194"/>
  <c r="R56" i="194"/>
  <c r="Q56" i="194"/>
  <c r="P56" i="194"/>
  <c r="K56" i="194"/>
  <c r="J56" i="194"/>
  <c r="I56" i="194"/>
  <c r="H56" i="194"/>
  <c r="G56" i="194"/>
  <c r="F56" i="194"/>
  <c r="E56" i="194"/>
  <c r="D56" i="194"/>
  <c r="T55" i="194"/>
  <c r="S55" i="194"/>
  <c r="R55" i="194"/>
  <c r="Q55" i="194"/>
  <c r="P55" i="194"/>
  <c r="K55" i="194"/>
  <c r="J55" i="194"/>
  <c r="I55" i="194"/>
  <c r="H55" i="194"/>
  <c r="G55" i="194"/>
  <c r="F55" i="194"/>
  <c r="E55" i="194"/>
  <c r="D55" i="194"/>
  <c r="T54" i="194"/>
  <c r="S54" i="194"/>
  <c r="R54" i="194"/>
  <c r="Q54" i="194"/>
  <c r="P54" i="194"/>
  <c r="K54" i="194"/>
  <c r="J54" i="194"/>
  <c r="I54" i="194"/>
  <c r="H54" i="194"/>
  <c r="G54" i="194"/>
  <c r="F54" i="194"/>
  <c r="E54" i="194"/>
  <c r="D54" i="194"/>
  <c r="T48" i="194"/>
  <c r="S48" i="194"/>
  <c r="R48" i="194"/>
  <c r="Q48" i="194"/>
  <c r="P48" i="194"/>
  <c r="K48" i="194"/>
  <c r="J48" i="194"/>
  <c r="I48" i="194"/>
  <c r="H48" i="194"/>
  <c r="G48" i="194"/>
  <c r="F48" i="194"/>
  <c r="E48" i="194"/>
  <c r="D48" i="194"/>
  <c r="T47" i="194"/>
  <c r="S47" i="194"/>
  <c r="R47" i="194"/>
  <c r="Q47" i="194"/>
  <c r="P47" i="194"/>
  <c r="K47" i="194"/>
  <c r="J47" i="194"/>
  <c r="I47" i="194"/>
  <c r="H47" i="194"/>
  <c r="G47" i="194"/>
  <c r="F47" i="194"/>
  <c r="E47" i="194"/>
  <c r="D47" i="194"/>
  <c r="T46" i="194"/>
  <c r="S46" i="194"/>
  <c r="R46" i="194"/>
  <c r="Q46" i="194"/>
  <c r="P46" i="194"/>
  <c r="K46" i="194"/>
  <c r="J46" i="194"/>
  <c r="I46" i="194"/>
  <c r="H46" i="194"/>
  <c r="G46" i="194"/>
  <c r="F46" i="194"/>
  <c r="E46" i="194"/>
  <c r="D46" i="194"/>
  <c r="T45" i="194"/>
  <c r="S45" i="194"/>
  <c r="R45" i="194"/>
  <c r="Q45" i="194"/>
  <c r="P45" i="194"/>
  <c r="K45" i="194"/>
  <c r="J45" i="194"/>
  <c r="I45" i="194"/>
  <c r="H45" i="194"/>
  <c r="G45" i="194"/>
  <c r="F45" i="194"/>
  <c r="E45" i="194"/>
  <c r="D45" i="194"/>
  <c r="T44" i="194"/>
  <c r="S44" i="194"/>
  <c r="R44" i="194"/>
  <c r="Q44" i="194"/>
  <c r="P44" i="194"/>
  <c r="K44" i="194"/>
  <c r="J44" i="194"/>
  <c r="I44" i="194"/>
  <c r="H44" i="194"/>
  <c r="G44" i="194"/>
  <c r="F44" i="194"/>
  <c r="E44" i="194"/>
  <c r="D44" i="194"/>
  <c r="T43" i="194"/>
  <c r="S43" i="194"/>
  <c r="R43" i="194"/>
  <c r="Q43" i="194"/>
  <c r="P43" i="194"/>
  <c r="K43" i="194"/>
  <c r="J43" i="194"/>
  <c r="I43" i="194"/>
  <c r="H43" i="194"/>
  <c r="G43" i="194"/>
  <c r="E43" i="194"/>
  <c r="D43" i="194"/>
  <c r="T42" i="194"/>
  <c r="S42" i="194"/>
  <c r="R42" i="194"/>
  <c r="Q42" i="194"/>
  <c r="P42" i="194"/>
  <c r="K42" i="194"/>
  <c r="J42" i="194"/>
  <c r="I42" i="194"/>
  <c r="H42" i="194"/>
  <c r="G42" i="194"/>
  <c r="F42" i="194"/>
  <c r="E42" i="194"/>
  <c r="D42" i="194"/>
  <c r="T41" i="194"/>
  <c r="S41" i="194"/>
  <c r="R41" i="194"/>
  <c r="Q41" i="194"/>
  <c r="P41" i="194"/>
  <c r="K41" i="194"/>
  <c r="J41" i="194"/>
  <c r="I41" i="194"/>
  <c r="H41" i="194"/>
  <c r="G41" i="194"/>
  <c r="F41" i="194"/>
  <c r="E41" i="194"/>
  <c r="D41" i="194"/>
  <c r="T40" i="194"/>
  <c r="S40" i="194"/>
  <c r="R40" i="194"/>
  <c r="Q40" i="194"/>
  <c r="P40" i="194"/>
  <c r="K40" i="194"/>
  <c r="J40" i="194"/>
  <c r="I40" i="194"/>
  <c r="H40" i="194"/>
  <c r="G40" i="194"/>
  <c r="F40" i="194"/>
  <c r="E40" i="194"/>
  <c r="D40" i="194"/>
  <c r="T39" i="194"/>
  <c r="S39" i="194"/>
  <c r="R39" i="194"/>
  <c r="Q39" i="194"/>
  <c r="P39" i="194"/>
  <c r="K39" i="194"/>
  <c r="J39" i="194"/>
  <c r="I39" i="194"/>
  <c r="H39" i="194"/>
  <c r="G39" i="194"/>
  <c r="F39" i="194"/>
  <c r="E39" i="194"/>
  <c r="D39" i="194"/>
  <c r="S6" i="194"/>
  <c r="S7" i="194"/>
  <c r="S13" i="194"/>
  <c r="S14" i="194"/>
  <c r="S15" i="194"/>
  <c r="S16" i="194"/>
  <c r="S17" i="194"/>
  <c r="S23" i="194"/>
  <c r="S24" i="194"/>
  <c r="S30" i="194"/>
  <c r="S31" i="194"/>
  <c r="S32" i="194"/>
  <c r="T32" i="194"/>
  <c r="R32" i="194"/>
  <c r="Q32" i="194"/>
  <c r="P32" i="194"/>
  <c r="K32" i="194"/>
  <c r="J32" i="194"/>
  <c r="I32" i="194"/>
  <c r="H32" i="194"/>
  <c r="G32" i="194"/>
  <c r="F32" i="194"/>
  <c r="E32" i="194"/>
  <c r="D32" i="194"/>
  <c r="T31" i="194"/>
  <c r="R31" i="194"/>
  <c r="Q31" i="194"/>
  <c r="P31" i="194"/>
  <c r="K31" i="194"/>
  <c r="J31" i="194"/>
  <c r="I31" i="194"/>
  <c r="H31" i="194"/>
  <c r="G31" i="194"/>
  <c r="F31" i="194"/>
  <c r="E31" i="194"/>
  <c r="D31" i="194"/>
  <c r="T30" i="194"/>
  <c r="R30" i="194"/>
  <c r="Q30" i="194"/>
  <c r="P30" i="194"/>
  <c r="K30" i="194"/>
  <c r="J30" i="194"/>
  <c r="I30" i="194"/>
  <c r="H30" i="194"/>
  <c r="G30" i="194"/>
  <c r="F30" i="194"/>
  <c r="E30" i="194"/>
  <c r="D30" i="194"/>
  <c r="T24" i="194"/>
  <c r="R24" i="194"/>
  <c r="Q24" i="194"/>
  <c r="P24" i="194"/>
  <c r="K24" i="194"/>
  <c r="J24" i="194"/>
  <c r="I24" i="194"/>
  <c r="H24" i="194"/>
  <c r="G24" i="194"/>
  <c r="F24" i="194"/>
  <c r="E24" i="194"/>
  <c r="D24" i="194"/>
  <c r="T23" i="194"/>
  <c r="R23" i="194"/>
  <c r="Q23" i="194"/>
  <c r="P23" i="194"/>
  <c r="K23" i="194"/>
  <c r="J23" i="194"/>
  <c r="I23" i="194"/>
  <c r="H23" i="194"/>
  <c r="G23" i="194"/>
  <c r="F23" i="194"/>
  <c r="E23" i="194"/>
  <c r="D23" i="194"/>
  <c r="T17" i="194"/>
  <c r="R17" i="194"/>
  <c r="Q17" i="194"/>
  <c r="P17" i="194"/>
  <c r="K17" i="194"/>
  <c r="J17" i="194"/>
  <c r="I17" i="194"/>
  <c r="H17" i="194"/>
  <c r="G17" i="194"/>
  <c r="E17" i="194"/>
  <c r="D17" i="194"/>
  <c r="T16" i="194"/>
  <c r="R16" i="194"/>
  <c r="Q16" i="194"/>
  <c r="P16" i="194"/>
  <c r="K16" i="194"/>
  <c r="J16" i="194"/>
  <c r="I16" i="194"/>
  <c r="H16" i="194"/>
  <c r="G16" i="194"/>
  <c r="F16" i="194"/>
  <c r="E16" i="194"/>
  <c r="D16" i="194"/>
  <c r="T15" i="194"/>
  <c r="R15" i="194"/>
  <c r="Q15" i="194"/>
  <c r="P15" i="194"/>
  <c r="K15" i="194"/>
  <c r="J15" i="194"/>
  <c r="I15" i="194"/>
  <c r="H15" i="194"/>
  <c r="G15" i="194"/>
  <c r="F15" i="194"/>
  <c r="E15" i="194"/>
  <c r="D15" i="194"/>
  <c r="T14" i="194"/>
  <c r="R14" i="194"/>
  <c r="Q14" i="194"/>
  <c r="P14" i="194"/>
  <c r="K14" i="194"/>
  <c r="J14" i="194"/>
  <c r="I14" i="194"/>
  <c r="H14" i="194"/>
  <c r="G14" i="194"/>
  <c r="F14" i="194"/>
  <c r="E14" i="194"/>
  <c r="D14" i="194"/>
  <c r="T13" i="194"/>
  <c r="R13" i="194"/>
  <c r="Q13" i="194"/>
  <c r="P13" i="194"/>
  <c r="K13" i="194"/>
  <c r="J13" i="194"/>
  <c r="I13" i="194"/>
  <c r="H13" i="194"/>
  <c r="G13" i="194"/>
  <c r="F13" i="194"/>
  <c r="E13" i="194"/>
  <c r="D13" i="194"/>
  <c r="T7" i="194"/>
  <c r="R7" i="194"/>
  <c r="Q7" i="194"/>
  <c r="P7" i="194"/>
  <c r="K7" i="194"/>
  <c r="J7" i="194"/>
  <c r="I7" i="194"/>
  <c r="H7" i="194"/>
  <c r="G7" i="194"/>
  <c r="F7" i="194"/>
  <c r="E7" i="194"/>
  <c r="D7" i="194"/>
  <c r="T6" i="194"/>
  <c r="R6" i="194"/>
  <c r="Q6" i="194"/>
  <c r="P6" i="194"/>
  <c r="K6" i="194"/>
  <c r="J6" i="194"/>
  <c r="I6" i="194"/>
  <c r="H6" i="194"/>
  <c r="G6" i="194"/>
  <c r="F6" i="194"/>
  <c r="E6" i="194"/>
  <c r="D6" i="194"/>
  <c r="D148" i="194"/>
  <c r="E148" i="194"/>
  <c r="F148" i="194"/>
  <c r="F154" i="194"/>
  <c r="E154" i="194"/>
  <c r="D149" i="194"/>
  <c r="D150" i="194"/>
  <c r="D151" i="194"/>
  <c r="D154" i="194"/>
  <c r="F153" i="194"/>
  <c r="F152" i="194"/>
  <c r="E151" i="194"/>
  <c r="F151" i="194"/>
  <c r="E150" i="194"/>
  <c r="F150" i="194"/>
  <c r="E149" i="194"/>
  <c r="F149" i="194"/>
  <c r="D143" i="194"/>
  <c r="O116" i="194"/>
  <c r="O104" i="194"/>
  <c r="O94" i="194"/>
  <c r="O73" i="194"/>
  <c r="O33" i="194"/>
  <c r="O25" i="194"/>
  <c r="O18" i="194"/>
  <c r="O8" i="194"/>
  <c r="D141" i="194"/>
  <c r="D140" i="194"/>
  <c r="D138" i="194"/>
  <c r="D137" i="194"/>
  <c r="C5" i="7"/>
  <c r="D5" i="7"/>
  <c r="E5" i="7"/>
  <c r="F5" i="7"/>
  <c r="G5" i="7"/>
  <c r="H5" i="7"/>
  <c r="I5" i="7"/>
  <c r="J5" i="7"/>
  <c r="N5" i="7"/>
  <c r="O5" i="7"/>
  <c r="P5" i="7"/>
  <c r="R5" i="7"/>
  <c r="S5" i="7"/>
  <c r="C6" i="7"/>
  <c r="D6" i="7"/>
  <c r="E6" i="7"/>
  <c r="F6" i="7"/>
  <c r="G6" i="7"/>
  <c r="H6" i="7"/>
  <c r="I6" i="7"/>
  <c r="J6" i="7"/>
  <c r="N6" i="7"/>
  <c r="O6" i="7"/>
  <c r="P6" i="7"/>
  <c r="R6" i="7"/>
  <c r="S6" i="7"/>
  <c r="C7" i="7"/>
  <c r="D7" i="7"/>
  <c r="E7" i="7"/>
  <c r="F7" i="7"/>
  <c r="G7" i="7"/>
  <c r="H7" i="7"/>
  <c r="I7" i="7"/>
  <c r="J7" i="7"/>
  <c r="K7" i="7"/>
  <c r="K9" i="7" s="1"/>
  <c r="E3" i="7" s="1"/>
  <c r="F3" i="7" s="1"/>
  <c r="O7" i="7"/>
  <c r="P7" i="7"/>
  <c r="R7" i="7"/>
  <c r="S7" i="7"/>
  <c r="C13" i="7"/>
  <c r="D13" i="7"/>
  <c r="E13" i="7"/>
  <c r="F13" i="7"/>
  <c r="G13" i="7"/>
  <c r="H13" i="7"/>
  <c r="I13" i="7"/>
  <c r="J13" i="7"/>
  <c r="N13" i="7"/>
  <c r="O13" i="7"/>
  <c r="P13" i="7"/>
  <c r="R13" i="7"/>
  <c r="S13" i="7"/>
  <c r="C14" i="7"/>
  <c r="D14" i="7"/>
  <c r="E14" i="7"/>
  <c r="F14" i="7"/>
  <c r="G14" i="7"/>
  <c r="H14" i="7"/>
  <c r="I14" i="7"/>
  <c r="J14" i="7"/>
  <c r="K14" i="7"/>
  <c r="K20" i="7" s="1"/>
  <c r="E11" i="7" s="1"/>
  <c r="F11" i="7" s="1"/>
  <c r="O14" i="7"/>
  <c r="P14" i="7"/>
  <c r="R14" i="7"/>
  <c r="S14" i="7"/>
  <c r="C15" i="7"/>
  <c r="D15" i="7"/>
  <c r="E15" i="7"/>
  <c r="F15" i="7"/>
  <c r="G15" i="7"/>
  <c r="H15" i="7"/>
  <c r="I15" i="7"/>
  <c r="J15" i="7"/>
  <c r="K15" i="7"/>
  <c r="O15" i="7"/>
  <c r="P15" i="7"/>
  <c r="R15" i="7"/>
  <c r="S15" i="7"/>
  <c r="C16" i="7"/>
  <c r="D16" i="7"/>
  <c r="E16" i="7"/>
  <c r="F16" i="7"/>
  <c r="G16" i="7"/>
  <c r="H16" i="7"/>
  <c r="I16" i="7"/>
  <c r="J16" i="7"/>
  <c r="K16" i="7"/>
  <c r="O16" i="7"/>
  <c r="P16" i="7"/>
  <c r="R16" i="7"/>
  <c r="S16" i="7"/>
  <c r="C17" i="7"/>
  <c r="D17" i="7"/>
  <c r="E17" i="7"/>
  <c r="F17" i="7"/>
  <c r="G17" i="7"/>
  <c r="H17" i="7"/>
  <c r="I17" i="7"/>
  <c r="J17" i="7"/>
  <c r="K17" i="7"/>
  <c r="O17" i="7"/>
  <c r="P17" i="7"/>
  <c r="R17" i="7"/>
  <c r="S17" i="7"/>
  <c r="C18" i="7"/>
  <c r="D18" i="7"/>
  <c r="E18" i="7"/>
  <c r="F18" i="7"/>
  <c r="G18" i="7"/>
  <c r="H18" i="7"/>
  <c r="I18" i="7"/>
  <c r="J18" i="7"/>
  <c r="K18" i="7"/>
  <c r="O18" i="7"/>
  <c r="P18" i="7"/>
  <c r="R18" i="7"/>
  <c r="S18" i="7"/>
  <c r="C24" i="7"/>
  <c r="D24" i="7"/>
  <c r="E24" i="7"/>
  <c r="F24" i="7"/>
  <c r="G24" i="7"/>
  <c r="H24" i="7"/>
  <c r="I24" i="7"/>
  <c r="J24" i="7"/>
  <c r="K24" i="7"/>
  <c r="N24" i="7" s="1"/>
  <c r="N26" i="7" s="1"/>
  <c r="N144" i="7"/>
  <c r="N136" i="7"/>
  <c r="N127" i="7"/>
  <c r="N105" i="7"/>
  <c r="N115" i="7"/>
  <c r="N102" i="7"/>
  <c r="N94" i="7"/>
  <c r="N82" i="7"/>
  <c r="N68" i="7"/>
  <c r="N52" i="7"/>
  <c r="N37" i="7"/>
  <c r="O24" i="7"/>
  <c r="P24" i="7"/>
  <c r="R24" i="7"/>
  <c r="S24" i="7"/>
  <c r="C29" i="7"/>
  <c r="D29" i="7"/>
  <c r="E29" i="7"/>
  <c r="F29" i="7"/>
  <c r="G29" i="7"/>
  <c r="H29" i="7"/>
  <c r="I29" i="7"/>
  <c r="J29" i="7"/>
  <c r="K29" i="7"/>
  <c r="K37" i="7" s="1"/>
  <c r="E28" i="7" s="1"/>
  <c r="F28" i="7" s="1"/>
  <c r="O29" i="7"/>
  <c r="P29" i="7"/>
  <c r="R29" i="7"/>
  <c r="S29" i="7"/>
  <c r="C30" i="7"/>
  <c r="D30" i="7"/>
  <c r="E30" i="7"/>
  <c r="F30" i="7"/>
  <c r="G30" i="7"/>
  <c r="H30" i="7"/>
  <c r="I30" i="7"/>
  <c r="J30" i="7"/>
  <c r="K30" i="7"/>
  <c r="O30" i="7"/>
  <c r="P30" i="7"/>
  <c r="R30" i="7"/>
  <c r="S30" i="7"/>
  <c r="C31" i="7"/>
  <c r="D31" i="7"/>
  <c r="E31" i="7"/>
  <c r="F31" i="7"/>
  <c r="G31" i="7"/>
  <c r="H31" i="7"/>
  <c r="I31" i="7"/>
  <c r="J31" i="7"/>
  <c r="K31" i="7"/>
  <c r="O31" i="7"/>
  <c r="P31" i="7"/>
  <c r="R31" i="7"/>
  <c r="S31" i="7"/>
  <c r="K32" i="7"/>
  <c r="K33" i="7"/>
  <c r="K34" i="7"/>
  <c r="K35" i="7"/>
  <c r="K36" i="7"/>
  <c r="C42" i="7"/>
  <c r="D42" i="7"/>
  <c r="E42" i="7"/>
  <c r="F42" i="7"/>
  <c r="G42" i="7"/>
  <c r="H42" i="7"/>
  <c r="I42" i="7"/>
  <c r="J42" i="7"/>
  <c r="K42" i="7"/>
  <c r="K52" i="7" s="1"/>
  <c r="E41" i="7" s="1"/>
  <c r="F41" i="7" s="1"/>
  <c r="O42" i="7"/>
  <c r="P42" i="7"/>
  <c r="R42" i="7"/>
  <c r="S42" i="7"/>
  <c r="C43" i="7"/>
  <c r="D43" i="7"/>
  <c r="E43" i="7"/>
  <c r="F43" i="7"/>
  <c r="G43" i="7"/>
  <c r="H43" i="7"/>
  <c r="I43" i="7"/>
  <c r="J43" i="7"/>
  <c r="K43" i="7"/>
  <c r="O43" i="7"/>
  <c r="P43" i="7"/>
  <c r="R43" i="7"/>
  <c r="S43" i="7"/>
  <c r="C44" i="7"/>
  <c r="D44" i="7"/>
  <c r="E44" i="7"/>
  <c r="F44" i="7"/>
  <c r="G44" i="7"/>
  <c r="H44" i="7"/>
  <c r="I44" i="7"/>
  <c r="J44" i="7"/>
  <c r="O44" i="7"/>
  <c r="P44" i="7"/>
  <c r="R44" i="7"/>
  <c r="S44" i="7"/>
  <c r="C45" i="7"/>
  <c r="D45" i="7"/>
  <c r="E45" i="7"/>
  <c r="F45" i="7"/>
  <c r="G45" i="7"/>
  <c r="H45" i="7"/>
  <c r="I45" i="7"/>
  <c r="J45" i="7"/>
  <c r="K45" i="7"/>
  <c r="O45" i="7"/>
  <c r="P45" i="7"/>
  <c r="R45" i="7"/>
  <c r="S45" i="7"/>
  <c r="C46" i="7"/>
  <c r="D46" i="7"/>
  <c r="E46" i="7"/>
  <c r="F46" i="7"/>
  <c r="G46" i="7"/>
  <c r="H46" i="7"/>
  <c r="I46" i="7"/>
  <c r="J46" i="7"/>
  <c r="K46" i="7"/>
  <c r="O46" i="7"/>
  <c r="P46" i="7"/>
  <c r="R46" i="7"/>
  <c r="S46" i="7"/>
  <c r="C47" i="7"/>
  <c r="D47" i="7"/>
  <c r="E47" i="7"/>
  <c r="F47" i="7"/>
  <c r="G47" i="7"/>
  <c r="H47" i="7"/>
  <c r="I47" i="7"/>
  <c r="J47" i="7"/>
  <c r="K47" i="7"/>
  <c r="O47" i="7"/>
  <c r="P47" i="7"/>
  <c r="R47" i="7"/>
  <c r="S47" i="7"/>
  <c r="C48" i="7"/>
  <c r="D48" i="7"/>
  <c r="E48" i="7"/>
  <c r="F48" i="7"/>
  <c r="G48" i="7"/>
  <c r="H48" i="7"/>
  <c r="I48" i="7"/>
  <c r="J48" i="7"/>
  <c r="K48" i="7"/>
  <c r="O48" i="7"/>
  <c r="P48" i="7"/>
  <c r="R48" i="7"/>
  <c r="S48" i="7"/>
  <c r="C49" i="7"/>
  <c r="D49" i="7"/>
  <c r="E49" i="7"/>
  <c r="F49" i="7"/>
  <c r="G49" i="7"/>
  <c r="H49" i="7"/>
  <c r="I49" i="7"/>
  <c r="J49" i="7"/>
  <c r="K49" i="7"/>
  <c r="O49" i="7"/>
  <c r="P49" i="7"/>
  <c r="R49" i="7"/>
  <c r="S49" i="7"/>
  <c r="C50" i="7"/>
  <c r="D50" i="7"/>
  <c r="E50" i="7"/>
  <c r="F50" i="7"/>
  <c r="G50" i="7"/>
  <c r="H50" i="7"/>
  <c r="I50" i="7"/>
  <c r="J50" i="7"/>
  <c r="K50" i="7"/>
  <c r="O50" i="7"/>
  <c r="P50" i="7"/>
  <c r="R50" i="7"/>
  <c r="S50" i="7"/>
  <c r="K51" i="7"/>
  <c r="C55" i="7"/>
  <c r="D55" i="7"/>
  <c r="E55" i="7"/>
  <c r="F55" i="7"/>
  <c r="G55" i="7"/>
  <c r="H55" i="7"/>
  <c r="I55" i="7"/>
  <c r="J55" i="7"/>
  <c r="K55" i="7"/>
  <c r="O55" i="7"/>
  <c r="P55" i="7"/>
  <c r="R55" i="7"/>
  <c r="S55" i="7"/>
  <c r="C56" i="7"/>
  <c r="D56" i="7"/>
  <c r="E56" i="7"/>
  <c r="F56" i="7"/>
  <c r="G56" i="7"/>
  <c r="H56" i="7"/>
  <c r="I56" i="7"/>
  <c r="J56" i="7"/>
  <c r="K56" i="7"/>
  <c r="K68" i="7" s="1"/>
  <c r="E54" i="7" s="1"/>
  <c r="F54" i="7" s="1"/>
  <c r="O56" i="7"/>
  <c r="P56" i="7"/>
  <c r="R56" i="7"/>
  <c r="S56" i="7"/>
  <c r="C57" i="7"/>
  <c r="D57" i="7"/>
  <c r="E57" i="7"/>
  <c r="F57" i="7"/>
  <c r="G57" i="7"/>
  <c r="H57" i="7"/>
  <c r="I57" i="7"/>
  <c r="J57" i="7"/>
  <c r="K57" i="7"/>
  <c r="O57" i="7"/>
  <c r="P57" i="7"/>
  <c r="R57" i="7"/>
  <c r="S57" i="7"/>
  <c r="C58" i="7"/>
  <c r="D58" i="7"/>
  <c r="E58" i="7"/>
  <c r="F58" i="7"/>
  <c r="G58" i="7"/>
  <c r="H58" i="7"/>
  <c r="I58" i="7"/>
  <c r="J58" i="7"/>
  <c r="K58" i="7"/>
  <c r="O58" i="7"/>
  <c r="P58" i="7"/>
  <c r="R58" i="7"/>
  <c r="S58" i="7"/>
  <c r="C59" i="7"/>
  <c r="D59" i="7"/>
  <c r="E59" i="7"/>
  <c r="F59" i="7"/>
  <c r="G59" i="7"/>
  <c r="H59" i="7"/>
  <c r="I59" i="7"/>
  <c r="J59" i="7"/>
  <c r="K59" i="7"/>
  <c r="O59" i="7"/>
  <c r="P59" i="7"/>
  <c r="R59" i="7"/>
  <c r="S59" i="7"/>
  <c r="C60" i="7"/>
  <c r="D60" i="7"/>
  <c r="E60" i="7"/>
  <c r="F60" i="7"/>
  <c r="G60" i="7"/>
  <c r="H60" i="7"/>
  <c r="I60" i="7"/>
  <c r="J60" i="7"/>
  <c r="K60" i="7"/>
  <c r="O60" i="7"/>
  <c r="P60" i="7"/>
  <c r="R60" i="7"/>
  <c r="S60" i="7"/>
  <c r="C61" i="7"/>
  <c r="D61" i="7"/>
  <c r="E61" i="7"/>
  <c r="F61" i="7"/>
  <c r="G61" i="7"/>
  <c r="H61" i="7"/>
  <c r="I61" i="7"/>
  <c r="J61" i="7"/>
  <c r="K61" i="7"/>
  <c r="O61" i="7"/>
  <c r="P61" i="7"/>
  <c r="R61" i="7"/>
  <c r="S61" i="7"/>
  <c r="C62" i="7"/>
  <c r="D62" i="7"/>
  <c r="E62" i="7"/>
  <c r="F62" i="7"/>
  <c r="G62" i="7"/>
  <c r="H62" i="7"/>
  <c r="I62" i="7"/>
  <c r="J62" i="7"/>
  <c r="K62" i="7"/>
  <c r="O62" i="7"/>
  <c r="P62" i="7"/>
  <c r="R62" i="7"/>
  <c r="S62" i="7"/>
  <c r="C63" i="7"/>
  <c r="D63" i="7"/>
  <c r="E63" i="7"/>
  <c r="F63" i="7"/>
  <c r="G63" i="7"/>
  <c r="H63" i="7"/>
  <c r="I63" i="7"/>
  <c r="J63" i="7"/>
  <c r="K63" i="7"/>
  <c r="O63" i="7"/>
  <c r="P63" i="7"/>
  <c r="R63" i="7"/>
  <c r="S63" i="7"/>
  <c r="C64" i="7"/>
  <c r="D64" i="7"/>
  <c r="E64" i="7"/>
  <c r="F64" i="7"/>
  <c r="G64" i="7"/>
  <c r="H64" i="7"/>
  <c r="I64" i="7"/>
  <c r="J64" i="7"/>
  <c r="K64" i="7"/>
  <c r="O64" i="7"/>
  <c r="P64" i="7"/>
  <c r="R64" i="7"/>
  <c r="S64" i="7"/>
  <c r="C65" i="7"/>
  <c r="D65" i="7"/>
  <c r="E65" i="7"/>
  <c r="F65" i="7"/>
  <c r="G65" i="7"/>
  <c r="H65" i="7"/>
  <c r="I65" i="7"/>
  <c r="J65" i="7"/>
  <c r="K65" i="7"/>
  <c r="O65" i="7"/>
  <c r="P65" i="7"/>
  <c r="R65" i="7"/>
  <c r="S65" i="7"/>
  <c r="C66" i="7"/>
  <c r="D66" i="7"/>
  <c r="E66" i="7"/>
  <c r="F66" i="7"/>
  <c r="G66" i="7"/>
  <c r="H66" i="7"/>
  <c r="I66" i="7"/>
  <c r="J66" i="7"/>
  <c r="K66" i="7"/>
  <c r="O66" i="7"/>
  <c r="P66" i="7"/>
  <c r="R66" i="7"/>
  <c r="S66" i="7"/>
  <c r="C67" i="7"/>
  <c r="D67" i="7"/>
  <c r="E67" i="7"/>
  <c r="F67" i="7"/>
  <c r="G67" i="7"/>
  <c r="H67" i="7"/>
  <c r="I67" i="7"/>
  <c r="J67" i="7"/>
  <c r="K67" i="7"/>
  <c r="O67" i="7"/>
  <c r="P67" i="7"/>
  <c r="R67" i="7"/>
  <c r="S67" i="7"/>
  <c r="C71" i="7"/>
  <c r="D71" i="7"/>
  <c r="E71" i="7"/>
  <c r="F71" i="7"/>
  <c r="G71" i="7"/>
  <c r="H71" i="7"/>
  <c r="I71" i="7"/>
  <c r="J71" i="7"/>
  <c r="O71" i="7"/>
  <c r="P71" i="7"/>
  <c r="R71" i="7"/>
  <c r="S71" i="7"/>
  <c r="C72" i="7"/>
  <c r="D72" i="7"/>
  <c r="E72" i="7"/>
  <c r="F72" i="7"/>
  <c r="G72" i="7"/>
  <c r="H72" i="7"/>
  <c r="I72" i="7"/>
  <c r="J72" i="7"/>
  <c r="K72" i="7"/>
  <c r="O72" i="7"/>
  <c r="P72" i="7"/>
  <c r="R72" i="7"/>
  <c r="S72" i="7"/>
  <c r="C73" i="7"/>
  <c r="D73" i="7"/>
  <c r="E73" i="7"/>
  <c r="F73" i="7"/>
  <c r="G73" i="7"/>
  <c r="H73" i="7"/>
  <c r="I73" i="7"/>
  <c r="J73" i="7"/>
  <c r="K73" i="7"/>
  <c r="K82" i="7" s="1"/>
  <c r="E70" i="7" s="1"/>
  <c r="O73" i="7"/>
  <c r="P73" i="7"/>
  <c r="R73" i="7"/>
  <c r="S73" i="7"/>
  <c r="C74" i="7"/>
  <c r="D74" i="7"/>
  <c r="E74" i="7"/>
  <c r="F74" i="7"/>
  <c r="G74" i="7"/>
  <c r="H74" i="7"/>
  <c r="I74" i="7"/>
  <c r="J74" i="7"/>
  <c r="K74" i="7"/>
  <c r="O74" i="7"/>
  <c r="P74" i="7"/>
  <c r="R74" i="7"/>
  <c r="S74" i="7"/>
  <c r="C75" i="7"/>
  <c r="D75" i="7"/>
  <c r="E75" i="7"/>
  <c r="F75" i="7"/>
  <c r="G75" i="7"/>
  <c r="H75" i="7"/>
  <c r="I75" i="7"/>
  <c r="J75" i="7"/>
  <c r="K75" i="7"/>
  <c r="O75" i="7"/>
  <c r="P75" i="7"/>
  <c r="R75" i="7"/>
  <c r="S75" i="7"/>
  <c r="C76" i="7"/>
  <c r="D76" i="7"/>
  <c r="E76" i="7"/>
  <c r="F76" i="7"/>
  <c r="G76" i="7"/>
  <c r="H76" i="7"/>
  <c r="I76" i="7"/>
  <c r="J76" i="7"/>
  <c r="K76" i="7"/>
  <c r="O76" i="7"/>
  <c r="P76" i="7"/>
  <c r="R76" i="7"/>
  <c r="S76" i="7"/>
  <c r="C77" i="7"/>
  <c r="D77" i="7"/>
  <c r="E77" i="7"/>
  <c r="F77" i="7"/>
  <c r="G77" i="7"/>
  <c r="H77" i="7"/>
  <c r="I77" i="7"/>
  <c r="J77" i="7"/>
  <c r="K77" i="7"/>
  <c r="O77" i="7"/>
  <c r="P77" i="7"/>
  <c r="R77" i="7"/>
  <c r="S77" i="7"/>
  <c r="C78" i="7"/>
  <c r="D78" i="7"/>
  <c r="E78" i="7"/>
  <c r="F78" i="7"/>
  <c r="G78" i="7"/>
  <c r="H78" i="7"/>
  <c r="I78" i="7"/>
  <c r="J78" i="7"/>
  <c r="K78" i="7"/>
  <c r="O78" i="7"/>
  <c r="P78" i="7"/>
  <c r="R78" i="7"/>
  <c r="S78" i="7"/>
  <c r="C79" i="7"/>
  <c r="D79" i="7"/>
  <c r="E79" i="7"/>
  <c r="F79" i="7"/>
  <c r="G79" i="7"/>
  <c r="H79" i="7"/>
  <c r="I79" i="7"/>
  <c r="J79" i="7"/>
  <c r="K79" i="7"/>
  <c r="O79" i="7"/>
  <c r="P79" i="7"/>
  <c r="R79" i="7"/>
  <c r="S79" i="7"/>
  <c r="C80" i="7"/>
  <c r="D80" i="7"/>
  <c r="E80" i="7"/>
  <c r="F80" i="7"/>
  <c r="G80" i="7"/>
  <c r="H80" i="7"/>
  <c r="I80" i="7"/>
  <c r="J80" i="7"/>
  <c r="K80" i="7"/>
  <c r="O80" i="7"/>
  <c r="P80" i="7"/>
  <c r="R80" i="7"/>
  <c r="S80" i="7"/>
  <c r="K81" i="7"/>
  <c r="C86" i="7"/>
  <c r="D86" i="7"/>
  <c r="E86" i="7"/>
  <c r="F86" i="7"/>
  <c r="G86" i="7"/>
  <c r="H86" i="7"/>
  <c r="I86" i="7"/>
  <c r="J86" i="7"/>
  <c r="O86" i="7"/>
  <c r="P86" i="7"/>
  <c r="R86" i="7"/>
  <c r="S86" i="7"/>
  <c r="C87" i="7"/>
  <c r="D87" i="7"/>
  <c r="E87" i="7"/>
  <c r="F87" i="7"/>
  <c r="G87" i="7"/>
  <c r="H87" i="7"/>
  <c r="I87" i="7"/>
  <c r="J87" i="7"/>
  <c r="K87" i="7"/>
  <c r="K94" i="7" s="1"/>
  <c r="E85" i="7" s="1"/>
  <c r="F85" i="7" s="1"/>
  <c r="O87" i="7"/>
  <c r="P87" i="7"/>
  <c r="R87" i="7"/>
  <c r="S87" i="7"/>
  <c r="C88" i="7"/>
  <c r="D88" i="7"/>
  <c r="E88" i="7"/>
  <c r="F88" i="7"/>
  <c r="G88" i="7"/>
  <c r="H88" i="7"/>
  <c r="I88" i="7"/>
  <c r="J88" i="7"/>
  <c r="K88" i="7"/>
  <c r="O88" i="7"/>
  <c r="P88" i="7"/>
  <c r="R88" i="7"/>
  <c r="S88" i="7"/>
  <c r="K89" i="7"/>
  <c r="K90" i="7"/>
  <c r="K91" i="7"/>
  <c r="K92" i="7"/>
  <c r="K93" i="7"/>
  <c r="C97" i="7"/>
  <c r="D97" i="7"/>
  <c r="E97" i="7"/>
  <c r="F97" i="7"/>
  <c r="G97" i="7"/>
  <c r="H97" i="7"/>
  <c r="I97" i="7"/>
  <c r="J97" i="7"/>
  <c r="O97" i="7"/>
  <c r="P97" i="7"/>
  <c r="R97" i="7"/>
  <c r="S97" i="7"/>
  <c r="C98" i="7"/>
  <c r="D98" i="7"/>
  <c r="E98" i="7"/>
  <c r="F98" i="7"/>
  <c r="G98" i="7"/>
  <c r="H98" i="7"/>
  <c r="I98" i="7"/>
  <c r="J98" i="7"/>
  <c r="K98" i="7"/>
  <c r="K102" i="7" s="1"/>
  <c r="E96" i="7" s="1"/>
  <c r="F96" i="7" s="1"/>
  <c r="O98" i="7"/>
  <c r="P98" i="7"/>
  <c r="R98" i="7"/>
  <c r="S98" i="7"/>
  <c r="C99" i="7"/>
  <c r="D99" i="7"/>
  <c r="E99" i="7"/>
  <c r="F99" i="7"/>
  <c r="G99" i="7"/>
  <c r="H99" i="7"/>
  <c r="I99" i="7"/>
  <c r="J99" i="7"/>
  <c r="K99" i="7"/>
  <c r="O99" i="7"/>
  <c r="P99" i="7"/>
  <c r="R99" i="7"/>
  <c r="S99" i="7"/>
  <c r="K100" i="7"/>
  <c r="K101" i="7"/>
  <c r="C105" i="7"/>
  <c r="D105" i="7"/>
  <c r="E105" i="7"/>
  <c r="F105" i="7"/>
  <c r="G105" i="7"/>
  <c r="H105" i="7"/>
  <c r="I105" i="7"/>
  <c r="J105" i="7"/>
  <c r="K105" i="7"/>
  <c r="O105" i="7"/>
  <c r="P105" i="7"/>
  <c r="R105" i="7"/>
  <c r="S105" i="7"/>
  <c r="C106" i="7"/>
  <c r="D106" i="7"/>
  <c r="E106" i="7"/>
  <c r="F106" i="7"/>
  <c r="G106" i="7"/>
  <c r="H106" i="7"/>
  <c r="I106" i="7"/>
  <c r="J106" i="7"/>
  <c r="K106" i="7"/>
  <c r="K115" i="7" s="1"/>
  <c r="E104" i="7" s="1"/>
  <c r="F104" i="7" s="1"/>
  <c r="O106" i="7"/>
  <c r="P106" i="7"/>
  <c r="R106" i="7"/>
  <c r="S106" i="7"/>
  <c r="C107" i="7"/>
  <c r="D107" i="7"/>
  <c r="E107" i="7"/>
  <c r="F107" i="7"/>
  <c r="G107" i="7"/>
  <c r="H107" i="7"/>
  <c r="I107" i="7"/>
  <c r="J107" i="7"/>
  <c r="O107" i="7"/>
  <c r="P107" i="7"/>
  <c r="R107" i="7"/>
  <c r="S107" i="7"/>
  <c r="C108" i="7"/>
  <c r="D108" i="7"/>
  <c r="E108" i="7"/>
  <c r="F108" i="7"/>
  <c r="G108" i="7"/>
  <c r="H108" i="7"/>
  <c r="I108" i="7"/>
  <c r="J108" i="7"/>
  <c r="K108" i="7"/>
  <c r="O108" i="7"/>
  <c r="P108" i="7"/>
  <c r="R108" i="7"/>
  <c r="S108" i="7"/>
  <c r="C109" i="7"/>
  <c r="D109" i="7"/>
  <c r="E109" i="7"/>
  <c r="F109" i="7"/>
  <c r="G109" i="7"/>
  <c r="H109" i="7"/>
  <c r="I109" i="7"/>
  <c r="J109" i="7"/>
  <c r="K109" i="7"/>
  <c r="O109" i="7"/>
  <c r="P109" i="7"/>
  <c r="R109" i="7"/>
  <c r="S109" i="7"/>
  <c r="C110" i="7"/>
  <c r="D110" i="7"/>
  <c r="E110" i="7"/>
  <c r="F110" i="7"/>
  <c r="G110" i="7"/>
  <c r="H110" i="7"/>
  <c r="I110" i="7"/>
  <c r="J110" i="7"/>
  <c r="K110" i="7"/>
  <c r="O110" i="7"/>
  <c r="P110" i="7"/>
  <c r="R110" i="7"/>
  <c r="S110" i="7"/>
  <c r="C111" i="7"/>
  <c r="D111" i="7"/>
  <c r="E111" i="7"/>
  <c r="F111" i="7"/>
  <c r="G111" i="7"/>
  <c r="H111" i="7"/>
  <c r="I111" i="7"/>
  <c r="J111" i="7"/>
  <c r="K111" i="7"/>
  <c r="O111" i="7"/>
  <c r="P111" i="7"/>
  <c r="R111" i="7"/>
  <c r="S111" i="7"/>
  <c r="C112" i="7"/>
  <c r="D112" i="7"/>
  <c r="E112" i="7"/>
  <c r="F112" i="7"/>
  <c r="G112" i="7"/>
  <c r="H112" i="7"/>
  <c r="I112" i="7"/>
  <c r="J112" i="7"/>
  <c r="K112" i="7"/>
  <c r="O112" i="7"/>
  <c r="P112" i="7"/>
  <c r="R112" i="7"/>
  <c r="S112" i="7"/>
  <c r="K113" i="7"/>
  <c r="K114" i="7"/>
  <c r="C118" i="7"/>
  <c r="D118" i="7"/>
  <c r="E118" i="7"/>
  <c r="F118" i="7"/>
  <c r="G118" i="7"/>
  <c r="H118" i="7"/>
  <c r="I118" i="7"/>
  <c r="J118" i="7"/>
  <c r="K118" i="7"/>
  <c r="K127" i="7" s="1"/>
  <c r="E117" i="7" s="1"/>
  <c r="F117" i="7" s="1"/>
  <c r="O118" i="7"/>
  <c r="P118" i="7"/>
  <c r="R118" i="7"/>
  <c r="S118" i="7"/>
  <c r="C119" i="7"/>
  <c r="D119" i="7"/>
  <c r="E119" i="7"/>
  <c r="F119" i="7"/>
  <c r="G119" i="7"/>
  <c r="H119" i="7"/>
  <c r="I119" i="7"/>
  <c r="J119" i="7"/>
  <c r="K119" i="7"/>
  <c r="O119" i="7"/>
  <c r="P119" i="7"/>
  <c r="R119" i="7"/>
  <c r="S119" i="7"/>
  <c r="C120" i="7"/>
  <c r="D120" i="7"/>
  <c r="E120" i="7"/>
  <c r="F120" i="7"/>
  <c r="G120" i="7"/>
  <c r="H120" i="7"/>
  <c r="I120" i="7"/>
  <c r="J120" i="7"/>
  <c r="K120" i="7"/>
  <c r="O120" i="7"/>
  <c r="P120" i="7"/>
  <c r="R120" i="7"/>
  <c r="S120" i="7"/>
  <c r="K121" i="7"/>
  <c r="K122" i="7"/>
  <c r="K123" i="7"/>
  <c r="K124" i="7"/>
  <c r="K125" i="7"/>
  <c r="K126" i="7"/>
  <c r="C130" i="7"/>
  <c r="D130" i="7"/>
  <c r="E130" i="7"/>
  <c r="F130" i="7"/>
  <c r="G130" i="7"/>
  <c r="H130" i="7"/>
  <c r="I130" i="7"/>
  <c r="J130" i="7"/>
  <c r="K130" i="7"/>
  <c r="K136" i="7" s="1"/>
  <c r="E129" i="7" s="1"/>
  <c r="F129" i="7" s="1"/>
  <c r="O130" i="7"/>
  <c r="P130" i="7"/>
  <c r="R130" i="7"/>
  <c r="S130" i="7"/>
  <c r="C131" i="7"/>
  <c r="D131" i="7"/>
  <c r="E131" i="7"/>
  <c r="F131" i="7"/>
  <c r="G131" i="7"/>
  <c r="H131" i="7"/>
  <c r="I131" i="7"/>
  <c r="J131" i="7"/>
  <c r="K131" i="7"/>
  <c r="O131" i="7"/>
  <c r="P131" i="7"/>
  <c r="R131" i="7"/>
  <c r="S131" i="7"/>
  <c r="C132" i="7"/>
  <c r="D132" i="7"/>
  <c r="E132" i="7"/>
  <c r="F132" i="7"/>
  <c r="G132" i="7"/>
  <c r="H132" i="7"/>
  <c r="I132" i="7"/>
  <c r="J132" i="7"/>
  <c r="K132" i="7"/>
  <c r="O132" i="7"/>
  <c r="P132" i="7"/>
  <c r="R132" i="7"/>
  <c r="S132" i="7"/>
  <c r="K133" i="7"/>
  <c r="K134" i="7"/>
  <c r="K135" i="7"/>
  <c r="C139" i="7"/>
  <c r="D139" i="7"/>
  <c r="E139" i="7"/>
  <c r="F139" i="7"/>
  <c r="G139" i="7"/>
  <c r="H139" i="7"/>
  <c r="I139" i="7"/>
  <c r="J139" i="7"/>
  <c r="K139" i="7"/>
  <c r="K144" i="7" s="1"/>
  <c r="E138" i="7" s="1"/>
  <c r="F138" i="7" s="1"/>
  <c r="O139" i="7"/>
  <c r="P139" i="7"/>
  <c r="R139" i="7"/>
  <c r="S139" i="7"/>
  <c r="K140" i="7"/>
  <c r="K141" i="7"/>
  <c r="K142" i="7"/>
  <c r="K143" i="7"/>
  <c r="B148" i="7"/>
  <c r="D148" i="7"/>
  <c r="L148" i="7"/>
  <c r="M148" i="7"/>
  <c r="C152" i="7"/>
  <c r="D152" i="7"/>
  <c r="E152" i="7"/>
  <c r="C153" i="7"/>
  <c r="D153" i="7"/>
  <c r="E153" i="7"/>
  <c r="C154" i="7"/>
  <c r="D154" i="7"/>
  <c r="E154" i="7"/>
  <c r="L154" i="7"/>
  <c r="C155" i="7"/>
  <c r="D155" i="7"/>
  <c r="E155" i="7"/>
  <c r="L155" i="7"/>
  <c r="L156" i="7"/>
  <c r="Q87" i="7"/>
  <c r="Q86" i="7"/>
  <c r="Q29" i="7"/>
  <c r="Q139" i="7"/>
  <c r="Q131" i="7"/>
  <c r="Q58" i="7"/>
  <c r="Q7" i="7"/>
  <c r="Q97" i="7"/>
  <c r="Q16" i="7"/>
  <c r="Q112" i="7"/>
  <c r="Q99" i="7"/>
  <c r="Q88" i="7"/>
  <c r="Q65" i="7"/>
  <c r="Q13" i="7"/>
  <c r="Q80" i="7"/>
  <c r="Q45" i="7"/>
  <c r="Q79" i="7"/>
  <c r="Q75" i="7"/>
  <c r="Q72" i="7"/>
  <c r="Q67" i="7"/>
  <c r="Q120" i="7"/>
  <c r="Q98" i="7"/>
  <c r="Q73" i="7"/>
  <c r="Q76" i="7"/>
  <c r="Q62" i="7"/>
  <c r="Q74" i="7"/>
  <c r="Q17" i="7"/>
  <c r="Q77" i="7"/>
  <c r="Q14" i="7"/>
  <c r="Q130" i="7"/>
  <c r="Q71" i="7"/>
  <c r="Q15" i="7"/>
  <c r="Q110" i="7"/>
  <c r="Q105" i="7"/>
  <c r="Q109" i="7"/>
  <c r="Q132" i="7"/>
  <c r="Q56" i="7"/>
  <c r="Q111" i="7"/>
  <c r="Q66" i="7"/>
  <c r="Q78" i="7"/>
  <c r="Q55" i="7"/>
  <c r="Q31" i="7"/>
  <c r="Q107" i="7"/>
  <c r="Q119" i="7"/>
  <c r="Q47" i="7"/>
  <c r="Q18" i="7"/>
  <c r="Q43" i="7"/>
  <c r="Q50" i="7"/>
  <c r="Q48" i="7"/>
  <c r="Q108" i="7"/>
  <c r="Q59" i="7"/>
  <c r="Q60" i="7"/>
  <c r="Q106" i="7"/>
  <c r="Q118" i="7"/>
  <c r="Q24" i="7"/>
  <c r="Q61" i="7"/>
  <c r="Q44" i="7"/>
  <c r="Q5" i="7"/>
  <c r="Q6" i="7"/>
  <c r="Q57" i="7"/>
  <c r="Q64" i="7"/>
  <c r="Q63" i="7"/>
  <c r="Q30" i="7"/>
  <c r="Q49" i="7"/>
  <c r="Q42" i="7"/>
  <c r="Q46" i="7"/>
  <c r="K26" i="7" l="1"/>
  <c r="E22" i="7" s="1"/>
  <c r="F22" i="7" s="1"/>
  <c r="N14" i="7"/>
  <c r="N20" i="7" s="1"/>
  <c r="N7" i="7"/>
  <c r="N9" i="7" s="1"/>
  <c r="D145" i="194"/>
  <c r="D144" i="194" s="1"/>
  <c r="L125" i="194"/>
  <c r="F119" i="194" s="1"/>
  <c r="L18" i="194"/>
  <c r="F11" i="194" s="1"/>
  <c r="L25" i="194"/>
  <c r="F21" i="194" s="1"/>
  <c r="L8" i="194"/>
  <c r="F4" i="194" s="1"/>
  <c r="L94" i="194"/>
  <c r="F87" i="194" s="1"/>
  <c r="L73" i="194"/>
  <c r="F68" i="194" s="1"/>
  <c r="L135" i="194"/>
  <c r="O135" i="194" s="1"/>
  <c r="L104" i="194"/>
  <c r="F97" i="194" s="1"/>
  <c r="O49" i="194"/>
  <c r="L49" i="194"/>
  <c r="F37" i="194" s="1"/>
  <c r="L64" i="194"/>
  <c r="F52" i="194" s="1"/>
  <c r="O93" i="194"/>
  <c r="O64" i="194"/>
  <c r="O130" i="194"/>
  <c r="K1" i="194"/>
  <c r="M1" i="194" s="1"/>
  <c r="L33" i="194"/>
  <c r="F28" i="194" s="1"/>
  <c r="L116" i="194"/>
  <c r="L84" i="194"/>
  <c r="F76" i="194" s="1"/>
  <c r="K148" i="7" l="1"/>
  <c r="N148" i="7"/>
  <c r="D139" i="194"/>
  <c r="F107" i="194"/>
  <c r="E128" i="194" s="1"/>
  <c r="F128" i="194" s="1"/>
  <c r="D142" i="19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Vue, Christina</author>
    <author>Burgos, Emily</author>
  </authors>
  <commentList>
    <comment ref="D14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Vue, Christina:</t>
        </r>
        <r>
          <rPr>
            <sz val="9"/>
            <color indexed="81"/>
            <rFont val="Tahoma"/>
            <family val="2"/>
          </rPr>
          <t xml:space="preserve">
2021 Lump Sum &amp; 21-580 Crest on Imperial &amp; 21-717 Sendero</t>
        </r>
      </text>
    </comment>
    <comment ref="D14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Vue, Christina:</t>
        </r>
        <r>
          <rPr>
            <sz val="9"/>
            <color indexed="81"/>
            <rFont val="Tahoma"/>
            <family val="2"/>
          </rPr>
          <t xml:space="preserve">
2021 Lump Sum,  21-673 Monamos Terrace, 21-713 Redwood Glen Apartments</t>
        </r>
      </text>
    </comment>
    <comment ref="D150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Burgos, Emily:</t>
        </r>
        <r>
          <rPr>
            <sz val="9"/>
            <color indexed="81"/>
            <rFont val="Tahoma"/>
            <family val="2"/>
          </rPr>
          <t xml:space="preserve">
2021 Lump Sum</t>
        </r>
      </text>
    </comment>
    <comment ref="D15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Vue, Christina:</t>
        </r>
        <r>
          <rPr>
            <sz val="9"/>
            <color indexed="81"/>
            <rFont val="Tahoma"/>
            <family val="2"/>
          </rPr>
          <t xml:space="preserve">
21-753 Hayden Parkway Apartments, unused allocation from 20-669 Steinbeck Commons, &amp; unused allocation 21-603 Vista de la Sierra Apartments</t>
        </r>
      </text>
    </comment>
    <comment ref="D152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Burgos, Emily:</t>
        </r>
        <r>
          <rPr>
            <sz val="9"/>
            <color indexed="81"/>
            <rFont val="Tahoma"/>
            <family val="2"/>
          </rPr>
          <t xml:space="preserve">
21-746 McAvoy Apts</t>
        </r>
      </text>
    </comment>
    <comment ref="D15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Vue, Christina:</t>
        </r>
        <r>
          <rPr>
            <sz val="9"/>
            <color indexed="81"/>
            <rFont val="Tahoma"/>
            <family val="2"/>
          </rPr>
          <t xml:space="preserve">
Unused allocation from 21-639 Long Beach Senior</t>
        </r>
      </text>
    </comment>
  </commentList>
</comments>
</file>

<file path=xl/sharedStrings.xml><?xml version="1.0" encoding="utf-8"?>
<sst xmlns="http://schemas.openxmlformats.org/spreadsheetml/2006/main" count="2002" uniqueCount="724">
  <si>
    <t>HOUSING TYPE</t>
  </si>
  <si>
    <t>REGION</t>
  </si>
  <si>
    <t>Start</t>
  </si>
  <si>
    <t>Remain</t>
  </si>
  <si>
    <t>TOTAL UNITS</t>
  </si>
  <si>
    <t>COUNTY</t>
  </si>
  <si>
    <t>CITY OF LOS ANGELES</t>
  </si>
  <si>
    <t>BALANCE OF LA COUNTY</t>
  </si>
  <si>
    <t>GP 1 COMPANY NAME</t>
  </si>
  <si>
    <t>GP 1 CONTACT NAME</t>
  </si>
  <si>
    <t>NORTHERN REGION</t>
  </si>
  <si>
    <t>PRESERVATION</t>
  </si>
  <si>
    <t>BIPOC</t>
  </si>
  <si>
    <t>NC HOMELESS</t>
  </si>
  <si>
    <t>NC ELI/VLI</t>
  </si>
  <si>
    <t>NC MIXED INCOME</t>
  </si>
  <si>
    <t>COASTAL REGION</t>
  </si>
  <si>
    <t>BAY AREA REGION</t>
  </si>
  <si>
    <t>INLAND REGION</t>
  </si>
  <si>
    <t>POOLS</t>
  </si>
  <si>
    <t>NC SET ASIDES</t>
  </si>
  <si>
    <t>NC GEOGRAPHIC REGIONS</t>
  </si>
  <si>
    <t>APPLICATION NUMBER</t>
  </si>
  <si>
    <t>PROJECT NAME</t>
  </si>
  <si>
    <t>CITY</t>
  </si>
  <si>
    <t>MARKET RATE UNITS</t>
  </si>
  <si>
    <t>TOTAL PROJECT COST</t>
  </si>
  <si>
    <t>CONSTRUCTION BOND TAX-EXEMPT FINANCING AMOUNT</t>
  </si>
  <si>
    <t>ANNUAL FEDERAL CREDIT REQUESTED</t>
  </si>
  <si>
    <t>TOTAL STATE CREDIT REQUESTED</t>
  </si>
  <si>
    <t>CDLAC TOTAL POINTS SCORE</t>
  </si>
  <si>
    <t>CDLAC TIE-BREAKER SELF SCORE</t>
  </si>
  <si>
    <t>OTHER REHABILITATION</t>
  </si>
  <si>
    <t>RURAL NEW CONSTRUCTION</t>
  </si>
  <si>
    <t>`</t>
  </si>
  <si>
    <t>APP NUM</t>
  </si>
  <si>
    <t>CDLAC POINTS</t>
  </si>
  <si>
    <t>CDLAC TB</t>
  </si>
  <si>
    <t>% HMLS</t>
  </si>
  <si>
    <t>TOTAL REQUEST</t>
  </si>
  <si>
    <t>TAX CREDIT UNITS</t>
  </si>
  <si>
    <t>GP 2 COMPANY NAME (IF APPLICABLE)</t>
  </si>
  <si>
    <t>GP 2 CONTACT NAME (IF APPLICABLE)</t>
  </si>
  <si>
    <t>GP 3 COMPANY NAME (IF APPLICABLE)</t>
  </si>
  <si>
    <t>GP 3 CONTACT NAME (IF APPLICABLE)</t>
  </si>
  <si>
    <t>CDLAC GEOGRAPHIC REGION</t>
  </si>
  <si>
    <t>PRESERVATION AND OTHER REHAB. PROJECT PRIORITIES (20 PTS)</t>
  </si>
  <si>
    <t>NEW CONSTRUCTION DENSITY &amp; LOCAL INCENTIVES (10 PTS)</t>
  </si>
  <si>
    <t>EXCEEDING MINIMUM INCOME RESTRICTIONS (20 PTS)</t>
  </si>
  <si>
    <t>EXCEEDING MINIMUM RENT RESTRICTIONS (10 PTS)</t>
  </si>
  <si>
    <t>GP &amp; MGMT. CO. EXPERIENCE (10 PTS)</t>
  </si>
  <si>
    <t>HOUSING NEEDS (10 PTS)</t>
  </si>
  <si>
    <t>LEVERAGED SOFT RESOURCES (8 PTS)</t>
  </si>
  <si>
    <t>READINESS TO PROCEED (10 PTS)</t>
  </si>
  <si>
    <t>COST CONTAINMENT (12 PTS)</t>
  </si>
  <si>
    <t>ELI/VLI</t>
  </si>
  <si>
    <t>CA-22-425</t>
  </si>
  <si>
    <t>City of San Jose</t>
  </si>
  <si>
    <t>CA-22-426</t>
  </si>
  <si>
    <t>CA-22-427</t>
  </si>
  <si>
    <t>CA-22-428</t>
  </si>
  <si>
    <t>CA-22-431</t>
  </si>
  <si>
    <t>CA-22-433</t>
  </si>
  <si>
    <t>CA-22-438</t>
  </si>
  <si>
    <t>CA-22-439</t>
  </si>
  <si>
    <t>CA-22-442</t>
  </si>
  <si>
    <t>CA-22-444</t>
  </si>
  <si>
    <t>CA-22-445</t>
  </si>
  <si>
    <t>CA-22-447</t>
  </si>
  <si>
    <t>CA-22-449</t>
  </si>
  <si>
    <t>CA-22-451</t>
  </si>
  <si>
    <t>CA-22-453</t>
  </si>
  <si>
    <t>CA-22-456</t>
  </si>
  <si>
    <t>CA-22-457</t>
  </si>
  <si>
    <t>CA-22-458</t>
  </si>
  <si>
    <t>CA-22-460</t>
  </si>
  <si>
    <t>CA-22-461</t>
  </si>
  <si>
    <t>CA-22-462</t>
  </si>
  <si>
    <t>CA-22-463</t>
  </si>
  <si>
    <t>CA-22-464</t>
  </si>
  <si>
    <t>CA-22-465</t>
  </si>
  <si>
    <t>CA-22-466</t>
  </si>
  <si>
    <t>CA-22-467</t>
  </si>
  <si>
    <t>CA-22-470</t>
  </si>
  <si>
    <t>CA-22-472</t>
  </si>
  <si>
    <t>CA-22-475</t>
  </si>
  <si>
    <t>CA-22-477</t>
  </si>
  <si>
    <t>CA-22-479</t>
  </si>
  <si>
    <t>CA-22-480</t>
  </si>
  <si>
    <t>CA-22-481</t>
  </si>
  <si>
    <t>CA-22-482</t>
  </si>
  <si>
    <t>CA-22-484</t>
  </si>
  <si>
    <t>CA-22-485</t>
  </si>
  <si>
    <t>CA-22-489</t>
  </si>
  <si>
    <t>CA-22-490</t>
  </si>
  <si>
    <t>CA-22-491</t>
  </si>
  <si>
    <t>CA-22-493</t>
  </si>
  <si>
    <t>CA-22-494</t>
  </si>
  <si>
    <t>CA-22-495</t>
  </si>
  <si>
    <t>CA-22-496</t>
  </si>
  <si>
    <t>CA-22-498</t>
  </si>
  <si>
    <t>CA-22-504</t>
  </si>
  <si>
    <t>CA-22-505</t>
  </si>
  <si>
    <t>CA-22-507</t>
  </si>
  <si>
    <t>CA-22-508</t>
  </si>
  <si>
    <t>CA-22-509</t>
  </si>
  <si>
    <t>CA-22-510</t>
  </si>
  <si>
    <t>CA-22-512</t>
  </si>
  <si>
    <t>CA-22-513</t>
  </si>
  <si>
    <t>CA-22-514</t>
  </si>
  <si>
    <t>CA-22-516</t>
  </si>
  <si>
    <t>CA-22-517</t>
  </si>
  <si>
    <t>CA-22-518</t>
  </si>
  <si>
    <t>CA-22-521</t>
  </si>
  <si>
    <t>CA-22-522</t>
  </si>
  <si>
    <t>CA-22-523</t>
  </si>
  <si>
    <t>CA-22-524</t>
  </si>
  <si>
    <t>CA-22-526</t>
  </si>
  <si>
    <t>CA-22-528</t>
  </si>
  <si>
    <t>CA-22-529</t>
  </si>
  <si>
    <t>CA-22-530</t>
  </si>
  <si>
    <t>CA-22-531</t>
  </si>
  <si>
    <t>CA-22-532</t>
  </si>
  <si>
    <t>80% Test</t>
  </si>
  <si>
    <t>carryforward</t>
  </si>
  <si>
    <t xml:space="preserve">CalHFA </t>
  </si>
  <si>
    <t>CMFA</t>
  </si>
  <si>
    <t>City of LA</t>
  </si>
  <si>
    <t>CSCDA</t>
  </si>
  <si>
    <t>LACDA</t>
  </si>
  <si>
    <t>HOMELESS %</t>
  </si>
  <si>
    <t>removed 22-422 from ELI/VLI due to negative points</t>
  </si>
  <si>
    <t>added 22-460 (orginally awarded in ELI/VLI) to homesless - is eligible but wasn’t selected on app - 22 -438 (now in ELI/VLI) and 22-509 (now in geo) were bumped from homeless. As a result, 22-468 is now awarded in ELI/VLI and 22-448 and 22-436 are bumped off the list.</t>
  </si>
  <si>
    <t>corrected typo in Coastal. 22-471 was listed twice. Added in 22-470 to Coastal. 22-471 and 22-525 bumped from Coastal.</t>
  </si>
  <si>
    <t>22-487 withdrew and removed from MIP - no projects added to MIP as all have been awarded.</t>
  </si>
  <si>
    <t>corrected formula in allocation amount for 22-496 and 22-438 in ELI/VLI - the change increased bond request in pool and bummped 22-468 out.</t>
  </si>
  <si>
    <t>corrected CMFA carryforward - 22-528 and 22-529 needed carryforward applied as CMFA's highest ranked projects</t>
  </si>
  <si>
    <t>CDLAC APPLICANT</t>
  </si>
  <si>
    <t>2022 BOND REQUEST</t>
  </si>
  <si>
    <t>2021 CARRYFORWARD</t>
  </si>
  <si>
    <t>2020 CARRYFORWARD</t>
  </si>
  <si>
    <t>STATE CREDIT</t>
  </si>
  <si>
    <t>FEDERAL CREDIT</t>
  </si>
  <si>
    <t>reviewed sort for accuracy - caught error due to the addition of CF in Inland Region - 22-494 added in and 22-432 fell out</t>
  </si>
  <si>
    <t>NON-GEOGRAPHIC POOLS</t>
  </si>
  <si>
    <t>Remaining</t>
  </si>
  <si>
    <t>CDLAC TIE BREAKER</t>
  </si>
  <si>
    <t>NEW CONSTRUCTION SET ASIDES</t>
  </si>
  <si>
    <t>HOMELESS</t>
  </si>
  <si>
    <t>Beginning Balance</t>
  </si>
  <si>
    <t>2022 Allocation</t>
  </si>
  <si>
    <t>2021 Carryforward</t>
  </si>
  <si>
    <t>2020 Carryforward</t>
  </si>
  <si>
    <t>Total Allocation</t>
  </si>
  <si>
    <t>CARRYFORWARD</t>
  </si>
  <si>
    <t>BEGINNING</t>
  </si>
  <si>
    <t>ALLOCATED</t>
  </si>
  <si>
    <t>DIFFERENCE</t>
  </si>
  <si>
    <t>UPDATE HISTORY</t>
  </si>
  <si>
    <t>MIP State Credit</t>
  </si>
  <si>
    <t>SUMMARY</t>
  </si>
  <si>
    <t>Total Awards</t>
  </si>
  <si>
    <t>Total State Credit</t>
  </si>
  <si>
    <t>NEW CONSTRUCTION GEOGRAPHIC REGIONS</t>
  </si>
  <si>
    <t>Non-MIP State Credits</t>
  </si>
  <si>
    <t>22-536</t>
  </si>
  <si>
    <t>22-537</t>
  </si>
  <si>
    <t>22-538</t>
  </si>
  <si>
    <t>22-539</t>
  </si>
  <si>
    <t>22-540</t>
  </si>
  <si>
    <t>22-541</t>
  </si>
  <si>
    <t>22-546</t>
  </si>
  <si>
    <t>22-547</t>
  </si>
  <si>
    <t>22-548</t>
  </si>
  <si>
    <t>22-549</t>
  </si>
  <si>
    <t>22-550</t>
  </si>
  <si>
    <t>22-552</t>
  </si>
  <si>
    <t>22-553</t>
  </si>
  <si>
    <t>22-556</t>
  </si>
  <si>
    <t>22-557</t>
  </si>
  <si>
    <t>22-558</t>
  </si>
  <si>
    <t>22-559</t>
  </si>
  <si>
    <t>22-560</t>
  </si>
  <si>
    <t>22-561</t>
  </si>
  <si>
    <t>22-563</t>
  </si>
  <si>
    <t>22-564</t>
  </si>
  <si>
    <t>22-565</t>
  </si>
  <si>
    <t>22-566</t>
  </si>
  <si>
    <t>22-567</t>
  </si>
  <si>
    <t>22-568</t>
  </si>
  <si>
    <t>22-569</t>
  </si>
  <si>
    <t>22-570</t>
  </si>
  <si>
    <t>22-571</t>
  </si>
  <si>
    <t>22-573</t>
  </si>
  <si>
    <t>22-574</t>
  </si>
  <si>
    <t>22-575</t>
  </si>
  <si>
    <t>22-576</t>
  </si>
  <si>
    <t>22-577</t>
  </si>
  <si>
    <t>22-578</t>
  </si>
  <si>
    <t>22-584</t>
  </si>
  <si>
    <t>22-586</t>
  </si>
  <si>
    <t>22-587</t>
  </si>
  <si>
    <t>22-588</t>
  </si>
  <si>
    <t>22-589</t>
  </si>
  <si>
    <t>22-590</t>
  </si>
  <si>
    <t>22-591</t>
  </si>
  <si>
    <t>22-592</t>
  </si>
  <si>
    <t>22-593</t>
  </si>
  <si>
    <t>22-594</t>
  </si>
  <si>
    <t>22-595</t>
  </si>
  <si>
    <t>22-597</t>
  </si>
  <si>
    <t>22-598</t>
  </si>
  <si>
    <t>22-600</t>
  </si>
  <si>
    <t>22-601</t>
  </si>
  <si>
    <t>22-603</t>
  </si>
  <si>
    <t>22-604</t>
  </si>
  <si>
    <t>22-606</t>
  </si>
  <si>
    <t>22-607</t>
  </si>
  <si>
    <t>22-608</t>
  </si>
  <si>
    <t>22-610</t>
  </si>
  <si>
    <t>22-614</t>
  </si>
  <si>
    <t>22-615</t>
  </si>
  <si>
    <t>22-616</t>
  </si>
  <si>
    <t>22-617</t>
  </si>
  <si>
    <t>22-618</t>
  </si>
  <si>
    <t>22-620</t>
  </si>
  <si>
    <t>22-623</t>
  </si>
  <si>
    <t>22-624</t>
  </si>
  <si>
    <t>22-625</t>
  </si>
  <si>
    <t>22-626</t>
  </si>
  <si>
    <t>22-627</t>
  </si>
  <si>
    <t>22-628</t>
  </si>
  <si>
    <t>22-629</t>
  </si>
  <si>
    <t>22-630</t>
  </si>
  <si>
    <t>22-631</t>
  </si>
  <si>
    <t>22-633</t>
  </si>
  <si>
    <t>22-635</t>
  </si>
  <si>
    <t>22-636</t>
  </si>
  <si>
    <t>22-637</t>
  </si>
  <si>
    <t>City of Los Angeles</t>
  </si>
  <si>
    <t>AFFIRMATIVELY FURTHERING FAIR HOUSING (10 PTS)</t>
  </si>
  <si>
    <t>State Credits</t>
  </si>
  <si>
    <t>Used</t>
  </si>
  <si>
    <t>SURPLUS</t>
  </si>
  <si>
    <t>NEW CONSTRUCTION</t>
  </si>
  <si>
    <t>SITE AMENITIES (10 PTS)</t>
  </si>
  <si>
    <t>LOW INCOME UNITS</t>
  </si>
  <si>
    <t>GP 1 PARENT COMPANY</t>
  </si>
  <si>
    <t>GP 2 PARENT COMPANY</t>
  </si>
  <si>
    <t>GP 3 PARENT COMPANY</t>
  </si>
  <si>
    <t>SERVICE AMENITIES (10 PTS)</t>
  </si>
  <si>
    <t>California Municipal Finance Authority</t>
  </si>
  <si>
    <t>California Housing Finance Agency</t>
  </si>
  <si>
    <t>City and County of San Francisco</t>
  </si>
  <si>
    <t>New Construction</t>
  </si>
  <si>
    <t>Homeless</t>
  </si>
  <si>
    <t>N/A</t>
  </si>
  <si>
    <t>Inland</t>
  </si>
  <si>
    <t>Yes</t>
  </si>
  <si>
    <t>Large Family</t>
  </si>
  <si>
    <t>San Diego</t>
  </si>
  <si>
    <t>Bay Area</t>
  </si>
  <si>
    <t>San Jose</t>
  </si>
  <si>
    <t>Santa Clara</t>
  </si>
  <si>
    <t>Central Valley Coalition for Affordable Housing</t>
  </si>
  <si>
    <t>Christina Alley</t>
  </si>
  <si>
    <t>TPC Holdings IX, LLC</t>
  </si>
  <si>
    <t>Caleb Roope</t>
  </si>
  <si>
    <t>The Pacific Companies</t>
  </si>
  <si>
    <t>Central Valley Coalition for Affordable Housing, a California Nonprofit Public Benefit Corp.</t>
  </si>
  <si>
    <t>Other Rehabilitation</t>
  </si>
  <si>
    <t>Balance of Los Angeles County</t>
  </si>
  <si>
    <t>Acquisition &amp; Rehabilitation</t>
  </si>
  <si>
    <t>Non-Targeted</t>
  </si>
  <si>
    <t>Los Angeles</t>
  </si>
  <si>
    <t>Coastal</t>
  </si>
  <si>
    <t>Maracor Development, Inc.</t>
  </si>
  <si>
    <t>Northern</t>
  </si>
  <si>
    <t>Placer</t>
  </si>
  <si>
    <t>Riverside Charitable Corporation</t>
  </si>
  <si>
    <t>Recinda Shafer</t>
  </si>
  <si>
    <t>Preservation</t>
  </si>
  <si>
    <t>Roseville</t>
  </si>
  <si>
    <t>Not Applicable</t>
  </si>
  <si>
    <t>Oakland</t>
  </si>
  <si>
    <t>Alameda</t>
  </si>
  <si>
    <t>East Bay Asian Local Development Corporation</t>
  </si>
  <si>
    <t>Orange</t>
  </si>
  <si>
    <t>Robert Laing</t>
  </si>
  <si>
    <t>Special Needs</t>
  </si>
  <si>
    <t>ALA Santa Fe, LLC</t>
  </si>
  <si>
    <t>Affordable Living for the Aging, Inc.</t>
  </si>
  <si>
    <t>Dalila Sotelo</t>
  </si>
  <si>
    <t>Primestor Development, LLC</t>
  </si>
  <si>
    <t>Adaptive Reuse</t>
  </si>
  <si>
    <t>William Leach</t>
  </si>
  <si>
    <t>Kingdom Development, Inc.</t>
  </si>
  <si>
    <t>At-Risk</t>
  </si>
  <si>
    <t>Seniors</t>
  </si>
  <si>
    <t>Andrea Osgood</t>
  </si>
  <si>
    <t>Eden Housing, Inc.</t>
  </si>
  <si>
    <t>Mark Wiese</t>
  </si>
  <si>
    <t>Pacific Housing, Inc.</t>
  </si>
  <si>
    <t>Santa Barbara</t>
  </si>
  <si>
    <t>Hearthstone Housing Foundation</t>
  </si>
  <si>
    <t>Wakeland Housing and Development Corporation</t>
  </si>
  <si>
    <t>Long Beach</t>
  </si>
  <si>
    <t>San Francisco</t>
  </si>
  <si>
    <t>CONSTRUCTION TYPE</t>
  </si>
  <si>
    <t>CDLAC POOL</t>
  </si>
  <si>
    <t>NC POOL SELECTION: HOMELESS, ELI/VLI, MIP</t>
  </si>
  <si>
    <t>AWARD</t>
  </si>
  <si>
    <t>PARTNERSHIP NAME</t>
  </si>
  <si>
    <t>CA-23-593</t>
  </si>
  <si>
    <t>Monterey Park Senior Village</t>
  </si>
  <si>
    <t>Monterey Park</t>
  </si>
  <si>
    <t>CA-23-594</t>
  </si>
  <si>
    <t>Vigil Light Senior Apartments</t>
  </si>
  <si>
    <t>Santa Rosa</t>
  </si>
  <si>
    <t>Sonoma</t>
  </si>
  <si>
    <t>CA-23-595</t>
  </si>
  <si>
    <t>Gibson Drive Apartments Phase I</t>
  </si>
  <si>
    <t>CA-23-596</t>
  </si>
  <si>
    <t>Gibson Drive Apartments Phase II</t>
  </si>
  <si>
    <t>CA-23-597</t>
  </si>
  <si>
    <t>Cerro Pueblo Apartments</t>
  </si>
  <si>
    <t>CA-23-599</t>
  </si>
  <si>
    <t xml:space="preserve">Santa Fe Springs Transit Square </t>
  </si>
  <si>
    <t>Santa Fe Springs</t>
  </si>
  <si>
    <t>CA-23-600</t>
  </si>
  <si>
    <t>US Vets - West LA VA Building 210</t>
  </si>
  <si>
    <t>CA-23-601</t>
  </si>
  <si>
    <t>Del Nido Apartments</t>
  </si>
  <si>
    <t>CA-23-602</t>
  </si>
  <si>
    <t>Alexander Valley Apartments</t>
  </si>
  <si>
    <t>Cloverdale</t>
  </si>
  <si>
    <t>CA-23-603</t>
  </si>
  <si>
    <t>Mayfair Affordable</t>
  </si>
  <si>
    <t>El Cerrito</t>
  </si>
  <si>
    <t>Contra Costa</t>
  </si>
  <si>
    <t>CA-23-605</t>
  </si>
  <si>
    <t>The Sawyer</t>
  </si>
  <si>
    <t>Mammoth Lakes</t>
  </si>
  <si>
    <t>Mono</t>
  </si>
  <si>
    <t>CA-23-606</t>
  </si>
  <si>
    <t>The Parcel Phase 2.2</t>
  </si>
  <si>
    <t>CA-23-607</t>
  </si>
  <si>
    <t>Rio Urbana</t>
  </si>
  <si>
    <t>Oxnard</t>
  </si>
  <si>
    <t>Ventura</t>
  </si>
  <si>
    <t>CA-23-608</t>
  </si>
  <si>
    <t>Martha Gardens Apartments</t>
  </si>
  <si>
    <t>CA-23-609</t>
  </si>
  <si>
    <t>Monterey Road Apartments</t>
  </si>
  <si>
    <t>CA-23-610</t>
  </si>
  <si>
    <t>2880 Alum Rock Avenue Apartments</t>
  </si>
  <si>
    <t>CA-23-611</t>
  </si>
  <si>
    <t>Villa Del Sol</t>
  </si>
  <si>
    <t>CA-23-612</t>
  </si>
  <si>
    <t>West Harbor Park Affordable Apartments</t>
  </si>
  <si>
    <t>Vallejo</t>
  </si>
  <si>
    <t>Solano</t>
  </si>
  <si>
    <t>CA-23-613</t>
  </si>
  <si>
    <t>Congregational Suites</t>
  </si>
  <si>
    <t>Chula Vista</t>
  </si>
  <si>
    <t>CA-23-614</t>
  </si>
  <si>
    <t>The Courtyards on International</t>
  </si>
  <si>
    <t>CA-23-615</t>
  </si>
  <si>
    <t>Hunt's Grove and La Pradera</t>
  </si>
  <si>
    <t>St. Helena, Calistoga</t>
  </si>
  <si>
    <t>Napa</t>
  </si>
  <si>
    <t>CA-23-616</t>
  </si>
  <si>
    <t>Central Metro Place</t>
  </si>
  <si>
    <t>Baldwin Park</t>
  </si>
  <si>
    <t>CA-23-618</t>
  </si>
  <si>
    <t>Vintage at Folsom</t>
  </si>
  <si>
    <t>Folsom</t>
  </si>
  <si>
    <t>Sacramento</t>
  </si>
  <si>
    <t>CA-23-619</t>
  </si>
  <si>
    <t>Shadows Garden Apartments</t>
  </si>
  <si>
    <t>Yreka</t>
  </si>
  <si>
    <t>Siskiyou</t>
  </si>
  <si>
    <t>CA-23-620</t>
  </si>
  <si>
    <t>440 Arden Way</t>
  </si>
  <si>
    <t>CA-23-622</t>
  </si>
  <si>
    <t>Lexington Green Apartments</t>
  </si>
  <si>
    <t>El Cajon</t>
  </si>
  <si>
    <t>CA-23-623</t>
  </si>
  <si>
    <t>The Ashbury</t>
  </si>
  <si>
    <t>Concord</t>
  </si>
  <si>
    <t>CA-23-624</t>
  </si>
  <si>
    <t xml:space="preserve">2550 Irving </t>
  </si>
  <si>
    <t xml:space="preserve">San Francisco </t>
  </si>
  <si>
    <t>CA-23-625</t>
  </si>
  <si>
    <t>Avalon Courtyard</t>
  </si>
  <si>
    <t>Carson</t>
  </si>
  <si>
    <t>CA-23-626</t>
  </si>
  <si>
    <t>Ridge View Commons</t>
  </si>
  <si>
    <t>Pleasanton</t>
  </si>
  <si>
    <t>CA-23-627</t>
  </si>
  <si>
    <t xml:space="preserve">Green Hotel Apartments </t>
  </si>
  <si>
    <t>Pasadena</t>
  </si>
  <si>
    <t>CA-23-628</t>
  </si>
  <si>
    <t>Bandar Salaam</t>
  </si>
  <si>
    <t>CA-23-630</t>
  </si>
  <si>
    <t xml:space="preserve">1633 Valencia </t>
  </si>
  <si>
    <t>CA-23-631</t>
  </si>
  <si>
    <t>Mendocino at Talega II</t>
  </si>
  <si>
    <t>San Clemente</t>
  </si>
  <si>
    <t>CA-23-632</t>
  </si>
  <si>
    <t>Riverstone</t>
  </si>
  <si>
    <t>Antioch</t>
  </si>
  <si>
    <t>CA-23-633</t>
  </si>
  <si>
    <t xml:space="preserve">Mendocino at Talega I </t>
  </si>
  <si>
    <t xml:space="preserve">San Clemente </t>
  </si>
  <si>
    <t>CA-23-635</t>
  </si>
  <si>
    <t>Giant Road Apartments</t>
  </si>
  <si>
    <t>San Pablo</t>
  </si>
  <si>
    <t>CA-23-638</t>
  </si>
  <si>
    <t>Transbay Block 2 Family</t>
  </si>
  <si>
    <t>CA-23-639</t>
  </si>
  <si>
    <t>Terry Manor Apartments</t>
  </si>
  <si>
    <t>CA-23-640</t>
  </si>
  <si>
    <t>Grisham Community Housing</t>
  </si>
  <si>
    <t>CA-23-641</t>
  </si>
  <si>
    <t>San Juan Apartments by Mutual Housing</t>
  </si>
  <si>
    <t>CA-23-642</t>
  </si>
  <si>
    <t>728 Lagoon</t>
  </si>
  <si>
    <t xml:space="preserve">Los Angeles </t>
  </si>
  <si>
    <t>CA-23-643</t>
  </si>
  <si>
    <t>Albert Einstein Residence Center</t>
  </si>
  <si>
    <t>CA-23-644</t>
  </si>
  <si>
    <t>828 Anaheim</t>
  </si>
  <si>
    <t>Wilmington</t>
  </si>
  <si>
    <t>CA-23-645</t>
  </si>
  <si>
    <t xml:space="preserve">Villa Plumosa </t>
  </si>
  <si>
    <t>Yorba Linda</t>
  </si>
  <si>
    <t>CA-23-646</t>
  </si>
  <si>
    <t>Citrus Grove</t>
  </si>
  <si>
    <t>Rialto</t>
  </si>
  <si>
    <t>San Bernardino</t>
  </si>
  <si>
    <t>CA-23-647</t>
  </si>
  <si>
    <t>Lake Merritt BART Senior Affordable Housing</t>
  </si>
  <si>
    <t>CA-23-648</t>
  </si>
  <si>
    <t>Humble Heart</t>
  </si>
  <si>
    <t>CA-23-650</t>
  </si>
  <si>
    <t xml:space="preserve">Playa del Alameda Apartments </t>
  </si>
  <si>
    <t>CA-23-651</t>
  </si>
  <si>
    <t xml:space="preserve">SOHI Seniors Affordable </t>
  </si>
  <si>
    <t>Solana Beach</t>
  </si>
  <si>
    <t>CA-23-652</t>
  </si>
  <si>
    <t>Lion Creek Crossings Phase I</t>
  </si>
  <si>
    <t>CA-23-653</t>
  </si>
  <si>
    <t>One San Pedro Phase I (aka 327 Harbor Apartments)</t>
  </si>
  <si>
    <t>CA-23-654</t>
  </si>
  <si>
    <t xml:space="preserve">OTC by Vintage </t>
  </si>
  <si>
    <t xml:space="preserve">Chula Vista </t>
  </si>
  <si>
    <t>CA-23-656</t>
  </si>
  <si>
    <t>Two Worlds Apartments</t>
  </si>
  <si>
    <t>CA-23-657</t>
  </si>
  <si>
    <t>Second St Andrews Apartments</t>
  </si>
  <si>
    <t>CA-23-658</t>
  </si>
  <si>
    <t>Oceanview Garden Apartments</t>
  </si>
  <si>
    <t>Berkeley</t>
  </si>
  <si>
    <t>CA-23-659</t>
  </si>
  <si>
    <t>Panorama View Apartments</t>
  </si>
  <si>
    <t>Panorama City</t>
  </si>
  <si>
    <t>CA-23-660</t>
  </si>
  <si>
    <t>All Hallows Apartments</t>
  </si>
  <si>
    <t>CA-23-661</t>
  </si>
  <si>
    <t>Bayview Apartments</t>
  </si>
  <si>
    <t>CA-23-662</t>
  </si>
  <si>
    <t>La Salle Apartments</t>
  </si>
  <si>
    <t>CA-23-663</t>
  </si>
  <si>
    <t>Lion Creek Crossings Phase II</t>
  </si>
  <si>
    <t>CA-23-664</t>
  </si>
  <si>
    <t>Shoreview Apartments</t>
  </si>
  <si>
    <t>CA-23-665</t>
  </si>
  <si>
    <t>Sea Breeze Gardens Apartments</t>
  </si>
  <si>
    <t>CA-23-666</t>
  </si>
  <si>
    <t>Auburn Park II</t>
  </si>
  <si>
    <t xml:space="preserve">San Diego </t>
  </si>
  <si>
    <t>CA-23-667</t>
  </si>
  <si>
    <t xml:space="preserve">Patterson Point </t>
  </si>
  <si>
    <t>Goleta</t>
  </si>
  <si>
    <t>CA-23-673</t>
  </si>
  <si>
    <t>Laurel Tree Apartments</t>
  </si>
  <si>
    <t>Carlsbad</t>
  </si>
  <si>
    <t>Rural</t>
  </si>
  <si>
    <t>Housing Authority of the City of San Diego</t>
  </si>
  <si>
    <t>County of Contra Costa</t>
  </si>
  <si>
    <t>California Statewide Communities Development Authority</t>
  </si>
  <si>
    <t xml:space="preserve">California Housing Finance Agency </t>
  </si>
  <si>
    <t xml:space="preserve">California Municipal Finance Authority </t>
  </si>
  <si>
    <t>Housing Authority of the County of Sacramento</t>
  </si>
  <si>
    <t>Housing Authority of the City of Los Angeles</t>
  </si>
  <si>
    <t xml:space="preserve">Housing Authority of the County of Santa Barbara										</t>
  </si>
  <si>
    <t>Monterey Park Phase II, LP</t>
  </si>
  <si>
    <t>Vigil Light Senior Apartments LLC</t>
  </si>
  <si>
    <t>Roseville Affordable, LP</t>
  </si>
  <si>
    <t>Roseville Affordable II, LP</t>
  </si>
  <si>
    <t>Cerro Pueblo Housing Partners, LP</t>
  </si>
  <si>
    <t>Santa Fe Springs Transit Square, L.P.</t>
  </si>
  <si>
    <t>U.S. VETS Housing Corporation</t>
  </si>
  <si>
    <t xml:space="preserve"> Eden Housing, Inc.</t>
  </si>
  <si>
    <t>Mayfair Affordable Housing LP</t>
  </si>
  <si>
    <t>Mammoth Lakes Pacific Associates, a California Limited Partnership</t>
  </si>
  <si>
    <t>Oxnard Rio Urbana Associates, a California Limited Partnership</t>
  </si>
  <si>
    <t>San Jose South 1st Street Associates, a California Limited Partnership</t>
  </si>
  <si>
    <t>San Jose Monterey Pacific Associates, a California Limited Partnership</t>
  </si>
  <si>
    <t>San Jose 2880 Alum Rock Associates, a California Limited Partnership</t>
  </si>
  <si>
    <t>San Jose Villa Del Sol Associates, a California Limited Partnership</t>
  </si>
  <si>
    <t>WEST HARBOR PARK AFFORDABLE PARTNERS, LP</t>
  </si>
  <si>
    <t>3rd Street RHF and CCDC MGP, LLC</t>
  </si>
  <si>
    <t>Oakland Pacific Associates II, a California Limited Partnership</t>
  </si>
  <si>
    <t>Hunt Pradera II, L.P.</t>
  </si>
  <si>
    <t>Baldwin Park RHF Housing LLC</t>
  </si>
  <si>
    <t>Vintage at Folsom, LP</t>
  </si>
  <si>
    <t>Pacific Development Group, Inc.</t>
  </si>
  <si>
    <t>BRIDGE Housing Corporation</t>
  </si>
  <si>
    <t>Lexington Green Community Partners II, LP</t>
  </si>
  <si>
    <t>TPC QOZB-Concord, LP, a California Limited Partnership</t>
  </si>
  <si>
    <t>2550 Irving Associates, L.P.</t>
  </si>
  <si>
    <t>Thomas Safran &amp; Associates Development, Inc.</t>
  </si>
  <si>
    <t>Ridge View Commons II Associates, L.P.</t>
  </si>
  <si>
    <t>Green Hotel Community Partners, LP</t>
  </si>
  <si>
    <t>Winona Avenue Housing Associates, L.P.</t>
  </si>
  <si>
    <t xml:space="preserve">Mercy Housing California 108, L.P. </t>
  </si>
  <si>
    <t>Amistad Housing Partners II LP</t>
  </si>
  <si>
    <t>(TO BE FORMED) Fairfield Riverstone LP</t>
  </si>
  <si>
    <t xml:space="preserve">Amistad Housing Partners I LP </t>
  </si>
  <si>
    <t>Giant Development II, LP</t>
  </si>
  <si>
    <t>Transbay 2 Family, L.P.</t>
  </si>
  <si>
    <t>Terry Manor Senior Housing AGP, LLC</t>
  </si>
  <si>
    <t>Abode Communities</t>
  </si>
  <si>
    <t xml:space="preserve">Mutual Housing California </t>
  </si>
  <si>
    <t>728 Lagoon PSH 3 LP</t>
  </si>
  <si>
    <t>Einstein Preservation LP</t>
  </si>
  <si>
    <t>828 Anaheim PSH 5 LP</t>
  </si>
  <si>
    <t>National Community Renaissance of California (NCRC)</t>
  </si>
  <si>
    <t>Chinatown BART Senior Housing, LP</t>
  </si>
  <si>
    <t xml:space="preserve">OAHS West Manager, LLC. </t>
  </si>
  <si>
    <t>SOHI Affordable LP</t>
  </si>
  <si>
    <t xml:space="preserve">Lion Creek Crossings Phase I Housing Partners, L.P. </t>
  </si>
  <si>
    <t xml:space="preserve">One San Pedro Phase I, LP </t>
  </si>
  <si>
    <t xml:space="preserve">Vintage Housing Holdings, LLC </t>
  </si>
  <si>
    <t>Two Worlds II Preservation Limited Partnership</t>
  </si>
  <si>
    <t>Second St Andrews Preservation Limited Partnership</t>
  </si>
  <si>
    <t>OAHS West Manager LLC</t>
  </si>
  <si>
    <t>Panorama II Preservation Limited Partnership</t>
  </si>
  <si>
    <t>AH Housing Preservation, LP</t>
  </si>
  <si>
    <t>BV Housing Preservation, LP</t>
  </si>
  <si>
    <t>LS Housing Preservation, LP</t>
  </si>
  <si>
    <t xml:space="preserve">Lion Creek Crossings Phase II Housing Partners, L.P. </t>
  </si>
  <si>
    <t>SV Housing Preservation, LP</t>
  </si>
  <si>
    <t>Sea Breeze Gardens Preservation LP</t>
  </si>
  <si>
    <t xml:space="preserve">Auburn Park II, L.P. </t>
  </si>
  <si>
    <t>Patterson Point, L.P.</t>
  </si>
  <si>
    <t>Metropolitan Area Advisory Committee on Anti-Poverty of San Diego County, Inc</t>
  </si>
  <si>
    <t>Jennifer Litwak</t>
  </si>
  <si>
    <t>PEP Housing</t>
  </si>
  <si>
    <t>PacH Roseville Holdings, LLC</t>
  </si>
  <si>
    <t>Roseville Affordable Admin GP, LLC</t>
  </si>
  <si>
    <t>Greg Anderson</t>
  </si>
  <si>
    <t>Shea Properties LLC</t>
  </si>
  <si>
    <t>PacH Roseville II Holdings, LLC</t>
  </si>
  <si>
    <t>Roseville Affordable Admin GP II, LLC</t>
  </si>
  <si>
    <t>Cerro Pueblo Housing Management, LLC</t>
  </si>
  <si>
    <t>Colin Rice</t>
  </si>
  <si>
    <t>Cerro Pueblo Housing, LLC</t>
  </si>
  <si>
    <t>Appaswamy "Vino" Pajanor</t>
  </si>
  <si>
    <t>Transit SFS GP, LLC</t>
  </si>
  <si>
    <t xml:space="preserve">Helen Heish </t>
  </si>
  <si>
    <t>U.S. VETS-WLAVA Building 210, LLC</t>
  </si>
  <si>
    <t>Lori Allgood</t>
  </si>
  <si>
    <t>U.S. Vets Housing Corporation</t>
  </si>
  <si>
    <t>New Del Nido, LLC</t>
  </si>
  <si>
    <t>Mayfair Affordable LLC</t>
  </si>
  <si>
    <t>Smitha Seshadri</t>
  </si>
  <si>
    <t>San Jose - Martha Gardens, LLC</t>
  </si>
  <si>
    <t>Brad Dickason</t>
  </si>
  <si>
    <t>West Harbor Park GP, LLC</t>
  </si>
  <si>
    <t>Alan Bogomilsky</t>
  </si>
  <si>
    <t>Klein Financial Corporation</t>
  </si>
  <si>
    <t>Casa Major AH LLC</t>
  </si>
  <si>
    <t>William W. Hirsch</t>
  </si>
  <si>
    <t>Casa Major, Inc.</t>
  </si>
  <si>
    <t>Kevin Gilchrist</t>
  </si>
  <si>
    <t>Retirement Housing Foundation</t>
  </si>
  <si>
    <t>3rd Street RHF Housing, Inc.</t>
  </si>
  <si>
    <t>Community Congregational Development Corporation</t>
  </si>
  <si>
    <t>Ruth Jones</t>
  </si>
  <si>
    <t>Hunt Pradera II, LLC</t>
  </si>
  <si>
    <t>Baldwin Park RHF Housing, LLC</t>
  </si>
  <si>
    <t>Salvatore Ingrao</t>
  </si>
  <si>
    <t>Baldwin Park RHF Housing, Inc.</t>
  </si>
  <si>
    <t>Hearthstone CA Properties V, LLC</t>
  </si>
  <si>
    <t>Socorro Vazquez</t>
  </si>
  <si>
    <t>Vintage at Folsom Partners, LLC</t>
  </si>
  <si>
    <t>Michael Gancar</t>
  </si>
  <si>
    <t>Vintage Housing Holdings, LLC</t>
  </si>
  <si>
    <t>John Bacigalupi</t>
  </si>
  <si>
    <t>Community Revitalization and Development Corporation</t>
  </si>
  <si>
    <t>David Rutledge</t>
  </si>
  <si>
    <t>Arden Armory Affordable LLC</t>
  </si>
  <si>
    <t>Lexington Green GP, LLC</t>
  </si>
  <si>
    <t>Seth Gellis</t>
  </si>
  <si>
    <t>WNC Development Partners 4, LLC</t>
  </si>
  <si>
    <t>FFAH V Lexington Green II, LLC</t>
  </si>
  <si>
    <t>Mei Luu</t>
  </si>
  <si>
    <t>Foundation for Affordable Housing V, Inc</t>
  </si>
  <si>
    <t>Concord - Ashbury, LLC</t>
  </si>
  <si>
    <t>2550 Irving GP LLC</t>
  </si>
  <si>
    <t>Maurilio Leon</t>
  </si>
  <si>
    <t>To-Be-Formed Administrative General Partner</t>
  </si>
  <si>
    <t>Anthony Yannatta; Harkiran Chauhan</t>
  </si>
  <si>
    <t>Housing Corporation of America</t>
  </si>
  <si>
    <t>Carol Cromar; Elise Cabey</t>
  </si>
  <si>
    <t>Ridge View Commons LLC</t>
  </si>
  <si>
    <t>Eden Investment, Inc.</t>
  </si>
  <si>
    <t xml:space="preserve">Eden Investment,Inc. </t>
  </si>
  <si>
    <t>Green Hotel GP, LLC</t>
  </si>
  <si>
    <t>FFAH V Green Hotel Apartments, LLC</t>
  </si>
  <si>
    <t xml:space="preserve">Melissa Vincent </t>
  </si>
  <si>
    <t>CHW Winona Avenue, LLC</t>
  </si>
  <si>
    <t>Kevin Leichner</t>
  </si>
  <si>
    <t>Community HousingWorks</t>
  </si>
  <si>
    <t>Mercy Housing California 108 LLC</t>
  </si>
  <si>
    <t>Elizabeth Kuwada</t>
  </si>
  <si>
    <t>Mercy Housing California</t>
  </si>
  <si>
    <t>JHC-Amistad II LLC</t>
  </si>
  <si>
    <t>Greg Smith</t>
  </si>
  <si>
    <t>Jamboree Housing Corporation</t>
  </si>
  <si>
    <t>FRH Riverstone LLC (To Be Formed)</t>
  </si>
  <si>
    <t>Paul Kudirka</t>
  </si>
  <si>
    <t>Fairfield Residential Holdings LLC</t>
  </si>
  <si>
    <t>RCC MGP LLC</t>
  </si>
  <si>
    <t xml:space="preserve">JHC-Amistad LLC </t>
  </si>
  <si>
    <t>Victoria Rodriguez</t>
  </si>
  <si>
    <t xml:space="preserve">Jamboree Housing Corporation </t>
  </si>
  <si>
    <t>Giant Development II, LLC</t>
  </si>
  <si>
    <t>Kuldeep Birdi</t>
  </si>
  <si>
    <t>Transbay 2 Familly, LLC</t>
  </si>
  <si>
    <t>Sean Wils</t>
  </si>
  <si>
    <t>Rainbow - Terry, LLC</t>
  </si>
  <si>
    <t>Flynann Janisse</t>
  </si>
  <si>
    <t>Rainbow Housing Assistance Corp</t>
  </si>
  <si>
    <t>Wes Larmore</t>
  </si>
  <si>
    <t>Related Affordable</t>
  </si>
  <si>
    <t>Lara Regus</t>
  </si>
  <si>
    <t>San Juan Mutual Housing Association LLC</t>
  </si>
  <si>
    <t>Roberto Jimenez</t>
  </si>
  <si>
    <t>Mutual Housing California</t>
  </si>
  <si>
    <t>728 Lagoon PSH 3 LLC</t>
  </si>
  <si>
    <t>Dylan Coyle</t>
  </si>
  <si>
    <t>Clifford Beers Housing (a/k/a Holos Communities)</t>
  </si>
  <si>
    <t>Micahel Parks</t>
  </si>
  <si>
    <t>FlyawayHomes</t>
  </si>
  <si>
    <t>Alim Purliyev</t>
  </si>
  <si>
    <t>The People Concern</t>
  </si>
  <si>
    <t>Einstein Preservation GP LLC</t>
  </si>
  <si>
    <t>Sean Burrowes</t>
  </si>
  <si>
    <t>Security Properties</t>
  </si>
  <si>
    <t>Las Palmas Housing &amp; Development Corporation</t>
  </si>
  <si>
    <t>Noami Pines</t>
  </si>
  <si>
    <t>828 Anaheim PSH 5 LLC</t>
  </si>
  <si>
    <t>Clifford Beers Housing</t>
  </si>
  <si>
    <t>Michael Parks</t>
  </si>
  <si>
    <t>Bobbie Barnett</t>
  </si>
  <si>
    <t>Chinatown BART Senior Housing LLC</t>
  </si>
  <si>
    <t>James Perez</t>
  </si>
  <si>
    <t>Wakeland Humble Heart LLC</t>
  </si>
  <si>
    <t>Rebecca Louie</t>
  </si>
  <si>
    <t xml:space="preserve">William Leach, Presdent of Kingdom Development, Inc. </t>
  </si>
  <si>
    <t xml:space="preserve">William Leach </t>
  </si>
  <si>
    <t xml:space="preserve">OAHS West Manager LLC </t>
  </si>
  <si>
    <t xml:space="preserve">Jay Reinhard </t>
  </si>
  <si>
    <t>Orbach Affordable Housing Solutions LLC.</t>
  </si>
  <si>
    <t>SOHI Affordable LLC</t>
  </si>
  <si>
    <t>David Gatzke</t>
  </si>
  <si>
    <t>HG Fenton Property Company</t>
  </si>
  <si>
    <t>Pacific Southwest CDC</t>
  </si>
  <si>
    <t>Related/Lion Creek Crossings Phase 1 Housing Development Co., LLC</t>
  </si>
  <si>
    <t>Ann Silverberg</t>
  </si>
  <si>
    <t>The Related Companies of California, LLC</t>
  </si>
  <si>
    <t>Lion Creek 2 Phase I LLC</t>
  </si>
  <si>
    <t>Capri Roth</t>
  </si>
  <si>
    <t>National Core Renaissance of California</t>
  </si>
  <si>
    <t>Michael Ruane</t>
  </si>
  <si>
    <t>Century Affordable Development, Inc.</t>
  </si>
  <si>
    <t>Brian D'Andrea</t>
  </si>
  <si>
    <t>Richman OSP Phase I GP, LLC</t>
  </si>
  <si>
    <t>Rick Westberg</t>
  </si>
  <si>
    <t>To-be-formed LLC</t>
  </si>
  <si>
    <t>Two Worlds II Preservation Partners LLC</t>
  </si>
  <si>
    <t>Charles Treatch</t>
  </si>
  <si>
    <t>Cornucopia Services</t>
  </si>
  <si>
    <t>Jacqueline Ramos</t>
  </si>
  <si>
    <t>Second St Andrews Preservation Partners LLC</t>
  </si>
  <si>
    <t>Jay Reinhard</t>
  </si>
  <si>
    <t>Orbach Affordable Housing Solutions LLC</t>
  </si>
  <si>
    <t>Panorama II Preservation Partners LLC</t>
  </si>
  <si>
    <t>San Francisco Housing Development Corporation</t>
  </si>
  <si>
    <t>David J. Sobel</t>
  </si>
  <si>
    <t>AH Housing Preservation Admin GP, LLC</t>
  </si>
  <si>
    <t>BV Housing Preservation Admin GP, LLC</t>
  </si>
  <si>
    <t>LS Housing Preservation Admin GP, LLC</t>
  </si>
  <si>
    <t>SV Housing Preservation Admin GP, LLC</t>
  </si>
  <si>
    <t>Sea Breeze Gardens Preservation GP LLC</t>
  </si>
  <si>
    <t>Russell Condas</t>
  </si>
  <si>
    <t>Lincoln Avenue Capital LLC</t>
  </si>
  <si>
    <t>PacH Sea Breeze Holdings LLC</t>
  </si>
  <si>
    <t>CFAH Housing, LLC</t>
  </si>
  <si>
    <t>Katelyn Silverwood</t>
  </si>
  <si>
    <t>Compass for Affordable Housing</t>
  </si>
  <si>
    <t>AHG Auburn Park II, LLC</t>
  </si>
  <si>
    <t>Jonathan Taylor</t>
  </si>
  <si>
    <t>Affirmed Housing Group, Inc.</t>
  </si>
  <si>
    <t>Surf Development Company</t>
  </si>
  <si>
    <t xml:space="preserve">Robert P Havlicek Jr																		</t>
  </si>
  <si>
    <t>Housing Authority of the County of Santa Barbara</t>
  </si>
  <si>
    <t>Robert P Havlicek Jr</t>
  </si>
  <si>
    <t xml:space="preserve">Santa Barbara Housing Assistance Corporation </t>
  </si>
  <si>
    <t>Christopher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</si>
</sst>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&quot;$&quot;#,##0;\(&quot;$&quot;#,##0\)"/>
    <numFmt numFmtId="166" formatCode="&quot;$&quot;#,##0"/>
    <numFmt numFmtId="167" formatCode="_(&quot;$&quot;* #,##0_);_(&quot;$&quot;* \(#,##0\);_(&quot;$&quot;* &quot;-&quot;??_);_(@_)"/>
    <numFmt numFmtId="168" formatCode="0.0000%"/>
  </numFmts>
  <fonts count="5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9"/>
      <color indexed="9"/>
      <name val="Arial"/>
      <family val="2"/>
    </font>
    <font>
      <sz val="11"/>
      <name val="Times New Roman"/>
      <family val="1"/>
    </font>
    <font>
      <sz val="10"/>
      <name val="MS Sans Serif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indexed="17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45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3" fillId="27" borderId="6" applyNumberFormat="0" applyAlignment="0" applyProtection="0"/>
    <xf numFmtId="0" fontId="24" fillId="28" borderId="7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29" borderId="0" applyNumberFormat="0" applyBorder="0" applyAlignment="0" applyProtection="0"/>
    <xf numFmtId="0" fontId="27" fillId="0" borderId="8" applyNumberFormat="0" applyFill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0" fillId="30" borderId="6" applyNumberFormat="0" applyAlignment="0" applyProtection="0"/>
    <xf numFmtId="0" fontId="12" fillId="0" borderId="0" applyNumberFormat="0" applyBorder="0"/>
    <xf numFmtId="0" fontId="13" fillId="0" borderId="0" applyBorder="0" applyAlignment="0"/>
    <xf numFmtId="0" fontId="14" fillId="0" borderId="0" applyFill="0" applyBorder="0" applyAlignment="0"/>
    <xf numFmtId="0" fontId="31" fillId="0" borderId="11" applyNumberFormat="0" applyFill="0" applyAlignment="0" applyProtection="0"/>
    <xf numFmtId="0" fontId="32" fillId="31" borderId="0" applyNumberFormat="0" applyBorder="0" applyAlignment="0" applyProtection="0"/>
    <xf numFmtId="0" fontId="33" fillId="0" borderId="0"/>
    <xf numFmtId="0" fontId="7" fillId="0" borderId="0"/>
    <xf numFmtId="0" fontId="7" fillId="0" borderId="0"/>
    <xf numFmtId="0" fontId="20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15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20" fillId="0" borderId="0"/>
    <xf numFmtId="0" fontId="7" fillId="0" borderId="0">
      <alignment vertical="top"/>
    </xf>
    <xf numFmtId="0" fontId="20" fillId="0" borderId="0"/>
    <xf numFmtId="0" fontId="20" fillId="0" borderId="0"/>
    <xf numFmtId="0" fontId="16" fillId="0" borderId="0"/>
    <xf numFmtId="0" fontId="7" fillId="0" borderId="0">
      <alignment vertical="top"/>
    </xf>
    <xf numFmtId="0" fontId="20" fillId="0" borderId="0"/>
    <xf numFmtId="0" fontId="20" fillId="0" borderId="0"/>
    <xf numFmtId="0" fontId="16" fillId="0" borderId="0"/>
    <xf numFmtId="0" fontId="7" fillId="0" borderId="0">
      <alignment vertical="top"/>
    </xf>
    <xf numFmtId="0" fontId="16" fillId="0" borderId="0"/>
    <xf numFmtId="0" fontId="8" fillId="0" borderId="0"/>
    <xf numFmtId="0" fontId="20" fillId="0" borderId="0"/>
    <xf numFmtId="0" fontId="8" fillId="0" borderId="0"/>
    <xf numFmtId="0" fontId="15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5" fillId="0" borderId="0"/>
    <xf numFmtId="0" fontId="15" fillId="0" borderId="0"/>
    <xf numFmtId="0" fontId="20" fillId="0" borderId="0"/>
    <xf numFmtId="0" fontId="7" fillId="0" borderId="0">
      <alignment vertical="top"/>
    </xf>
    <xf numFmtId="0" fontId="20" fillId="0" borderId="0"/>
    <xf numFmtId="0" fontId="15" fillId="0" borderId="0"/>
    <xf numFmtId="0" fontId="20" fillId="0" borderId="0"/>
    <xf numFmtId="0" fontId="20" fillId="0" borderId="0"/>
    <xf numFmtId="0" fontId="8" fillId="0" borderId="0"/>
    <xf numFmtId="0" fontId="7" fillId="0" borderId="0">
      <alignment vertical="top"/>
    </xf>
    <xf numFmtId="0" fontId="20" fillId="0" borderId="0"/>
    <xf numFmtId="0" fontId="20" fillId="0" borderId="0"/>
    <xf numFmtId="0" fontId="20" fillId="0" borderId="0"/>
    <xf numFmtId="0" fontId="1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20" fillId="0" borderId="0"/>
    <xf numFmtId="0" fontId="20" fillId="0" borderId="0"/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/>
    <xf numFmtId="0" fontId="7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14" fontId="8" fillId="0" borderId="0"/>
    <xf numFmtId="0" fontId="7" fillId="0" borderId="0"/>
    <xf numFmtId="0" fontId="20" fillId="32" borderId="12" applyNumberFormat="0" applyFont="0" applyAlignment="0" applyProtection="0"/>
    <xf numFmtId="0" fontId="20" fillId="32" borderId="12" applyNumberFormat="0" applyFont="0" applyAlignment="0" applyProtection="0"/>
    <xf numFmtId="0" fontId="34" fillId="27" borderId="13" applyNumberFormat="0" applyAlignment="0" applyProtection="0"/>
    <xf numFmtId="9" fontId="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1" fillId="0" borderId="0" applyNumberFormat="0" applyFill="0" applyBorder="0">
      <alignment horizontal="left"/>
    </xf>
    <xf numFmtId="0" fontId="35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9" fontId="6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158">
    <xf numFmtId="0" fontId="0" fillId="0" borderId="0" xfId="0"/>
    <xf numFmtId="0" fontId="38" fillId="33" borderId="0" xfId="0" applyFont="1" applyFill="1"/>
    <xf numFmtId="0" fontId="39" fillId="33" borderId="0" xfId="0" applyFont="1" applyFill="1" applyAlignment="1">
      <alignment horizontal="left"/>
    </xf>
    <xf numFmtId="0" fontId="40" fillId="33" borderId="0" xfId="0" applyFont="1" applyFill="1" applyAlignment="1">
      <alignment horizontal="left"/>
    </xf>
    <xf numFmtId="0" fontId="40" fillId="33" borderId="0" xfId="0" applyFont="1" applyFill="1"/>
    <xf numFmtId="0" fontId="41" fillId="33" borderId="0" xfId="0" applyFont="1" applyFill="1" applyAlignment="1">
      <alignment horizontal="left"/>
    </xf>
    <xf numFmtId="6" fontId="40" fillId="0" borderId="0" xfId="0" applyNumberFormat="1" applyFont="1"/>
    <xf numFmtId="0" fontId="40" fillId="0" borderId="0" xfId="0" applyFont="1"/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166" fontId="40" fillId="34" borderId="0" xfId="0" applyNumberFormat="1" applyFont="1" applyFill="1" applyAlignment="1">
      <alignment horizontal="left"/>
    </xf>
    <xf numFmtId="6" fontId="40" fillId="0" borderId="0" xfId="0" applyNumberFormat="1" applyFont="1" applyAlignment="1">
      <alignment horizontal="left"/>
    </xf>
    <xf numFmtId="0" fontId="40" fillId="0" borderId="0" xfId="0" applyFont="1" applyAlignment="1">
      <alignment horizontal="left" vertical="top"/>
    </xf>
    <xf numFmtId="0" fontId="40" fillId="0" borderId="0" xfId="0" applyFont="1" applyAlignment="1">
      <alignment vertical="top"/>
    </xf>
    <xf numFmtId="166" fontId="40" fillId="0" borderId="0" xfId="0" applyNumberFormat="1" applyFont="1" applyAlignment="1">
      <alignment horizontal="right" vertical="top"/>
    </xf>
    <xf numFmtId="2" fontId="40" fillId="0" borderId="0" xfId="0" applyNumberFormat="1" applyFont="1" applyAlignment="1">
      <alignment horizontal="right" vertical="top"/>
    </xf>
    <xf numFmtId="0" fontId="40" fillId="0" borderId="0" xfId="82" applyFont="1" applyAlignment="1">
      <alignment horizontal="left" vertical="top"/>
    </xf>
    <xf numFmtId="0" fontId="40" fillId="0" borderId="1" xfId="0" applyFont="1" applyBorder="1"/>
    <xf numFmtId="0" fontId="40" fillId="0" borderId="1" xfId="0" applyFont="1" applyBorder="1" applyAlignment="1">
      <alignment horizontal="left"/>
    </xf>
    <xf numFmtId="0" fontId="41" fillId="0" borderId="1" xfId="0" applyFont="1" applyBorder="1" applyAlignment="1">
      <alignment horizontal="left"/>
    </xf>
    <xf numFmtId="6" fontId="40" fillId="0" borderId="1" xfId="0" applyNumberFormat="1" applyFont="1" applyBorder="1"/>
    <xf numFmtId="165" fontId="41" fillId="0" borderId="0" xfId="0" applyNumberFormat="1" applyFont="1" applyAlignment="1">
      <alignment horizontal="left"/>
    </xf>
    <xf numFmtId="0" fontId="40" fillId="0" borderId="0" xfId="0" applyFont="1" applyAlignment="1">
      <alignment horizontal="right"/>
    </xf>
    <xf numFmtId="0" fontId="42" fillId="0" borderId="0" xfId="0" applyFont="1" applyAlignment="1">
      <alignment horizontal="left"/>
    </xf>
    <xf numFmtId="0" fontId="43" fillId="0" borderId="0" xfId="0" applyFont="1"/>
    <xf numFmtId="166" fontId="40" fillId="0" borderId="0" xfId="0" applyNumberFormat="1" applyFont="1"/>
    <xf numFmtId="0" fontId="40" fillId="0" borderId="0" xfId="145" applyNumberFormat="1" applyFont="1" applyAlignment="1">
      <alignment horizontal="left" vertical="top"/>
    </xf>
    <xf numFmtId="14" fontId="40" fillId="0" borderId="0" xfId="145" applyFont="1" applyAlignment="1">
      <alignment vertical="top" wrapText="1"/>
    </xf>
    <xf numFmtId="164" fontId="41" fillId="0" borderId="0" xfId="146" applyNumberFormat="1" applyFont="1" applyAlignment="1">
      <alignment horizontal="left" vertical="top" wrapText="1"/>
    </xf>
    <xf numFmtId="14" fontId="40" fillId="0" borderId="0" xfId="145" applyFont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164" fontId="44" fillId="0" borderId="0" xfId="0" applyNumberFormat="1" applyFont="1" applyAlignment="1">
      <alignment horizontal="left" vertical="top" wrapText="1"/>
    </xf>
    <xf numFmtId="14" fontId="40" fillId="0" borderId="0" xfId="145" applyFont="1" applyAlignment="1">
      <alignment horizontal="left" vertical="top"/>
    </xf>
    <xf numFmtId="164" fontId="40" fillId="0" borderId="0" xfId="0" applyNumberFormat="1" applyFont="1" applyAlignment="1">
      <alignment horizontal="left" vertical="top"/>
    </xf>
    <xf numFmtId="0" fontId="45" fillId="0" borderId="0" xfId="0" applyFont="1" applyAlignment="1">
      <alignment horizontal="left"/>
    </xf>
    <xf numFmtId="166" fontId="40" fillId="0" borderId="0" xfId="0" applyNumberFormat="1" applyFont="1" applyAlignment="1">
      <alignment horizontal="right" vertical="top" wrapText="1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vertical="center"/>
    </xf>
    <xf numFmtId="166" fontId="40" fillId="0" borderId="0" xfId="0" applyNumberFormat="1" applyFont="1" applyAlignment="1">
      <alignment vertical="center"/>
    </xf>
    <xf numFmtId="166" fontId="40" fillId="0" borderId="0" xfId="0" applyNumberFormat="1" applyFont="1" applyAlignment="1">
      <alignment horizontal="center" vertical="center"/>
    </xf>
    <xf numFmtId="166" fontId="46" fillId="0" borderId="0" xfId="0" applyNumberFormat="1" applyFont="1" applyAlignment="1">
      <alignment vertical="center"/>
    </xf>
    <xf numFmtId="166" fontId="39" fillId="0" borderId="0" xfId="0" applyNumberFormat="1" applyFont="1" applyAlignment="1">
      <alignment vertical="center"/>
    </xf>
    <xf numFmtId="166" fontId="39" fillId="0" borderId="0" xfId="0" applyNumberFormat="1" applyFont="1" applyAlignment="1">
      <alignment horizontal="right" vertical="top"/>
    </xf>
    <xf numFmtId="166" fontId="39" fillId="0" borderId="0" xfId="0" applyNumberFormat="1" applyFont="1"/>
    <xf numFmtId="166" fontId="39" fillId="0" borderId="0" xfId="0" applyNumberFormat="1" applyFont="1" applyAlignment="1">
      <alignment horizontal="right" vertical="top" wrapText="1"/>
    </xf>
    <xf numFmtId="166" fontId="39" fillId="34" borderId="0" xfId="0" applyNumberFormat="1" applyFont="1" applyFill="1" applyAlignment="1">
      <alignment horizontal="left"/>
    </xf>
    <xf numFmtId="0" fontId="41" fillId="0" borderId="0" xfId="0" applyFont="1" applyAlignment="1">
      <alignment horizontal="right"/>
    </xf>
    <xf numFmtId="0" fontId="41" fillId="33" borderId="0" xfId="0" applyFont="1" applyFill="1" applyAlignment="1">
      <alignment horizontal="right"/>
    </xf>
    <xf numFmtId="0" fontId="41" fillId="0" borderId="1" xfId="0" applyFont="1" applyBorder="1" applyAlignment="1">
      <alignment horizontal="right"/>
    </xf>
    <xf numFmtId="166" fontId="40" fillId="0" borderId="0" xfId="0" applyNumberFormat="1" applyFont="1" applyAlignment="1">
      <alignment horizontal="right"/>
    </xf>
    <xf numFmtId="166" fontId="40" fillId="0" borderId="1" xfId="0" applyNumberFormat="1" applyFont="1" applyBorder="1" applyAlignment="1">
      <alignment horizontal="right" vertical="top"/>
    </xf>
    <xf numFmtId="166" fontId="39" fillId="33" borderId="0" xfId="0" applyNumberFormat="1" applyFont="1" applyFill="1"/>
    <xf numFmtId="166" fontId="39" fillId="0" borderId="1" xfId="0" applyNumberFormat="1" applyFont="1" applyBorder="1"/>
    <xf numFmtId="166" fontId="47" fillId="0" borderId="0" xfId="0" applyNumberFormat="1" applyFont="1" applyAlignment="1">
      <alignment horizontal="right" wrapText="1"/>
    </xf>
    <xf numFmtId="166" fontId="40" fillId="33" borderId="0" xfId="0" applyNumberFormat="1" applyFont="1" applyFill="1"/>
    <xf numFmtId="166" fontId="48" fillId="0" borderId="0" xfId="0" applyNumberFormat="1" applyFont="1" applyAlignment="1">
      <alignment vertical="center"/>
    </xf>
    <xf numFmtId="166" fontId="40" fillId="0" borderId="1" xfId="0" applyNumberFormat="1" applyFont="1" applyBorder="1"/>
    <xf numFmtId="166" fontId="49" fillId="0" borderId="0" xfId="0" applyNumberFormat="1" applyFont="1" applyAlignment="1">
      <alignment horizontal="right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166" fontId="40" fillId="0" borderId="1" xfId="0" applyNumberFormat="1" applyFont="1" applyBorder="1" applyAlignment="1">
      <alignment horizontal="center" vertical="center"/>
    </xf>
    <xf numFmtId="2" fontId="40" fillId="0" borderId="1" xfId="0" applyNumberFormat="1" applyFont="1" applyBorder="1" applyAlignment="1">
      <alignment horizontal="right" vertical="top"/>
    </xf>
    <xf numFmtId="0" fontId="8" fillId="0" borderId="0" xfId="0" applyFont="1" applyAlignment="1">
      <alignment horizontal="left"/>
    </xf>
    <xf numFmtId="167" fontId="40" fillId="0" borderId="0" xfId="36" applyNumberFormat="1" applyFont="1" applyFill="1" applyBorder="1" applyAlignment="1" applyProtection="1">
      <alignment vertical="center"/>
    </xf>
    <xf numFmtId="9" fontId="40" fillId="0" borderId="0" xfId="150" applyFont="1" applyFill="1" applyBorder="1" applyAlignment="1" applyProtection="1">
      <alignment vertical="center"/>
    </xf>
    <xf numFmtId="0" fontId="0" fillId="0" borderId="0" xfId="0" applyAlignment="1">
      <alignment horizontal="left"/>
    </xf>
    <xf numFmtId="6" fontId="50" fillId="0" borderId="2" xfId="0" applyNumberFormat="1" applyFont="1" applyBorder="1" applyAlignment="1">
      <alignment horizontal="left"/>
    </xf>
    <xf numFmtId="167" fontId="40" fillId="0" borderId="0" xfId="36" applyNumberFormat="1" applyFont="1" applyFill="1" applyBorder="1" applyAlignment="1">
      <alignment horizontal="left"/>
    </xf>
    <xf numFmtId="167" fontId="40" fillId="0" borderId="0" xfId="0" applyNumberFormat="1" applyFont="1" applyAlignment="1">
      <alignment horizontal="left"/>
    </xf>
    <xf numFmtId="16" fontId="40" fillId="0" borderId="0" xfId="0" applyNumberFormat="1" applyFont="1"/>
    <xf numFmtId="14" fontId="40" fillId="0" borderId="0" xfId="0" applyNumberFormat="1" applyFont="1" applyAlignment="1">
      <alignment horizontal="left"/>
    </xf>
    <xf numFmtId="1" fontId="41" fillId="33" borderId="0" xfId="0" applyNumberFormat="1" applyFont="1" applyFill="1" applyAlignment="1">
      <alignment horizontal="left"/>
    </xf>
    <xf numFmtId="1" fontId="41" fillId="0" borderId="0" xfId="0" applyNumberFormat="1" applyFont="1" applyAlignment="1">
      <alignment horizontal="left"/>
    </xf>
    <xf numFmtId="1" fontId="40" fillId="0" borderId="0" xfId="0" applyNumberFormat="1" applyFont="1" applyAlignment="1">
      <alignment horizontal="left"/>
    </xf>
    <xf numFmtId="1" fontId="40" fillId="0" borderId="0" xfId="0" applyNumberFormat="1" applyFont="1" applyAlignment="1">
      <alignment vertical="center"/>
    </xf>
    <xf numFmtId="1" fontId="40" fillId="0" borderId="0" xfId="0" applyNumberFormat="1" applyFont="1" applyAlignment="1">
      <alignment horizontal="center" vertical="center"/>
    </xf>
    <xf numFmtId="1" fontId="40" fillId="0" borderId="1" xfId="0" applyNumberFormat="1" applyFont="1" applyBorder="1" applyAlignment="1">
      <alignment horizontal="center" vertical="center"/>
    </xf>
    <xf numFmtId="1" fontId="40" fillId="0" borderId="0" xfId="0" applyNumberFormat="1" applyFont="1" applyAlignment="1">
      <alignment horizontal="right" vertical="top"/>
    </xf>
    <xf numFmtId="1" fontId="41" fillId="0" borderId="1" xfId="0" applyNumberFormat="1" applyFont="1" applyBorder="1" applyAlignment="1">
      <alignment horizontal="left"/>
    </xf>
    <xf numFmtId="1" fontId="40" fillId="0" borderId="0" xfId="0" applyNumberFormat="1" applyFont="1"/>
    <xf numFmtId="1" fontId="40" fillId="0" borderId="0" xfId="0" applyNumberFormat="1" applyFont="1" applyAlignment="1">
      <alignment horizontal="left" vertical="top"/>
    </xf>
    <xf numFmtId="1" fontId="41" fillId="0" borderId="0" xfId="146" applyNumberFormat="1" applyFont="1" applyAlignment="1">
      <alignment horizontal="left" vertical="top" wrapText="1"/>
    </xf>
    <xf numFmtId="1" fontId="44" fillId="0" borderId="0" xfId="0" applyNumberFormat="1" applyFont="1" applyAlignment="1">
      <alignment horizontal="left" vertical="top" wrapText="1"/>
    </xf>
    <xf numFmtId="44" fontId="40" fillId="0" borderId="0" xfId="36" applyFont="1" applyFill="1" applyBorder="1" applyAlignment="1">
      <alignment horizontal="left"/>
    </xf>
    <xf numFmtId="167" fontId="40" fillId="0" borderId="1" xfId="36" applyNumberFormat="1" applyFont="1" applyFill="1" applyBorder="1" applyAlignment="1" applyProtection="1">
      <alignment vertical="center"/>
    </xf>
    <xf numFmtId="166" fontId="39" fillId="0" borderId="1" xfId="0" applyNumberFormat="1" applyFont="1" applyBorder="1" applyAlignment="1">
      <alignment vertical="center"/>
    </xf>
    <xf numFmtId="0" fontId="51" fillId="33" borderId="0" xfId="0" applyFont="1" applyFill="1" applyAlignment="1">
      <alignment horizontal="left"/>
    </xf>
    <xf numFmtId="0" fontId="51" fillId="0" borderId="0" xfId="0" applyFont="1" applyAlignment="1">
      <alignment horizontal="left"/>
    </xf>
    <xf numFmtId="167" fontId="51" fillId="0" borderId="0" xfId="36" applyNumberFormat="1" applyFont="1" applyFill="1" applyBorder="1" applyAlignment="1" applyProtection="1">
      <alignment vertical="center"/>
    </xf>
    <xf numFmtId="0" fontId="51" fillId="0" borderId="0" xfId="0" applyFont="1" applyAlignment="1">
      <alignment horizontal="right" vertical="top"/>
    </xf>
    <xf numFmtId="0" fontId="51" fillId="0" borderId="0" xfId="0" applyFont="1" applyAlignment="1">
      <alignment vertical="top"/>
    </xf>
    <xf numFmtId="0" fontId="51" fillId="0" borderId="1" xfId="0" applyFont="1" applyBorder="1" applyAlignment="1">
      <alignment horizontal="right" vertical="top"/>
    </xf>
    <xf numFmtId="0" fontId="51" fillId="0" borderId="1" xfId="0" applyFont="1" applyBorder="1" applyAlignment="1">
      <alignment vertical="top"/>
    </xf>
    <xf numFmtId="0" fontId="51" fillId="0" borderId="1" xfId="0" applyFont="1" applyBorder="1" applyAlignment="1">
      <alignment horizontal="left"/>
    </xf>
    <xf numFmtId="0" fontId="51" fillId="0" borderId="0" xfId="0" applyFont="1" applyAlignment="1">
      <alignment horizontal="left" vertical="top"/>
    </xf>
    <xf numFmtId="1" fontId="51" fillId="0" borderId="0" xfId="0" applyNumberFormat="1" applyFont="1" applyAlignment="1">
      <alignment horizontal="left"/>
    </xf>
    <xf numFmtId="0" fontId="51" fillId="0" borderId="0" xfId="0" applyFont="1"/>
    <xf numFmtId="164" fontId="51" fillId="0" borderId="0" xfId="146" applyNumberFormat="1" applyFont="1" applyAlignment="1">
      <alignment horizontal="left" vertical="top" wrapText="1"/>
    </xf>
    <xf numFmtId="164" fontId="51" fillId="0" borderId="0" xfId="0" applyNumberFormat="1" applyFont="1" applyAlignment="1">
      <alignment horizontal="left" vertical="top" wrapText="1"/>
    </xf>
    <xf numFmtId="164" fontId="51" fillId="0" borderId="0" xfId="0" applyNumberFormat="1" applyFont="1" applyAlignment="1">
      <alignment horizontal="left" vertical="top"/>
    </xf>
    <xf numFmtId="166" fontId="40" fillId="0" borderId="0" xfId="36" applyNumberFormat="1" applyFont="1" applyFill="1" applyBorder="1" applyAlignment="1" applyProtection="1">
      <alignment vertical="center"/>
    </xf>
    <xf numFmtId="166" fontId="40" fillId="0" borderId="1" xfId="36" applyNumberFormat="1" applyFont="1" applyFill="1" applyBorder="1" applyAlignment="1" applyProtection="1">
      <alignment vertical="center"/>
    </xf>
    <xf numFmtId="0" fontId="8" fillId="0" borderId="1" xfId="0" applyFont="1" applyBorder="1" applyAlignment="1">
      <alignment horizontal="left"/>
    </xf>
    <xf numFmtId="1" fontId="40" fillId="0" borderId="1" xfId="0" applyNumberFormat="1" applyFont="1" applyBorder="1" applyAlignment="1">
      <alignment vertical="center"/>
    </xf>
    <xf numFmtId="9" fontId="40" fillId="0" borderId="1" xfId="150" applyFont="1" applyFill="1" applyBorder="1" applyAlignment="1" applyProtection="1">
      <alignment vertical="center"/>
    </xf>
    <xf numFmtId="167" fontId="51" fillId="0" borderId="1" xfId="36" applyNumberFormat="1" applyFont="1" applyFill="1" applyBorder="1" applyAlignment="1" applyProtection="1">
      <alignment vertical="center"/>
    </xf>
    <xf numFmtId="166" fontId="39" fillId="0" borderId="1" xfId="36" applyNumberFormat="1" applyFont="1" applyFill="1" applyBorder="1" applyAlignment="1" applyProtection="1">
      <alignment vertical="center"/>
    </xf>
    <xf numFmtId="0" fontId="40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166" fontId="40" fillId="0" borderId="0" xfId="0" applyNumberFormat="1" applyFont="1" applyAlignment="1">
      <alignment horizontal="center"/>
    </xf>
    <xf numFmtId="1" fontId="40" fillId="0" borderId="0" xfId="0" applyNumberFormat="1" applyFont="1" applyAlignment="1">
      <alignment horizontal="center"/>
    </xf>
    <xf numFmtId="6" fontId="40" fillId="0" borderId="0" xfId="0" applyNumberFormat="1" applyFont="1" applyAlignment="1">
      <alignment horizontal="center"/>
    </xf>
    <xf numFmtId="166" fontId="39" fillId="0" borderId="0" xfId="36" applyNumberFormat="1" applyFont="1" applyFill="1" applyBorder="1" applyAlignment="1" applyProtection="1">
      <alignment vertical="center"/>
    </xf>
    <xf numFmtId="0" fontId="52" fillId="0" borderId="0" xfId="0" applyFont="1"/>
    <xf numFmtId="0" fontId="52" fillId="0" borderId="0" xfId="0" applyFont="1" applyAlignment="1">
      <alignment horizontal="right"/>
    </xf>
    <xf numFmtId="0" fontId="52" fillId="33" borderId="0" xfId="0" applyFont="1" applyFill="1" applyAlignment="1">
      <alignment horizontal="left"/>
    </xf>
    <xf numFmtId="0" fontId="52" fillId="33" borderId="0" xfId="0" applyFont="1" applyFill="1"/>
    <xf numFmtId="166" fontId="38" fillId="33" borderId="0" xfId="0" applyNumberFormat="1" applyFont="1" applyFill="1"/>
    <xf numFmtId="166" fontId="52" fillId="33" borderId="0" xfId="0" applyNumberFormat="1" applyFont="1" applyFill="1"/>
    <xf numFmtId="1" fontId="52" fillId="33" borderId="0" xfId="0" applyNumberFormat="1" applyFont="1" applyFill="1" applyAlignment="1">
      <alignment horizontal="left"/>
    </xf>
    <xf numFmtId="6" fontId="40" fillId="0" borderId="3" xfId="0" applyNumberFormat="1" applyFont="1" applyBorder="1" applyAlignment="1">
      <alignment horizontal="left"/>
    </xf>
    <xf numFmtId="0" fontId="40" fillId="35" borderId="0" xfId="0" applyFont="1" applyFill="1" applyAlignment="1">
      <alignment horizontal="left"/>
    </xf>
    <xf numFmtId="166" fontId="40" fillId="0" borderId="0" xfId="0" applyNumberFormat="1" applyFont="1" applyAlignment="1">
      <alignment horizontal="left"/>
    </xf>
    <xf numFmtId="166" fontId="51" fillId="0" borderId="0" xfId="0" applyNumberFormat="1" applyFont="1" applyAlignment="1">
      <alignment horizontal="left"/>
    </xf>
    <xf numFmtId="166" fontId="51" fillId="0" borderId="0" xfId="0" applyNumberFormat="1" applyFont="1" applyAlignment="1">
      <alignment horizontal="right" vertical="top"/>
    </xf>
    <xf numFmtId="166" fontId="41" fillId="0" borderId="0" xfId="0" applyNumberFormat="1" applyFont="1" applyAlignment="1">
      <alignment horizontal="left"/>
    </xf>
    <xf numFmtId="0" fontId="50" fillId="0" borderId="0" xfId="0" applyFont="1"/>
    <xf numFmtId="166" fontId="39" fillId="36" borderId="0" xfId="0" applyNumberFormat="1" applyFont="1" applyFill="1" applyAlignment="1">
      <alignment horizontal="left"/>
    </xf>
    <xf numFmtId="168" fontId="40" fillId="0" borderId="0" xfId="150" applyNumberFormat="1" applyFont="1" applyFill="1" applyBorder="1" applyAlignment="1" applyProtection="1">
      <alignment vertical="center"/>
    </xf>
    <xf numFmtId="0" fontId="53" fillId="0" borderId="0" xfId="0" applyFont="1" applyAlignment="1">
      <alignment vertical="center"/>
    </xf>
    <xf numFmtId="0" fontId="0" fillId="37" borderId="0" xfId="0" applyFill="1"/>
    <xf numFmtId="0" fontId="0" fillId="38" borderId="0" xfId="0" applyFill="1"/>
    <xf numFmtId="0" fontId="54" fillId="0" borderId="0" xfId="240" applyFont="1" applyAlignment="1">
      <alignment horizontal="center" wrapText="1"/>
    </xf>
    <xf numFmtId="1" fontId="56" fillId="0" borderId="3" xfId="240" applyNumberFormat="1" applyFont="1" applyBorder="1" applyAlignment="1">
      <alignment horizontal="center" wrapText="1"/>
    </xf>
    <xf numFmtId="0" fontId="6" fillId="0" borderId="0" xfId="240" applyFont="1"/>
    <xf numFmtId="0" fontId="6" fillId="0" borderId="0" xfId="240" applyFont="1" applyAlignment="1">
      <alignment horizontal="center"/>
    </xf>
    <xf numFmtId="0" fontId="6" fillId="0" borderId="0" xfId="240" applyFont="1" applyAlignment="1">
      <alignment vertical="top"/>
    </xf>
    <xf numFmtId="0" fontId="6" fillId="0" borderId="0" xfId="240" applyFont="1" applyAlignment="1">
      <alignment horizontal="center" vertical="top"/>
    </xf>
    <xf numFmtId="1" fontId="56" fillId="0" borderId="3" xfId="0" applyNumberFormat="1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166" fontId="6" fillId="0" borderId="0" xfId="0" applyNumberFormat="1" applyFont="1" applyAlignment="1">
      <alignment horizontal="left"/>
    </xf>
    <xf numFmtId="166" fontId="6" fillId="0" borderId="0" xfId="0" applyNumberFormat="1" applyFont="1" applyAlignment="1">
      <alignment horizontal="left" vertical="top"/>
    </xf>
    <xf numFmtId="166" fontId="56" fillId="0" borderId="3" xfId="0" applyNumberFormat="1" applyFont="1" applyBorder="1" applyAlignment="1">
      <alignment horizontal="center" wrapText="1"/>
    </xf>
    <xf numFmtId="166" fontId="56" fillId="0" borderId="4" xfId="0" applyNumberFormat="1" applyFont="1" applyBorder="1" applyAlignment="1">
      <alignment horizontal="center" wrapText="1"/>
    </xf>
    <xf numFmtId="166" fontId="56" fillId="0" borderId="3" xfId="36" applyNumberFormat="1" applyFont="1" applyFill="1" applyBorder="1" applyAlignment="1">
      <alignment horizontal="center" wrapText="1"/>
    </xf>
    <xf numFmtId="0" fontId="56" fillId="0" borderId="3" xfId="0" applyFont="1" applyBorder="1" applyAlignment="1">
      <alignment horizontal="center" wrapText="1"/>
    </xf>
    <xf numFmtId="0" fontId="55" fillId="0" borderId="3" xfId="0" applyFont="1" applyBorder="1" applyAlignment="1">
      <alignment horizontal="center" wrapText="1"/>
    </xf>
    <xf numFmtId="166" fontId="6" fillId="0" borderId="0" xfId="36" applyNumberFormat="1" applyFont="1" applyFill="1" applyBorder="1" applyAlignment="1" applyProtection="1">
      <alignment horizontal="left"/>
    </xf>
    <xf numFmtId="166" fontId="6" fillId="0" borderId="0" xfId="36" applyNumberFormat="1" applyFont="1" applyFill="1" applyBorder="1" applyAlignment="1" applyProtection="1">
      <alignment horizontal="left" vertical="top"/>
    </xf>
    <xf numFmtId="0" fontId="54" fillId="0" borderId="15" xfId="0" applyFont="1" applyBorder="1" applyAlignment="1">
      <alignment horizontal="center" wrapText="1"/>
    </xf>
    <xf numFmtId="1" fontId="6" fillId="0" borderId="0" xfId="0" applyNumberFormat="1" applyFont="1" applyAlignment="1">
      <alignment horizontal="left" vertical="top"/>
    </xf>
    <xf numFmtId="166" fontId="57" fillId="0" borderId="0" xfId="36" applyNumberFormat="1" applyFont="1" applyFill="1" applyAlignment="1">
      <alignment horizontal="left"/>
    </xf>
    <xf numFmtId="164" fontId="6" fillId="0" borderId="0" xfId="0" applyNumberFormat="1" applyFont="1" applyAlignment="1">
      <alignment horizontal="left" vertical="top"/>
    </xf>
    <xf numFmtId="0" fontId="0" fillId="0" borderId="0" xfId="240" applyFont="1" applyAlignment="1">
      <alignment horizontal="left"/>
    </xf>
    <xf numFmtId="0" fontId="51" fillId="0" borderId="0" xfId="0" applyFont="1" applyAlignment="1">
      <alignment horizontal="center"/>
    </xf>
    <xf numFmtId="0" fontId="51" fillId="0" borderId="5" xfId="0" applyFont="1" applyBorder="1" applyAlignment="1">
      <alignment horizontal="center"/>
    </xf>
  </cellXfs>
  <cellStyles count="245">
    <cellStyle name="20% - Accent1 2" xfId="1" xr:uid="{00000000-0005-0000-0000-000000000000}"/>
    <cellStyle name="20% - Accent1 2 2" xfId="159" xr:uid="{184165CB-43E8-4F3E-A6C3-7BFFF124E2C0}"/>
    <cellStyle name="20% - Accent2 2" xfId="2" xr:uid="{00000000-0005-0000-0000-000001000000}"/>
    <cellStyle name="20% - Accent2 2 2" xfId="160" xr:uid="{50618F27-D02C-4786-84EC-D22158A321F2}"/>
    <cellStyle name="20% - Accent3 2" xfId="3" xr:uid="{00000000-0005-0000-0000-000002000000}"/>
    <cellStyle name="20% - Accent3 2 2" xfId="161" xr:uid="{E105D602-B788-4BE2-BF73-102D77F2613F}"/>
    <cellStyle name="20% - Accent4 2" xfId="4" xr:uid="{00000000-0005-0000-0000-000003000000}"/>
    <cellStyle name="20% - Accent4 2 2" xfId="162" xr:uid="{56B2CDFA-0AD7-4108-B493-CFF2FC3CCB1C}"/>
    <cellStyle name="20% - Accent5" xfId="5" builtinId="46" customBuiltin="1"/>
    <cellStyle name="20% - Accent5 2" xfId="163" xr:uid="{13FBE928-3D18-40FD-922F-3A6AF91E8E82}"/>
    <cellStyle name="20% - Accent6" xfId="6" builtinId="50" customBuiltin="1"/>
    <cellStyle name="20% - Accent6 2" xfId="164" xr:uid="{2A6549FD-08DE-4D43-83B5-4241071481FD}"/>
    <cellStyle name="40% - Accent1 2" xfId="7" xr:uid="{00000000-0005-0000-0000-000006000000}"/>
    <cellStyle name="40% - Accent1 2 2" xfId="165" xr:uid="{5FCB1D08-D97A-4C52-8360-5DCA77F6AB3A}"/>
    <cellStyle name="40% - Accent2" xfId="8" builtinId="35" customBuiltin="1"/>
    <cellStyle name="40% - Accent2 2" xfId="166" xr:uid="{66C9CDAB-3321-4DAE-8A6F-4478A3E6FC47}"/>
    <cellStyle name="40% - Accent3 2" xfId="9" xr:uid="{00000000-0005-0000-0000-000008000000}"/>
    <cellStyle name="40% - Accent3 2 2" xfId="167" xr:uid="{313A9FDF-F6DF-4BB9-9656-51ABF5EF2D2A}"/>
    <cellStyle name="40% - Accent4 2" xfId="10" xr:uid="{00000000-0005-0000-0000-000009000000}"/>
    <cellStyle name="40% - Accent4 2 2" xfId="168" xr:uid="{3A029DF1-AAE0-456D-9732-3DF7605F50D3}"/>
    <cellStyle name="40% - Accent5" xfId="11" builtinId="47" customBuiltin="1"/>
    <cellStyle name="40% - Accent5 2" xfId="169" xr:uid="{8BED1E0E-8519-4F3E-8EC3-F8009A31B01C}"/>
    <cellStyle name="40% - Accent6 2" xfId="12" xr:uid="{00000000-0005-0000-0000-00000B000000}"/>
    <cellStyle name="40% - Accent6 2 2" xfId="170" xr:uid="{D3DD751A-ECBC-4546-B0CC-776EBC5B79A1}"/>
    <cellStyle name="60% - Accent1 2" xfId="13" xr:uid="{00000000-0005-0000-0000-00000C000000}"/>
    <cellStyle name="60% - Accent2" xfId="14" builtinId="36" customBuiltin="1"/>
    <cellStyle name="60% - Accent3 2" xfId="15" xr:uid="{00000000-0005-0000-0000-00000E000000}"/>
    <cellStyle name="60% - Accent4 2" xfId="16" xr:uid="{00000000-0005-0000-0000-00000F000000}"/>
    <cellStyle name="60% - Accent5" xfId="17" builtinId="48" customBuiltin="1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" xfId="23" builtinId="45" customBuiltin="1"/>
    <cellStyle name="Accent6" xfId="24" builtinId="49" customBuiltin="1"/>
    <cellStyle name="Bad 2" xfId="25" xr:uid="{00000000-0005-0000-0000-000018000000}"/>
    <cellStyle name="Calculation 2" xfId="26" xr:uid="{00000000-0005-0000-0000-000019000000}"/>
    <cellStyle name="Check Cell" xfId="27" builtinId="23" customBuiltin="1"/>
    <cellStyle name="Comma 2" xfId="28" xr:uid="{00000000-0005-0000-0000-00001B000000}"/>
    <cellStyle name="Comma 2 2" xfId="29" xr:uid="{00000000-0005-0000-0000-00001C000000}"/>
    <cellStyle name="Comma 3" xfId="30" xr:uid="{00000000-0005-0000-0000-00001D000000}"/>
    <cellStyle name="Comma 4" xfId="31" xr:uid="{00000000-0005-0000-0000-00001E000000}"/>
    <cellStyle name="Comma 4 2" xfId="32" xr:uid="{00000000-0005-0000-0000-00001F000000}"/>
    <cellStyle name="Comma 4 2 2" xfId="33" xr:uid="{00000000-0005-0000-0000-000020000000}"/>
    <cellStyle name="Comma 4 2 2 2" xfId="173" xr:uid="{EA71097D-0330-453E-9D4F-592B64972477}"/>
    <cellStyle name="Comma 4 2 3" xfId="172" xr:uid="{96C9B8EE-5ACC-4FE7-95CC-7F61D65B72B0}"/>
    <cellStyle name="Comma 4 3" xfId="34" xr:uid="{00000000-0005-0000-0000-000021000000}"/>
    <cellStyle name="Comma 4 3 2" xfId="174" xr:uid="{6C60281C-FF5C-43FA-9CE1-FC60C94AA8F4}"/>
    <cellStyle name="Comma 4 4" xfId="171" xr:uid="{05620575-140F-4AAE-8D1F-25100EBC73CD}"/>
    <cellStyle name="Comma 5" xfId="35" xr:uid="{00000000-0005-0000-0000-000022000000}"/>
    <cellStyle name="Currency" xfId="36" builtinId="4"/>
    <cellStyle name="Currency 10" xfId="37" xr:uid="{00000000-0005-0000-0000-000024000000}"/>
    <cellStyle name="Currency 10 2" xfId="175" xr:uid="{36900BA9-F366-4B3B-AB83-8DB8C527A185}"/>
    <cellStyle name="Currency 11" xfId="157" xr:uid="{4012A62F-CF7E-440D-AB0D-CB54F5D28ED6}"/>
    <cellStyle name="Currency 11 2" xfId="238" xr:uid="{E7B888D0-4EE5-46F6-9575-0256441F8490}"/>
    <cellStyle name="Currency 12" xfId="241" xr:uid="{68EDA6AA-D6A5-4AC4-BBC9-BB5BF141E571}"/>
    <cellStyle name="Currency 2" xfId="38" xr:uid="{00000000-0005-0000-0000-000025000000}"/>
    <cellStyle name="Currency 2 2" xfId="39" xr:uid="{00000000-0005-0000-0000-000026000000}"/>
    <cellStyle name="Currency 2 3" xfId="40" xr:uid="{00000000-0005-0000-0000-000027000000}"/>
    <cellStyle name="Currency 2 3 2" xfId="41" xr:uid="{00000000-0005-0000-0000-000028000000}"/>
    <cellStyle name="Currency 2 3 2 2" xfId="177" xr:uid="{61553687-61B6-48A1-85DC-CE9D455089ED}"/>
    <cellStyle name="Currency 2 4" xfId="176" xr:uid="{40D860AB-90A5-48F7-B43A-BB14AC360027}"/>
    <cellStyle name="Currency 3" xfId="42" xr:uid="{00000000-0005-0000-0000-000029000000}"/>
    <cellStyle name="Currency 3 2" xfId="43" xr:uid="{00000000-0005-0000-0000-00002A000000}"/>
    <cellStyle name="Currency 3 2 2" xfId="178" xr:uid="{360AD2B5-2E8D-474E-9DC5-0A892AA42988}"/>
    <cellStyle name="Currency 3 3" xfId="44" xr:uid="{00000000-0005-0000-0000-00002B000000}"/>
    <cellStyle name="Currency 4" xfId="45" xr:uid="{00000000-0005-0000-0000-00002C000000}"/>
    <cellStyle name="Currency 4 2" xfId="46" xr:uid="{00000000-0005-0000-0000-00002D000000}"/>
    <cellStyle name="Currency 4 2 2" xfId="180" xr:uid="{09ABA7E0-62BC-43CF-BF2F-677FA2C5FB20}"/>
    <cellStyle name="Currency 4 3" xfId="47" xr:uid="{00000000-0005-0000-0000-00002E000000}"/>
    <cellStyle name="Currency 4 3 2" xfId="48" xr:uid="{00000000-0005-0000-0000-00002F000000}"/>
    <cellStyle name="Currency 4 3 2 2" xfId="182" xr:uid="{335ED845-D4FC-43AC-A2C5-52B2F116DFE7}"/>
    <cellStyle name="Currency 4 3 3" xfId="181" xr:uid="{A07FB1E6-F5C1-46D8-A7AB-5822387CEDD0}"/>
    <cellStyle name="Currency 4 4" xfId="49" xr:uid="{00000000-0005-0000-0000-000030000000}"/>
    <cellStyle name="Currency 4 5" xfId="179" xr:uid="{7DDEA8C4-9DCD-42D7-89C7-B7E56C691DC5}"/>
    <cellStyle name="Currency 5" xfId="50" xr:uid="{00000000-0005-0000-0000-000031000000}"/>
    <cellStyle name="Currency 5 2" xfId="51" xr:uid="{00000000-0005-0000-0000-000032000000}"/>
    <cellStyle name="Currency 5 2 2" xfId="52" xr:uid="{00000000-0005-0000-0000-000033000000}"/>
    <cellStyle name="Currency 5 2 2 2" xfId="185" xr:uid="{56BB2895-A8D3-4D8F-8E12-4D214374B429}"/>
    <cellStyle name="Currency 5 2 3" xfId="184" xr:uid="{25189F6F-30A7-464A-84D8-6E033D6DEB5E}"/>
    <cellStyle name="Currency 5 3" xfId="53" xr:uid="{00000000-0005-0000-0000-000034000000}"/>
    <cellStyle name="Currency 5 3 2" xfId="186" xr:uid="{95F3D0AB-A0A5-4619-A7AD-B6F98424E614}"/>
    <cellStyle name="Currency 5 4" xfId="183" xr:uid="{EE925260-4DB4-4918-BE34-8370F68DB3E4}"/>
    <cellStyle name="Currency 6" xfId="54" xr:uid="{00000000-0005-0000-0000-000035000000}"/>
    <cellStyle name="Currency 6 2" xfId="55" xr:uid="{00000000-0005-0000-0000-000036000000}"/>
    <cellStyle name="Currency 6 3" xfId="187" xr:uid="{168519F7-763A-46A9-B927-D129C597AC8E}"/>
    <cellStyle name="Currency 7" xfId="56" xr:uid="{00000000-0005-0000-0000-000037000000}"/>
    <cellStyle name="Currency 7 2" xfId="57" xr:uid="{00000000-0005-0000-0000-000038000000}"/>
    <cellStyle name="Currency 7 2 2" xfId="189" xr:uid="{405A7026-90BD-4DA5-823D-679E96067B81}"/>
    <cellStyle name="Currency 7 3" xfId="58" xr:uid="{00000000-0005-0000-0000-000039000000}"/>
    <cellStyle name="Currency 7 3 2" xfId="190" xr:uid="{ECB7DDD7-0129-4308-9101-7F5ED9A99F04}"/>
    <cellStyle name="Currency 7 4" xfId="59" xr:uid="{00000000-0005-0000-0000-00003A000000}"/>
    <cellStyle name="Currency 7 4 2" xfId="191" xr:uid="{127E9BD1-8684-4A06-897D-43120BDAFB61}"/>
    <cellStyle name="Currency 7 5" xfId="188" xr:uid="{3DFB21A8-C278-43D7-9A8F-E78B91B67443}"/>
    <cellStyle name="Currency 8" xfId="60" xr:uid="{00000000-0005-0000-0000-00003B000000}"/>
    <cellStyle name="Currency 8 2" xfId="192" xr:uid="{ED8CAB5B-303A-4E73-A10F-069A05D495D5}"/>
    <cellStyle name="Currency 9" xfId="61" xr:uid="{00000000-0005-0000-0000-00003C000000}"/>
    <cellStyle name="Currency 9 2" xfId="193" xr:uid="{902D9DF1-1D94-4EF4-9A98-0D0B417F54E7}"/>
    <cellStyle name="Explanatory Text" xfId="62" builtinId="53" customBuiltin="1"/>
    <cellStyle name="Good" xfId="63" builtinId="26" customBuiltin="1"/>
    <cellStyle name="Heading 1 2" xfId="64" xr:uid="{00000000-0005-0000-0000-00003F000000}"/>
    <cellStyle name="Heading 2 2" xfId="65" xr:uid="{00000000-0005-0000-0000-000040000000}"/>
    <cellStyle name="Heading 3 2" xfId="66" xr:uid="{00000000-0005-0000-0000-000041000000}"/>
    <cellStyle name="Heading 4 2" xfId="67" xr:uid="{00000000-0005-0000-0000-000042000000}"/>
    <cellStyle name="Hyperlink 2" xfId="68" xr:uid="{00000000-0005-0000-0000-000043000000}"/>
    <cellStyle name="Input" xfId="69" builtinId="20" customBuiltin="1"/>
    <cellStyle name="Label" xfId="70" xr:uid="{00000000-0005-0000-0000-000045000000}"/>
    <cellStyle name="Label No Shade" xfId="71" xr:uid="{00000000-0005-0000-0000-000046000000}"/>
    <cellStyle name="Label Shaded" xfId="72" xr:uid="{00000000-0005-0000-0000-000047000000}"/>
    <cellStyle name="Linked Cell" xfId="73" builtinId="24" customBuiltin="1"/>
    <cellStyle name="Neutral" xfId="74" builtinId="28" customBuiltin="1"/>
    <cellStyle name="Normal" xfId="0" builtinId="0"/>
    <cellStyle name="Normal 10" xfId="75" xr:uid="{00000000-0005-0000-0000-00004B000000}"/>
    <cellStyle name="Normal 10 2" xfId="76" xr:uid="{00000000-0005-0000-0000-00004C000000}"/>
    <cellStyle name="Normal 11" xfId="77" xr:uid="{00000000-0005-0000-0000-00004D000000}"/>
    <cellStyle name="Normal 12" xfId="78" xr:uid="{00000000-0005-0000-0000-00004E000000}"/>
    <cellStyle name="Normal 12 2" xfId="194" xr:uid="{A8DE2207-B5F5-4D78-BB48-918EBD948912}"/>
    <cellStyle name="Normal 13" xfId="79" xr:uid="{00000000-0005-0000-0000-00004F000000}"/>
    <cellStyle name="Normal 13 2" xfId="195" xr:uid="{4F4E3372-6D7F-4666-81BA-73F23A33CE05}"/>
    <cellStyle name="Normal 14" xfId="80" xr:uid="{00000000-0005-0000-0000-000050000000}"/>
    <cellStyle name="Normal 14 2" xfId="196" xr:uid="{AAD806A2-460C-4F28-9928-7A67E40414DD}"/>
    <cellStyle name="Normal 15" xfId="81" xr:uid="{00000000-0005-0000-0000-000051000000}"/>
    <cellStyle name="Normal 15 2" xfId="197" xr:uid="{44FA3F94-2CA1-488D-80BF-6BAE6A03816B}"/>
    <cellStyle name="Normal 16" xfId="156" xr:uid="{C8FAAC07-410B-4282-BC7C-9A07B5C0F87C}"/>
    <cellStyle name="Normal 16 2" xfId="237" xr:uid="{0C8C933D-05D2-464F-B437-0F75ABC7FA8F}"/>
    <cellStyle name="Normal 17" xfId="240" xr:uid="{D8628716-7E5F-4708-B0A1-B7E497EEEEDD}"/>
    <cellStyle name="Normal 17 2" xfId="243" xr:uid="{80EA1F34-06E2-451F-A7C9-DE9BD6046A55}"/>
    <cellStyle name="Normal 17 2 2" xfId="244" xr:uid="{DF503A57-8A03-416A-96B0-5D89F729D489}"/>
    <cellStyle name="Normal 2" xfId="82" xr:uid="{00000000-0005-0000-0000-000052000000}"/>
    <cellStyle name="Normal 2 2" xfId="83" xr:uid="{00000000-0005-0000-0000-000053000000}"/>
    <cellStyle name="Normal 2 2 2" xfId="84" xr:uid="{00000000-0005-0000-0000-000054000000}"/>
    <cellStyle name="Normal 2 2 2 2" xfId="85" xr:uid="{00000000-0005-0000-0000-000055000000}"/>
    <cellStyle name="Normal 2 2 3" xfId="199" xr:uid="{A21E113D-06AA-46D9-9B8C-A8DD15163969}"/>
    <cellStyle name="Normal 2 3" xfId="86" xr:uid="{00000000-0005-0000-0000-000056000000}"/>
    <cellStyle name="Normal 2 3 2" xfId="87" xr:uid="{00000000-0005-0000-0000-000057000000}"/>
    <cellStyle name="Normal 2 4" xfId="88" xr:uid="{00000000-0005-0000-0000-000058000000}"/>
    <cellStyle name="Normal 2 4 2" xfId="89" xr:uid="{00000000-0005-0000-0000-000059000000}"/>
    <cellStyle name="Normal 2 4 2 2" xfId="90" xr:uid="{00000000-0005-0000-0000-00005A000000}"/>
    <cellStyle name="Normal 2 4 2 3" xfId="91" xr:uid="{00000000-0005-0000-0000-00005B000000}"/>
    <cellStyle name="Normal 2 4 2 3 2" xfId="201" xr:uid="{FA534D2A-9926-40E3-AE60-B02431570E3D}"/>
    <cellStyle name="Normal 2 4 2 4" xfId="200" xr:uid="{3DDDEFCF-0B60-4D7E-B3C0-EEDC50E89DAD}"/>
    <cellStyle name="Normal 2 4 3" xfId="92" xr:uid="{00000000-0005-0000-0000-00005C000000}"/>
    <cellStyle name="Normal 2 4 3 2" xfId="93" xr:uid="{00000000-0005-0000-0000-00005D000000}"/>
    <cellStyle name="Normal 2 4 3 3" xfId="202" xr:uid="{069C24A6-EB2E-474A-83B0-213B20A98408}"/>
    <cellStyle name="Normal 2 4 4" xfId="94" xr:uid="{00000000-0005-0000-0000-00005E000000}"/>
    <cellStyle name="Normal 2 4 5" xfId="95" xr:uid="{00000000-0005-0000-0000-00005F000000}"/>
    <cellStyle name="Normal 2 4 5 2" xfId="203" xr:uid="{53A0202E-B8DE-4A56-81E4-1375B9D045C9}"/>
    <cellStyle name="Normal 2 5" xfId="96" xr:uid="{00000000-0005-0000-0000-000060000000}"/>
    <cellStyle name="Normal 2 5 2" xfId="97" xr:uid="{00000000-0005-0000-0000-000061000000}"/>
    <cellStyle name="Normal 2 5 3" xfId="98" xr:uid="{00000000-0005-0000-0000-000062000000}"/>
    <cellStyle name="Normal 2 5 4" xfId="204" xr:uid="{CDC4A4B4-3219-4B19-91B2-8F09B0807BE9}"/>
    <cellStyle name="Normal 2 6" xfId="99" xr:uid="{00000000-0005-0000-0000-000063000000}"/>
    <cellStyle name="Normal 2 7" xfId="198" xr:uid="{6B30EAC3-DE92-437D-A1B6-ADCAAFBACAF9}"/>
    <cellStyle name="Normal 3" xfId="100" xr:uid="{00000000-0005-0000-0000-000064000000}"/>
    <cellStyle name="Normal 3 2" xfId="101" xr:uid="{00000000-0005-0000-0000-000065000000}"/>
    <cellStyle name="Normal 3 2 2" xfId="102" xr:uid="{00000000-0005-0000-0000-000066000000}"/>
    <cellStyle name="Normal 3 2 2 2" xfId="207" xr:uid="{3AB9F172-D639-4CA0-9E0C-3CADE9F2D503}"/>
    <cellStyle name="Normal 3 2 3" xfId="206" xr:uid="{315B5F24-6C42-4868-A59B-A59499B429A8}"/>
    <cellStyle name="Normal 3 3" xfId="103" xr:uid="{00000000-0005-0000-0000-000067000000}"/>
    <cellStyle name="Normal 3 3 2" xfId="104" xr:uid="{00000000-0005-0000-0000-000068000000}"/>
    <cellStyle name="Normal 3 4" xfId="105" xr:uid="{00000000-0005-0000-0000-000069000000}"/>
    <cellStyle name="Normal 3 5" xfId="106" xr:uid="{00000000-0005-0000-0000-00006A000000}"/>
    <cellStyle name="Normal 3 6" xfId="205" xr:uid="{86E65917-A7EA-4254-8EF1-F822845FC3B5}"/>
    <cellStyle name="Normal 4" xfId="107" xr:uid="{00000000-0005-0000-0000-00006B000000}"/>
    <cellStyle name="Normal 4 2" xfId="108" xr:uid="{00000000-0005-0000-0000-00006C000000}"/>
    <cellStyle name="Normal 4 2 2" xfId="109" xr:uid="{00000000-0005-0000-0000-00006D000000}"/>
    <cellStyle name="Normal 4 2 2 2" xfId="110" xr:uid="{00000000-0005-0000-0000-00006E000000}"/>
    <cellStyle name="Normal 4 2 2 3" xfId="111" xr:uid="{00000000-0005-0000-0000-00006F000000}"/>
    <cellStyle name="Normal 4 2 2 3 2" xfId="209" xr:uid="{228154DB-C1CB-4FD9-930C-B43F7375A352}"/>
    <cellStyle name="Normal 4 2 2 4" xfId="208" xr:uid="{7FFFEFC2-C948-4991-915A-5AA5E335C5FB}"/>
    <cellStyle name="Normal 4 2 3" xfId="112" xr:uid="{00000000-0005-0000-0000-000070000000}"/>
    <cellStyle name="Normal 4 2 4" xfId="113" xr:uid="{00000000-0005-0000-0000-000071000000}"/>
    <cellStyle name="Normal 4 2 4 2" xfId="210" xr:uid="{E4ACBBBE-154E-4C65-BEC1-AE117B4C6292}"/>
    <cellStyle name="Normal 4 3" xfId="114" xr:uid="{00000000-0005-0000-0000-000072000000}"/>
    <cellStyle name="Normal 4 3 2" xfId="115" xr:uid="{00000000-0005-0000-0000-000073000000}"/>
    <cellStyle name="Normal 4 3 2 2" xfId="116" xr:uid="{00000000-0005-0000-0000-000074000000}"/>
    <cellStyle name="Normal 4 3 2 2 2" xfId="117" xr:uid="{00000000-0005-0000-0000-000075000000}"/>
    <cellStyle name="Normal 4 3 2 2 2 2" xfId="213" xr:uid="{88F7361D-2171-42BE-B832-76448CBB944D}"/>
    <cellStyle name="Normal 4 3 2 3" xfId="212" xr:uid="{BA2C958A-13C1-4EA9-B6C1-F90DE8412721}"/>
    <cellStyle name="Normal 4 3 3" xfId="211" xr:uid="{EDCCAB4D-BF93-4318-B851-5AE4EA105DE4}"/>
    <cellStyle name="Normal 4 4" xfId="118" xr:uid="{00000000-0005-0000-0000-000076000000}"/>
    <cellStyle name="Normal 4 4 2" xfId="119" xr:uid="{00000000-0005-0000-0000-000077000000}"/>
    <cellStyle name="Normal 4 4 2 2" xfId="215" xr:uid="{C8609E04-37B2-4F92-9665-6CCE1CA376C1}"/>
    <cellStyle name="Normal 4 4 3" xfId="214" xr:uid="{4211DA50-3FB0-4C92-9F59-00F61D5C657F}"/>
    <cellStyle name="Normal 4 5" xfId="120" xr:uid="{00000000-0005-0000-0000-000078000000}"/>
    <cellStyle name="Normal 4 6" xfId="121" xr:uid="{00000000-0005-0000-0000-000079000000}"/>
    <cellStyle name="Normal 4 6 2" xfId="216" xr:uid="{7F6B807A-F448-4C5B-A6BD-F70F16247F3A}"/>
    <cellStyle name="Normal 5" xfId="122" xr:uid="{00000000-0005-0000-0000-00007A000000}"/>
    <cellStyle name="Normal 5 2" xfId="123" xr:uid="{00000000-0005-0000-0000-00007B000000}"/>
    <cellStyle name="Normal 5 2 2" xfId="124" xr:uid="{00000000-0005-0000-0000-00007C000000}"/>
    <cellStyle name="Normal 5 2 2 2" xfId="125" xr:uid="{00000000-0005-0000-0000-00007D000000}"/>
    <cellStyle name="Normal 5 2 2 2 2" xfId="220" xr:uid="{33808FDD-3902-4D61-927A-4FF3367FC847}"/>
    <cellStyle name="Normal 5 2 2 3" xfId="219" xr:uid="{3FC3183C-A10B-43CC-9BF3-AE3D326A4A74}"/>
    <cellStyle name="Normal 5 2 3" xfId="126" xr:uid="{00000000-0005-0000-0000-00007E000000}"/>
    <cellStyle name="Normal 5 2 3 2" xfId="221" xr:uid="{2D4CC624-787F-47D5-872A-341BF7E46AF3}"/>
    <cellStyle name="Normal 5 2 4" xfId="218" xr:uid="{40076806-B838-418D-9B8F-89BD00A74930}"/>
    <cellStyle name="Normal 5 3" xfId="127" xr:uid="{00000000-0005-0000-0000-00007F000000}"/>
    <cellStyle name="Normal 5 3 2" xfId="128" xr:uid="{00000000-0005-0000-0000-000080000000}"/>
    <cellStyle name="Normal 5 3 2 2" xfId="223" xr:uid="{D8F53A90-A842-4F5A-9DDC-027379410320}"/>
    <cellStyle name="Normal 5 3 3" xfId="129" xr:uid="{00000000-0005-0000-0000-000081000000}"/>
    <cellStyle name="Normal 5 3 3 2" xfId="224" xr:uid="{3C496F11-BDDA-4F78-B2D0-C0CECCEB47CB}"/>
    <cellStyle name="Normal 5 3 4" xfId="222" xr:uid="{A0A6EFC4-333D-4A89-A226-36E474548FC4}"/>
    <cellStyle name="Normal 5 4" xfId="130" xr:uid="{00000000-0005-0000-0000-000082000000}"/>
    <cellStyle name="Normal 5 4 2" xfId="225" xr:uid="{0ED54AF6-E9D2-4D9F-802A-B669AB70CD85}"/>
    <cellStyle name="Normal 5 5" xfId="217" xr:uid="{9DA246FD-2E39-4DB2-B724-A2F88BDBF273}"/>
    <cellStyle name="Normal 6" xfId="131" xr:uid="{00000000-0005-0000-0000-000083000000}"/>
    <cellStyle name="Normal 6 2" xfId="132" xr:uid="{00000000-0005-0000-0000-000084000000}"/>
    <cellStyle name="Normal 6 3" xfId="133" xr:uid="{00000000-0005-0000-0000-000085000000}"/>
    <cellStyle name="Normal 6 3 2" xfId="134" xr:uid="{00000000-0005-0000-0000-000086000000}"/>
    <cellStyle name="Normal 7" xfId="135" xr:uid="{00000000-0005-0000-0000-000087000000}"/>
    <cellStyle name="Normal 7 2" xfId="136" xr:uid="{00000000-0005-0000-0000-000088000000}"/>
    <cellStyle name="Normal 8" xfId="137" xr:uid="{00000000-0005-0000-0000-000089000000}"/>
    <cellStyle name="Normal 8 2" xfId="138" xr:uid="{00000000-0005-0000-0000-00008A000000}"/>
    <cellStyle name="Normal 8 2 2" xfId="139" xr:uid="{00000000-0005-0000-0000-00008B000000}"/>
    <cellStyle name="Normal 8 2 2 2" xfId="228" xr:uid="{F56DD0A9-B72B-4769-A28E-770E7420BBE3}"/>
    <cellStyle name="Normal 8 2 3" xfId="227" xr:uid="{5B70D36C-20B9-4C48-B145-C2AE422DEECD}"/>
    <cellStyle name="Normal 8 3" xfId="140" xr:uid="{00000000-0005-0000-0000-00008C000000}"/>
    <cellStyle name="Normal 8 3 2" xfId="229" xr:uid="{1E92661B-EB04-4C39-9D53-4913EEBC79D2}"/>
    <cellStyle name="Normal 8 4" xfId="226" xr:uid="{92D7492F-86F0-4AA2-9568-F7C0B7BFEBD3}"/>
    <cellStyle name="Normal 9" xfId="141" xr:uid="{00000000-0005-0000-0000-00008D000000}"/>
    <cellStyle name="Normal 9 2" xfId="142" xr:uid="{00000000-0005-0000-0000-00008E000000}"/>
    <cellStyle name="Normal 9 2 2" xfId="143" xr:uid="{00000000-0005-0000-0000-00008F000000}"/>
    <cellStyle name="Normal 9 2 2 2" xfId="232" xr:uid="{73ADE5AA-9720-491B-9633-9B318457F5F9}"/>
    <cellStyle name="Normal 9 2 3" xfId="231" xr:uid="{300BA7C8-A327-4419-98E1-3B7F48EAD8B5}"/>
    <cellStyle name="Normal 9 3" xfId="144" xr:uid="{00000000-0005-0000-0000-000090000000}"/>
    <cellStyle name="Normal 9 3 2" xfId="233" xr:uid="{58F715DC-2805-4C41-A2FA-AC96ABD65A31}"/>
    <cellStyle name="Normal 9 4" xfId="230" xr:uid="{FA3256DF-6B32-4355-9DB1-4BE7917C137D}"/>
    <cellStyle name="Normal_MAINLST" xfId="145" xr:uid="{00000000-0005-0000-0000-000091000000}"/>
    <cellStyle name="Normal_Sheet1" xfId="146" xr:uid="{00000000-0005-0000-0000-000092000000}"/>
    <cellStyle name="Note 2" xfId="147" xr:uid="{00000000-0005-0000-0000-000093000000}"/>
    <cellStyle name="Note 2 2" xfId="234" xr:uid="{C4846DAF-3275-481D-97E2-E17B419ABA63}"/>
    <cellStyle name="Note 3" xfId="148" xr:uid="{00000000-0005-0000-0000-000094000000}"/>
    <cellStyle name="Note 3 2" xfId="235" xr:uid="{E173853C-6C30-4FD9-937C-E0F0625E1D71}"/>
    <cellStyle name="Output 2" xfId="149" xr:uid="{00000000-0005-0000-0000-000095000000}"/>
    <cellStyle name="Percent" xfId="150" builtinId="5"/>
    <cellStyle name="Percent 2" xfId="151" xr:uid="{00000000-0005-0000-0000-000097000000}"/>
    <cellStyle name="Percent 2 2" xfId="236" xr:uid="{77726B96-316B-4BDD-9A11-FD5741A91162}"/>
    <cellStyle name="Percent 3" xfId="158" xr:uid="{34C414E2-FE71-4861-B57F-A531B52E5675}"/>
    <cellStyle name="Percent 3 2" xfId="239" xr:uid="{707886E2-9943-482F-BD01-24895549443E}"/>
    <cellStyle name="Percent 4" xfId="242" xr:uid="{830539F5-CE9B-44AA-8D31-CC46B15A607A}"/>
    <cellStyle name="Text Entry" xfId="152" xr:uid="{00000000-0005-0000-0000-000098000000}"/>
    <cellStyle name="Title 2" xfId="153" xr:uid="{00000000-0005-0000-0000-000099000000}"/>
    <cellStyle name="Total 2" xfId="154" xr:uid="{00000000-0005-0000-0000-00009A000000}"/>
    <cellStyle name="Warning Text" xfId="15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ltreasurer-my.sharepoint.com/2021%20Allocations/2021%20Ranking%20Lists/R3/2021%20CDLAC%20Ranking%20Sort%20R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REVIEWS"/>
      <sheetName val="PRELIMINARY LIST"/>
      <sheetName val="FINAL LIST"/>
      <sheetName val="FINAL LIST UPDATED 12.31"/>
      <sheetName val="Final List Updated 12.6 with Ap"/>
      <sheetName val="Final List of Awards"/>
      <sheetName val="SORT 11.8 UPDATE"/>
      <sheetName val="SORT 11.8 with Appeal "/>
      <sheetName val="RANKED APPLICANT LIST"/>
      <sheetName val="ASSIGNMENTS"/>
      <sheetName val="2021 R3 APPLICANT LIST"/>
      <sheetName val="SORT"/>
      <sheetName val="SORT 10.28 UP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APPLICATION NUMBER</v>
          </cell>
          <cell r="B1" t="str">
            <v>PROJECT NAME</v>
          </cell>
          <cell r="C1" t="str">
            <v>TOTAL UNITS</v>
          </cell>
          <cell r="D1" t="str">
            <v>LOW INCOME UNITS</v>
          </cell>
          <cell r="E1" t="str">
            <v>HOUSING TYPE</v>
          </cell>
          <cell r="F1" t="str">
            <v>CITY</v>
          </cell>
          <cell r="G1" t="str">
            <v>COUNTY</v>
          </cell>
          <cell r="H1" t="str">
            <v>CONSTRUCTION BOND TAX-EXEMPT FINANCING AMOUNT</v>
          </cell>
          <cell r="I1" t="str">
            <v>CDLAC TOTAL POINTS SCORE</v>
          </cell>
          <cell r="J1" t="str">
            <v>CDLAC TIE-BREAKER SELF SCORE</v>
          </cell>
          <cell r="K1" t="str">
            <v>AWARD</v>
          </cell>
          <cell r="L1" t="str">
            <v xml:space="preserve">CDLAC POOL </v>
          </cell>
          <cell r="M1" t="str">
            <v>NC POOL SELECTION: HOMELESS, ELI/VLI, MIP</v>
          </cell>
          <cell r="N1" t="str">
            <v>CDLAC GEOGRAPHIC REGION FOR NC</v>
          </cell>
          <cell r="O1" t="str">
            <v>MARKET RATE UNITS</v>
          </cell>
          <cell r="P1" t="str">
            <v>TOTAL PROJECT COST</v>
          </cell>
          <cell r="Q1" t="str">
            <v>ANNUAL FEDERAL CREDIT REQUESTED</v>
          </cell>
          <cell r="R1" t="str">
            <v>TOTAL STATE CREDIT REQUESTED</v>
          </cell>
          <cell r="S1" t="str">
            <v>Average Targeted Affordability of Tax Credit Units (must be at least 50%)</v>
          </cell>
          <cell r="T1" t="str">
            <v>NUMBER OF HOMELESS UNITS</v>
          </cell>
          <cell r="U1" t="str">
            <v>PERCENT OF HOMELESS UNITS</v>
          </cell>
          <cell r="V1" t="str">
            <v xml:space="preserve">CONSTRUCTION TYPE </v>
          </cell>
          <cell r="W1" t="str">
            <v>RECYCLED BONDS</v>
          </cell>
          <cell r="X1" t="str">
            <v>APPLICANT</v>
          </cell>
          <cell r="Y1" t="str">
            <v>CDLAC APPLICANT</v>
          </cell>
          <cell r="Z1" t="str">
            <v>PARTNERSHIP NAME</v>
          </cell>
          <cell r="AA1" t="str">
            <v>GP 1 COMPANY NAME</v>
          </cell>
          <cell r="AB1" t="str">
            <v>GP 1 CONTACT NAME</v>
          </cell>
          <cell r="AC1" t="str">
            <v>GP 1 PARENT COMPANY</v>
          </cell>
          <cell r="AD1" t="str">
            <v xml:space="preserve">GP 2 COMPANY NAME </v>
          </cell>
          <cell r="AE1" t="str">
            <v xml:space="preserve">GP 2 CONTACT NAME </v>
          </cell>
          <cell r="AF1" t="str">
            <v>GP 2 PARENT COMPANY</v>
          </cell>
          <cell r="AG1" t="str">
            <v xml:space="preserve">GP 3 COMPANY NAME </v>
          </cell>
          <cell r="AH1" t="str">
            <v xml:space="preserve">GP 3 CONTACT NAME </v>
          </cell>
          <cell r="AI1" t="str">
            <v>GP 3 PARENT COMPANY</v>
          </cell>
        </row>
        <row r="2">
          <cell r="A2" t="str">
            <v>CA-21-680</v>
          </cell>
          <cell r="B2" t="str">
            <v>Terracina at Whitney Ranch</v>
          </cell>
          <cell r="C2">
            <v>288</v>
          </cell>
          <cell r="D2">
            <v>285</v>
          </cell>
          <cell r="E2" t="str">
            <v>Large Family</v>
          </cell>
          <cell r="F2" t="str">
            <v>Rocklin</v>
          </cell>
          <cell r="G2" t="str">
            <v>Placer</v>
          </cell>
          <cell r="H2">
            <v>48000000</v>
          </cell>
          <cell r="I2">
            <v>120</v>
          </cell>
          <cell r="J2">
            <v>104312.03374756334</v>
          </cell>
          <cell r="K2" t="str">
            <v>G</v>
          </cell>
          <cell r="L2" t="str">
            <v>New Construction</v>
          </cell>
          <cell r="N2" t="str">
            <v>Northern</v>
          </cell>
          <cell r="O2">
            <v>0</v>
          </cell>
          <cell r="P2">
            <v>94342704</v>
          </cell>
          <cell r="Q2">
            <v>4756876</v>
          </cell>
          <cell r="R2">
            <v>2842825</v>
          </cell>
          <cell r="S2">
            <v>0.59824561403508758</v>
          </cell>
          <cell r="T2">
            <v>0</v>
          </cell>
          <cell r="U2">
            <v>0</v>
          </cell>
          <cell r="V2" t="str">
            <v>New Construction</v>
          </cell>
          <cell r="X2" t="str">
            <v>California Municipal Finance Authority</v>
          </cell>
        </row>
        <row r="3">
          <cell r="A3" t="str">
            <v>CA-21-670</v>
          </cell>
          <cell r="B3" t="str">
            <v>Canterbury Village</v>
          </cell>
          <cell r="C3">
            <v>64</v>
          </cell>
          <cell r="D3">
            <v>63</v>
          </cell>
          <cell r="E3" t="str">
            <v>Non-Targeted</v>
          </cell>
          <cell r="F3" t="str">
            <v>Santa Clarita</v>
          </cell>
          <cell r="G3" t="str">
            <v>Los Angeles</v>
          </cell>
          <cell r="H3">
            <v>11404000</v>
          </cell>
          <cell r="I3">
            <v>113</v>
          </cell>
          <cell r="J3">
            <v>134031.38706140351</v>
          </cell>
          <cell r="K3" t="str">
            <v>P</v>
          </cell>
          <cell r="L3" t="str">
            <v>Preservation</v>
          </cell>
          <cell r="N3" t="str">
            <v>Balance of LA County</v>
          </cell>
          <cell r="O3">
            <v>0</v>
          </cell>
          <cell r="P3">
            <v>23321104</v>
          </cell>
          <cell r="Q3">
            <v>934822</v>
          </cell>
          <cell r="R3">
            <v>0</v>
          </cell>
          <cell r="S3">
            <v>0.5</v>
          </cell>
          <cell r="T3">
            <v>0</v>
          </cell>
          <cell r="U3">
            <v>0</v>
          </cell>
          <cell r="V3" t="str">
            <v>Acquisition &amp; Rehabilitation</v>
          </cell>
          <cell r="X3" t="str">
            <v>California Municipal Finance Authority</v>
          </cell>
        </row>
        <row r="4">
          <cell r="A4" t="str">
            <v>CA-21-671</v>
          </cell>
          <cell r="B4" t="str">
            <v>The Gardens</v>
          </cell>
          <cell r="C4">
            <v>75</v>
          </cell>
          <cell r="D4">
            <v>74</v>
          </cell>
          <cell r="E4" t="str">
            <v>Non-Targeted</v>
          </cell>
          <cell r="F4" t="str">
            <v>Glendale</v>
          </cell>
          <cell r="G4" t="str">
            <v>Los Angeles</v>
          </cell>
          <cell r="H4">
            <v>16496000</v>
          </cell>
          <cell r="I4">
            <v>113</v>
          </cell>
          <cell r="J4">
            <v>169510.59342344932</v>
          </cell>
          <cell r="K4" t="str">
            <v>P</v>
          </cell>
          <cell r="L4" t="str">
            <v>Preservation</v>
          </cell>
          <cell r="N4" t="str">
            <v>Balance of LA County</v>
          </cell>
          <cell r="O4">
            <v>0</v>
          </cell>
          <cell r="P4">
            <v>33396533</v>
          </cell>
          <cell r="Q4">
            <v>1212138</v>
          </cell>
          <cell r="R4">
            <v>0</v>
          </cell>
          <cell r="S4">
            <v>0.5</v>
          </cell>
          <cell r="T4">
            <v>0</v>
          </cell>
          <cell r="U4">
            <v>0</v>
          </cell>
          <cell r="V4" t="str">
            <v>Acquisition &amp; Rehabilitation</v>
          </cell>
          <cell r="X4" t="str">
            <v>California Municipal Finance Authority</v>
          </cell>
        </row>
        <row r="5">
          <cell r="A5" t="str">
            <v>CA-21-757</v>
          </cell>
          <cell r="B5" t="str">
            <v>Lynx Family Housing</v>
          </cell>
          <cell r="C5">
            <v>144</v>
          </cell>
          <cell r="D5">
            <v>142</v>
          </cell>
          <cell r="E5" t="str">
            <v>Large Family</v>
          </cell>
          <cell r="F5" t="str">
            <v>Irvine</v>
          </cell>
          <cell r="G5" t="str">
            <v>Orange</v>
          </cell>
          <cell r="H5">
            <v>32110131.1768617</v>
          </cell>
          <cell r="I5">
            <v>120</v>
          </cell>
          <cell r="J5">
            <v>130975.53434210527</v>
          </cell>
          <cell r="K5" t="str">
            <v>G</v>
          </cell>
          <cell r="L5" t="str">
            <v>New Construction</v>
          </cell>
          <cell r="M5" t="str">
            <v>ELI/VLI</v>
          </cell>
          <cell r="N5" t="str">
            <v>Coastal</v>
          </cell>
          <cell r="O5">
            <v>0</v>
          </cell>
          <cell r="P5">
            <v>65119138.879377887</v>
          </cell>
          <cell r="Q5">
            <v>3049330</v>
          </cell>
          <cell r="R5">
            <v>0</v>
          </cell>
          <cell r="S5">
            <v>0.50352112676056338</v>
          </cell>
          <cell r="T5">
            <v>0</v>
          </cell>
          <cell r="U5">
            <v>0</v>
          </cell>
          <cell r="V5" t="str">
            <v>New Construction</v>
          </cell>
          <cell r="X5" t="str">
            <v>California Statewide Communities Development Authority</v>
          </cell>
        </row>
        <row r="6">
          <cell r="A6" t="str">
            <v>CA-21-673</v>
          </cell>
          <cell r="B6" t="str">
            <v>Woodward Family Apartments</v>
          </cell>
          <cell r="C6">
            <v>36</v>
          </cell>
          <cell r="D6">
            <v>35</v>
          </cell>
          <cell r="E6" t="str">
            <v>Large Family</v>
          </cell>
          <cell r="F6" t="str">
            <v>Orland</v>
          </cell>
          <cell r="G6" t="str">
            <v>Glenn</v>
          </cell>
          <cell r="H6">
            <v>10000000</v>
          </cell>
          <cell r="I6">
            <v>120</v>
          </cell>
          <cell r="J6">
            <v>199242.10526315789</v>
          </cell>
          <cell r="K6" t="str">
            <v>R</v>
          </cell>
          <cell r="L6" t="str">
            <v>Rural</v>
          </cell>
          <cell r="N6" t="str">
            <v>Northern</v>
          </cell>
          <cell r="O6">
            <v>0</v>
          </cell>
          <cell r="P6">
            <v>19130948</v>
          </cell>
          <cell r="Q6">
            <v>955782</v>
          </cell>
          <cell r="R6">
            <v>1830000</v>
          </cell>
          <cell r="S6">
            <v>0.39714285714285713</v>
          </cell>
          <cell r="T6">
            <v>0</v>
          </cell>
          <cell r="U6">
            <v>0</v>
          </cell>
          <cell r="V6" t="str">
            <v>New Construction</v>
          </cell>
          <cell r="X6" t="str">
            <v>California Municipal Finance Authority</v>
          </cell>
        </row>
        <row r="7">
          <cell r="A7" t="str">
            <v>CA-21-753</v>
          </cell>
          <cell r="B7" t="str">
            <v>Hayden Parkway Apartments</v>
          </cell>
          <cell r="C7">
            <v>94</v>
          </cell>
          <cell r="D7">
            <v>93</v>
          </cell>
          <cell r="E7" t="str">
            <v>Large Family</v>
          </cell>
          <cell r="F7" t="str">
            <v>Roseville</v>
          </cell>
          <cell r="G7" t="str">
            <v>Placer</v>
          </cell>
          <cell r="H7">
            <v>18000000</v>
          </cell>
          <cell r="I7">
            <v>120</v>
          </cell>
          <cell r="J7">
            <v>142576.27708978328</v>
          </cell>
          <cell r="K7" t="str">
            <v>G</v>
          </cell>
          <cell r="L7" t="str">
            <v>New Construction</v>
          </cell>
          <cell r="N7" t="str">
            <v>Northern</v>
          </cell>
          <cell r="O7">
            <v>0</v>
          </cell>
          <cell r="P7">
            <v>34196646</v>
          </cell>
          <cell r="Q7">
            <v>1724263</v>
          </cell>
          <cell r="R7">
            <v>4971375</v>
          </cell>
          <cell r="S7">
            <v>0.50752688172043015</v>
          </cell>
          <cell r="T7">
            <v>0</v>
          </cell>
          <cell r="U7">
            <v>0</v>
          </cell>
          <cell r="V7" t="str">
            <v>New Construction</v>
          </cell>
          <cell r="X7" t="str">
            <v>California Statewide Communities Development Authority</v>
          </cell>
        </row>
        <row r="8">
          <cell r="A8" t="str">
            <v>CA-21-675</v>
          </cell>
          <cell r="B8" t="str">
            <v>Cathedral Plaza</v>
          </cell>
          <cell r="C8">
            <v>225</v>
          </cell>
          <cell r="D8">
            <v>222</v>
          </cell>
          <cell r="E8" t="str">
            <v>At-Risk</v>
          </cell>
          <cell r="F8" t="str">
            <v>San Diego</v>
          </cell>
          <cell r="G8" t="str">
            <v>San Diego</v>
          </cell>
          <cell r="H8">
            <v>45000000</v>
          </cell>
          <cell r="I8">
            <v>119</v>
          </cell>
          <cell r="J8">
            <v>215439.01370548844</v>
          </cell>
          <cell r="K8" t="str">
            <v>P</v>
          </cell>
          <cell r="L8" t="str">
            <v>Preservation</v>
          </cell>
          <cell r="N8" t="str">
            <v>Coastal</v>
          </cell>
          <cell r="O8">
            <v>0</v>
          </cell>
          <cell r="P8">
            <v>93326438</v>
          </cell>
          <cell r="Q8">
            <v>4030029.5</v>
          </cell>
          <cell r="R8">
            <v>0</v>
          </cell>
          <cell r="S8">
            <v>0.54774774774774759</v>
          </cell>
          <cell r="T8">
            <v>0</v>
          </cell>
          <cell r="U8">
            <v>0</v>
          </cell>
          <cell r="V8" t="str">
            <v>Acquisition &amp; Rehabilitation</v>
          </cell>
          <cell r="X8" t="str">
            <v>California Municipal Finance Authority</v>
          </cell>
        </row>
        <row r="9">
          <cell r="A9" t="str">
            <v>CA-21-711</v>
          </cell>
          <cell r="B9" t="str">
            <v>The Lyla</v>
          </cell>
          <cell r="C9">
            <v>294</v>
          </cell>
          <cell r="D9">
            <v>291</v>
          </cell>
          <cell r="E9" t="str">
            <v>Large Family</v>
          </cell>
          <cell r="F9" t="str">
            <v>Elk Grove</v>
          </cell>
          <cell r="G9" t="str">
            <v>Sacramento</v>
          </cell>
          <cell r="H9">
            <v>56000000</v>
          </cell>
          <cell r="I9">
            <v>120</v>
          </cell>
          <cell r="J9">
            <v>180427.04445629267</v>
          </cell>
          <cell r="K9" t="str">
            <v>S</v>
          </cell>
          <cell r="L9" t="str">
            <v>New Construction</v>
          </cell>
          <cell r="M9" t="str">
            <v>ELI/VLI</v>
          </cell>
          <cell r="N9" t="str">
            <v>Northern</v>
          </cell>
          <cell r="O9">
            <v>0</v>
          </cell>
          <cell r="P9">
            <v>107575587</v>
          </cell>
          <cell r="Q9">
            <v>5356918</v>
          </cell>
          <cell r="R9">
            <v>28400000</v>
          </cell>
          <cell r="S9">
            <v>0.5986254295532647</v>
          </cell>
          <cell r="T9">
            <v>0</v>
          </cell>
          <cell r="U9">
            <v>0</v>
          </cell>
          <cell r="V9" t="str">
            <v>New Construction</v>
          </cell>
          <cell r="X9" t="str">
            <v>California Municipal Finance Authority</v>
          </cell>
        </row>
        <row r="10">
          <cell r="A10" t="str">
            <v>CA-21-677</v>
          </cell>
          <cell r="B10" t="str">
            <v>Noble Creek Apartments</v>
          </cell>
          <cell r="C10">
            <v>108</v>
          </cell>
          <cell r="D10">
            <v>107</v>
          </cell>
          <cell r="E10" t="str">
            <v>Non-Targeted</v>
          </cell>
          <cell r="F10" t="str">
            <v>Beaumont</v>
          </cell>
          <cell r="G10" t="str">
            <v>Riverside</v>
          </cell>
          <cell r="H10">
            <v>8500000</v>
          </cell>
          <cell r="I10">
            <v>105</v>
          </cell>
          <cell r="J10">
            <v>85008.962668298656</v>
          </cell>
          <cell r="K10" t="str">
            <v>OR</v>
          </cell>
          <cell r="L10" t="str">
            <v>Other Rehab</v>
          </cell>
          <cell r="N10" t="str">
            <v>Inland</v>
          </cell>
          <cell r="O10">
            <v>0</v>
          </cell>
          <cell r="P10">
            <v>16356875</v>
          </cell>
          <cell r="Q10">
            <v>580007</v>
          </cell>
          <cell r="R10">
            <v>1228730</v>
          </cell>
          <cell r="S10">
            <v>0.55887850467289713</v>
          </cell>
          <cell r="T10">
            <v>0</v>
          </cell>
          <cell r="U10">
            <v>0</v>
          </cell>
          <cell r="V10" t="str">
            <v>Acquisition &amp; Rehabilitation</v>
          </cell>
          <cell r="X10" t="str">
            <v>California Statewide Communities Development Authority</v>
          </cell>
        </row>
        <row r="11">
          <cell r="A11" t="str">
            <v>CA-21-678</v>
          </cell>
          <cell r="B11" t="str">
            <v>Sunset Rose Senior Apartments</v>
          </cell>
          <cell r="C11">
            <v>32</v>
          </cell>
          <cell r="D11">
            <v>32</v>
          </cell>
          <cell r="E11" t="str">
            <v>Seniors</v>
          </cell>
          <cell r="F11" t="str">
            <v>Holtville</v>
          </cell>
          <cell r="G11" t="str">
            <v>Imperial</v>
          </cell>
          <cell r="H11">
            <v>6500000</v>
          </cell>
          <cell r="I11">
            <v>119</v>
          </cell>
          <cell r="J11">
            <v>289705.42026708566</v>
          </cell>
          <cell r="L11" t="str">
            <v>Rural</v>
          </cell>
          <cell r="N11" t="str">
            <v>Inland</v>
          </cell>
          <cell r="O11">
            <v>0</v>
          </cell>
          <cell r="P11">
            <v>12539328</v>
          </cell>
          <cell r="Q11">
            <v>474925</v>
          </cell>
          <cell r="R11">
            <v>2110000</v>
          </cell>
          <cell r="S11">
            <v>0.54838709677419351</v>
          </cell>
          <cell r="T11">
            <v>0</v>
          </cell>
          <cell r="U11">
            <v>0</v>
          </cell>
          <cell r="V11" t="str">
            <v>New Construction</v>
          </cell>
          <cell r="X11" t="str">
            <v>California Municipal Finance Authority</v>
          </cell>
        </row>
        <row r="12">
          <cell r="A12" t="str">
            <v>CA-21-679</v>
          </cell>
          <cell r="B12" t="str">
            <v>River Oaks Family Apartments</v>
          </cell>
          <cell r="C12">
            <v>48</v>
          </cell>
          <cell r="D12">
            <v>47</v>
          </cell>
          <cell r="E12" t="str">
            <v>Large Family</v>
          </cell>
          <cell r="F12" t="str">
            <v>Plumas Lake</v>
          </cell>
          <cell r="G12" t="str">
            <v>Yuba</v>
          </cell>
          <cell r="H12">
            <v>13500000</v>
          </cell>
          <cell r="I12">
            <v>120</v>
          </cell>
          <cell r="J12">
            <v>244190.35198231798</v>
          </cell>
          <cell r="L12" t="str">
            <v>Rural</v>
          </cell>
          <cell r="N12" t="str">
            <v>Northern</v>
          </cell>
          <cell r="O12">
            <v>0</v>
          </cell>
          <cell r="P12">
            <v>25786169</v>
          </cell>
          <cell r="Q12">
            <v>999199</v>
          </cell>
          <cell r="R12">
            <v>7493990</v>
          </cell>
          <cell r="S12">
            <v>0.46170212765957452</v>
          </cell>
          <cell r="T12">
            <v>0</v>
          </cell>
          <cell r="U12">
            <v>0</v>
          </cell>
          <cell r="V12" t="str">
            <v>New Construction</v>
          </cell>
          <cell r="X12" t="str">
            <v>California Municipal Finance Authority</v>
          </cell>
        </row>
        <row r="13">
          <cell r="A13" t="str">
            <v>CA-21-693</v>
          </cell>
          <cell r="B13" t="str">
            <v xml:space="preserve">Vendra Gardens </v>
          </cell>
          <cell r="C13">
            <v>200</v>
          </cell>
          <cell r="D13">
            <v>198</v>
          </cell>
          <cell r="E13" t="str">
            <v>Large Family</v>
          </cell>
          <cell r="F13" t="str">
            <v>Moorpark</v>
          </cell>
          <cell r="G13" t="str">
            <v>Ventura</v>
          </cell>
          <cell r="H13">
            <v>48333567</v>
          </cell>
          <cell r="I13">
            <v>120</v>
          </cell>
          <cell r="J13">
            <v>190023.91284383798</v>
          </cell>
          <cell r="K13" t="str">
            <v>G</v>
          </cell>
          <cell r="L13" t="str">
            <v>New Construction</v>
          </cell>
          <cell r="M13" t="str">
            <v>ELI/VLI</v>
          </cell>
          <cell r="N13" t="str">
            <v>Coastal</v>
          </cell>
          <cell r="O13">
            <v>0</v>
          </cell>
          <cell r="P13">
            <v>91545163</v>
          </cell>
          <cell r="Q13">
            <v>4087127</v>
          </cell>
          <cell r="R13">
            <v>23579581</v>
          </cell>
          <cell r="S13">
            <v>0.59696969696969693</v>
          </cell>
          <cell r="T13">
            <v>0</v>
          </cell>
          <cell r="U13">
            <v>0</v>
          </cell>
          <cell r="V13" t="str">
            <v>New Construction</v>
          </cell>
          <cell r="X13" t="str">
            <v>California Municipal Finance Authority</v>
          </cell>
        </row>
        <row r="14">
          <cell r="A14" t="str">
            <v>CA-21-672</v>
          </cell>
          <cell r="B14" t="str">
            <v>Vitalia Apartments</v>
          </cell>
          <cell r="C14">
            <v>269</v>
          </cell>
          <cell r="D14">
            <v>266</v>
          </cell>
          <cell r="E14" t="str">
            <v>Large Family</v>
          </cell>
          <cell r="F14" t="str">
            <v>Palm Desert</v>
          </cell>
          <cell r="G14" t="str">
            <v>Riverside</v>
          </cell>
          <cell r="H14">
            <v>44000000</v>
          </cell>
          <cell r="I14">
            <v>120</v>
          </cell>
          <cell r="J14">
            <v>193302.49192051892</v>
          </cell>
          <cell r="K14" t="str">
            <v>G</v>
          </cell>
          <cell r="L14" t="str">
            <v>New Construction</v>
          </cell>
          <cell r="M14" t="str">
            <v>ELI/VLI</v>
          </cell>
          <cell r="N14" t="str">
            <v>Inland</v>
          </cell>
          <cell r="O14">
            <v>0</v>
          </cell>
          <cell r="P14">
            <v>82320460</v>
          </cell>
          <cell r="Q14">
            <v>3955170</v>
          </cell>
          <cell r="R14">
            <v>22818289</v>
          </cell>
          <cell r="S14">
            <v>0.54274436090225575</v>
          </cell>
          <cell r="T14">
            <v>0</v>
          </cell>
          <cell r="U14">
            <v>0</v>
          </cell>
          <cell r="V14" t="str">
            <v>New Construction</v>
          </cell>
          <cell r="X14" t="str">
            <v>California Municipal Finance Authority</v>
          </cell>
        </row>
        <row r="15">
          <cell r="A15" t="str">
            <v>CA-21-686</v>
          </cell>
          <cell r="B15" t="str">
            <v>308 Sango</v>
          </cell>
          <cell r="C15">
            <v>85</v>
          </cell>
          <cell r="D15">
            <v>84</v>
          </cell>
          <cell r="E15" t="str">
            <v>Large Family</v>
          </cell>
          <cell r="F15" t="str">
            <v>Milpitas</v>
          </cell>
          <cell r="G15" t="str">
            <v>Santa Clara</v>
          </cell>
          <cell r="H15">
            <v>34000000</v>
          </cell>
          <cell r="I15">
            <v>120</v>
          </cell>
          <cell r="J15">
            <v>201259.07990314771</v>
          </cell>
          <cell r="K15" t="str">
            <v>G</v>
          </cell>
          <cell r="L15" t="str">
            <v>New Construction</v>
          </cell>
          <cell r="M15" t="str">
            <v>ELI/VLI</v>
          </cell>
          <cell r="N15" t="str">
            <v>Bay Area</v>
          </cell>
          <cell r="O15">
            <v>0</v>
          </cell>
          <cell r="P15">
            <v>64336980</v>
          </cell>
          <cell r="Q15">
            <v>2992284</v>
          </cell>
          <cell r="R15">
            <v>7560000</v>
          </cell>
          <cell r="S15">
            <v>0.59761904761904761</v>
          </cell>
          <cell r="T15">
            <v>0</v>
          </cell>
          <cell r="U15">
            <v>0</v>
          </cell>
          <cell r="V15" t="str">
            <v>New Construction</v>
          </cell>
          <cell r="X15" t="str">
            <v>California Municipal Finance Authority</v>
          </cell>
        </row>
        <row r="16">
          <cell r="A16" t="str">
            <v>CA-21-716</v>
          </cell>
          <cell r="B16" t="str">
            <v>Crossroads Village</v>
          </cell>
          <cell r="C16">
            <v>143</v>
          </cell>
          <cell r="D16">
            <v>141</v>
          </cell>
          <cell r="E16" t="str">
            <v>Special Needs</v>
          </cell>
          <cell r="F16" t="str">
            <v>Fresno</v>
          </cell>
          <cell r="G16" t="str">
            <v>Fresno</v>
          </cell>
          <cell r="H16">
            <v>25405210</v>
          </cell>
          <cell r="I16">
            <v>120</v>
          </cell>
          <cell r="J16">
            <v>203030.1471712472</v>
          </cell>
          <cell r="L16" t="str">
            <v>New Construction</v>
          </cell>
          <cell r="M16" t="str">
            <v>Homeless, ELI, VLI</v>
          </cell>
          <cell r="N16" t="str">
            <v>Inland</v>
          </cell>
          <cell r="O16">
            <v>0</v>
          </cell>
          <cell r="P16">
            <v>57783048</v>
          </cell>
          <cell r="Q16">
            <v>1257504</v>
          </cell>
          <cell r="R16">
            <v>9221911</v>
          </cell>
          <cell r="S16">
            <v>0.24680851063829784</v>
          </cell>
          <cell r="T16">
            <v>141</v>
          </cell>
          <cell r="U16">
            <v>1</v>
          </cell>
          <cell r="V16" t="str">
            <v>New Construction</v>
          </cell>
          <cell r="X16" t="str">
            <v>California Municipal Finance Authority</v>
          </cell>
        </row>
        <row r="17">
          <cell r="A17" t="str">
            <v>CA-21-705</v>
          </cell>
          <cell r="B17" t="str">
            <v>Poppy Grove III</v>
          </cell>
          <cell r="C17">
            <v>158</v>
          </cell>
          <cell r="D17">
            <v>157</v>
          </cell>
          <cell r="E17" t="str">
            <v>Large Family</v>
          </cell>
          <cell r="F17" t="str">
            <v>Elk Grove</v>
          </cell>
          <cell r="G17" t="str">
            <v>Sacramento</v>
          </cell>
          <cell r="H17">
            <v>36869507</v>
          </cell>
          <cell r="I17">
            <v>120</v>
          </cell>
          <cell r="J17">
            <v>205483.45263157893</v>
          </cell>
          <cell r="K17" t="str">
            <v>B</v>
          </cell>
          <cell r="L17" t="str">
            <v>BIPOC</v>
          </cell>
          <cell r="N17" t="str">
            <v>Northern</v>
          </cell>
          <cell r="O17">
            <v>0</v>
          </cell>
          <cell r="P17">
            <v>70312830</v>
          </cell>
          <cell r="Q17">
            <v>3338219</v>
          </cell>
          <cell r="R17">
            <v>19258957</v>
          </cell>
          <cell r="S17">
            <v>0.6</v>
          </cell>
          <cell r="T17">
            <v>0</v>
          </cell>
          <cell r="U17">
            <v>0</v>
          </cell>
          <cell r="V17" t="str">
            <v>New Construction</v>
          </cell>
          <cell r="X17" t="str">
            <v>California Municipal Finance Authority</v>
          </cell>
        </row>
        <row r="18">
          <cell r="A18" t="str">
            <v>CA-21-682</v>
          </cell>
          <cell r="B18" t="str">
            <v>Poppy Grove I</v>
          </cell>
          <cell r="C18">
            <v>144</v>
          </cell>
          <cell r="D18">
            <v>143</v>
          </cell>
          <cell r="E18" t="str">
            <v>Large Family</v>
          </cell>
          <cell r="F18" t="str">
            <v>Elk Grove</v>
          </cell>
          <cell r="G18" t="str">
            <v>Sacramento</v>
          </cell>
          <cell r="H18">
            <v>33938328</v>
          </cell>
          <cell r="I18">
            <v>120</v>
          </cell>
          <cell r="J18">
            <v>207867.21603055255</v>
          </cell>
          <cell r="K18" t="str">
            <v>B</v>
          </cell>
          <cell r="L18" t="str">
            <v>BIPOC</v>
          </cell>
          <cell r="N18" t="str">
            <v>Northern</v>
          </cell>
          <cell r="O18">
            <v>0</v>
          </cell>
          <cell r="P18">
            <v>64855464</v>
          </cell>
          <cell r="Q18">
            <v>3081075</v>
          </cell>
          <cell r="R18">
            <v>17775431</v>
          </cell>
          <cell r="S18">
            <v>0.6</v>
          </cell>
          <cell r="T18">
            <v>0</v>
          </cell>
          <cell r="U18">
            <v>0</v>
          </cell>
          <cell r="V18" t="str">
            <v>New Construction</v>
          </cell>
          <cell r="X18" t="str">
            <v>California Municipal Finance Authority</v>
          </cell>
        </row>
        <row r="19">
          <cell r="A19" t="str">
            <v>CA-21-704</v>
          </cell>
          <cell r="B19" t="str">
            <v>Poppy Grove II</v>
          </cell>
          <cell r="C19">
            <v>82</v>
          </cell>
          <cell r="D19">
            <v>81</v>
          </cell>
          <cell r="E19" t="str">
            <v>Large Family</v>
          </cell>
          <cell r="F19" t="str">
            <v>Elk Grove</v>
          </cell>
          <cell r="G19" t="str">
            <v>Sacramento</v>
          </cell>
          <cell r="H19">
            <v>19536523</v>
          </cell>
          <cell r="I19">
            <v>120</v>
          </cell>
          <cell r="J19">
            <v>209385.68053387056</v>
          </cell>
          <cell r="L19" t="str">
            <v>BIPOC</v>
          </cell>
          <cell r="N19" t="str">
            <v>Northern</v>
          </cell>
          <cell r="O19">
            <v>0</v>
          </cell>
          <cell r="P19">
            <v>36875995</v>
          </cell>
          <cell r="Q19">
            <v>1748642</v>
          </cell>
          <cell r="R19">
            <v>10088318</v>
          </cell>
          <cell r="S19">
            <v>0.6</v>
          </cell>
          <cell r="T19">
            <v>0</v>
          </cell>
          <cell r="U19">
            <v>0</v>
          </cell>
          <cell r="V19" t="str">
            <v>New Construction</v>
          </cell>
          <cell r="X19" t="str">
            <v>California Municipal Finance Authority</v>
          </cell>
        </row>
        <row r="20">
          <cell r="A20" t="str">
            <v>CA-21-765</v>
          </cell>
          <cell r="B20" t="str">
            <v>Merge 56 Affordable</v>
          </cell>
          <cell r="C20">
            <v>47</v>
          </cell>
          <cell r="D20">
            <v>47</v>
          </cell>
          <cell r="E20" t="str">
            <v>Large Family</v>
          </cell>
          <cell r="F20" t="str">
            <v>San Diego</v>
          </cell>
          <cell r="G20" t="str">
            <v>San Diego</v>
          </cell>
          <cell r="H20">
            <v>16000000</v>
          </cell>
          <cell r="I20">
            <v>120</v>
          </cell>
          <cell r="J20">
            <v>209841.67736414206</v>
          </cell>
          <cell r="K20" t="str">
            <v>G</v>
          </cell>
          <cell r="L20" t="str">
            <v>New Construction</v>
          </cell>
          <cell r="N20" t="str">
            <v>Coastal</v>
          </cell>
          <cell r="O20">
            <v>0</v>
          </cell>
          <cell r="P20">
            <v>30522852</v>
          </cell>
          <cell r="Q20">
            <v>1514444.4</v>
          </cell>
          <cell r="R20">
            <v>0</v>
          </cell>
          <cell r="S20">
            <v>0.55744680851063821</v>
          </cell>
          <cell r="T20">
            <v>0</v>
          </cell>
          <cell r="U20">
            <v>0</v>
          </cell>
          <cell r="V20" t="str">
            <v>New Construction</v>
          </cell>
          <cell r="X20" t="str">
            <v>Housing Authority of the City of San Diego</v>
          </cell>
        </row>
        <row r="21">
          <cell r="A21" t="str">
            <v>CA-21-762</v>
          </cell>
          <cell r="B21" t="str">
            <v>Montecito II Senior Housing</v>
          </cell>
          <cell r="C21">
            <v>64</v>
          </cell>
          <cell r="D21">
            <v>63</v>
          </cell>
          <cell r="E21" t="str">
            <v>Special Needs</v>
          </cell>
          <cell r="F21" t="str">
            <v>Hollywood</v>
          </cell>
          <cell r="G21" t="str">
            <v>Los Angeles</v>
          </cell>
          <cell r="H21">
            <v>22150000</v>
          </cell>
          <cell r="I21">
            <v>120</v>
          </cell>
          <cell r="J21">
            <v>212345.04446881093</v>
          </cell>
          <cell r="K21" t="str">
            <v>H</v>
          </cell>
          <cell r="L21" t="str">
            <v>New Construction</v>
          </cell>
          <cell r="M21" t="str">
            <v>Homeless, ELI, VLI</v>
          </cell>
          <cell r="N21" t="str">
            <v>City of Los Angeles</v>
          </cell>
          <cell r="O21">
            <v>0</v>
          </cell>
          <cell r="P21">
            <v>41297830.149999999</v>
          </cell>
          <cell r="Q21">
            <v>2040271</v>
          </cell>
          <cell r="R21">
            <v>0</v>
          </cell>
          <cell r="S21">
            <v>0.44761904761904758</v>
          </cell>
          <cell r="T21">
            <v>32</v>
          </cell>
          <cell r="U21">
            <v>0.50793650793650791</v>
          </cell>
          <cell r="V21" t="str">
            <v>New Construction</v>
          </cell>
          <cell r="X21" t="str">
            <v>City of Los Angeles</v>
          </cell>
        </row>
        <row r="22">
          <cell r="A22" t="str">
            <v>CA-21-740</v>
          </cell>
          <cell r="B22" t="str">
            <v xml:space="preserve">Gerald Ford Apartments </v>
          </cell>
          <cell r="C22">
            <v>150</v>
          </cell>
          <cell r="D22">
            <v>149</v>
          </cell>
          <cell r="E22" t="str">
            <v>Large Family</v>
          </cell>
          <cell r="F22" t="str">
            <v>Palm Desert</v>
          </cell>
          <cell r="G22" t="str">
            <v>Riverside</v>
          </cell>
          <cell r="H22">
            <v>29907794</v>
          </cell>
          <cell r="I22">
            <v>120</v>
          </cell>
          <cell r="J22">
            <v>214163.8587363078</v>
          </cell>
          <cell r="K22" t="str">
            <v>G</v>
          </cell>
          <cell r="L22" t="str">
            <v>New Construction</v>
          </cell>
          <cell r="N22" t="str">
            <v>Inland</v>
          </cell>
          <cell r="O22">
            <v>0</v>
          </cell>
          <cell r="P22">
            <v>57636221</v>
          </cell>
          <cell r="Q22">
            <v>2703210</v>
          </cell>
          <cell r="R22">
            <v>15595441</v>
          </cell>
          <cell r="S22">
            <v>0.59731543624161076</v>
          </cell>
          <cell r="T22">
            <v>0</v>
          </cell>
          <cell r="U22">
            <v>0</v>
          </cell>
          <cell r="V22" t="str">
            <v>New Construction</v>
          </cell>
          <cell r="X22" t="str">
            <v>California Statewide Communities Development Authority</v>
          </cell>
        </row>
        <row r="23">
          <cell r="A23" t="str">
            <v>CA-21-690</v>
          </cell>
          <cell r="B23" t="str">
            <v>Soledad Family Apartments</v>
          </cell>
          <cell r="C23">
            <v>96</v>
          </cell>
          <cell r="D23">
            <v>95</v>
          </cell>
          <cell r="E23" t="str">
            <v>Large Family</v>
          </cell>
          <cell r="F23" t="str">
            <v>Soledad</v>
          </cell>
          <cell r="G23" t="str">
            <v>Monterey</v>
          </cell>
          <cell r="H23">
            <v>26350000</v>
          </cell>
          <cell r="I23">
            <v>120</v>
          </cell>
          <cell r="J23">
            <v>203017.74578739339</v>
          </cell>
          <cell r="L23" t="str">
            <v>Rural</v>
          </cell>
          <cell r="N23" t="str">
            <v>Coastal</v>
          </cell>
          <cell r="O23">
            <v>0</v>
          </cell>
          <cell r="P23">
            <v>51006206.235619076</v>
          </cell>
          <cell r="Q23">
            <v>1819488</v>
          </cell>
          <cell r="R23">
            <v>13646160</v>
          </cell>
          <cell r="S23">
            <v>0.59789473684210526</v>
          </cell>
          <cell r="T23">
            <v>0</v>
          </cell>
          <cell r="U23">
            <v>0</v>
          </cell>
          <cell r="V23" t="str">
            <v>New Construction</v>
          </cell>
          <cell r="X23" t="str">
            <v>California Municipal Finance Authority</v>
          </cell>
        </row>
        <row r="24">
          <cell r="A24" t="str">
            <v>CA-21-696</v>
          </cell>
          <cell r="B24" t="str">
            <v xml:space="preserve">Pleasant Grove Apartments </v>
          </cell>
          <cell r="C24">
            <v>98</v>
          </cell>
          <cell r="D24">
            <v>97</v>
          </cell>
          <cell r="E24" t="str">
            <v>Large Family</v>
          </cell>
          <cell r="F24" t="str">
            <v xml:space="preserve">Roseville </v>
          </cell>
          <cell r="G24" t="str">
            <v>Placer</v>
          </cell>
          <cell r="H24">
            <v>24695000</v>
          </cell>
          <cell r="I24">
            <v>120</v>
          </cell>
          <cell r="J24">
            <v>221996.20258059978</v>
          </cell>
          <cell r="L24" t="str">
            <v>New Construction</v>
          </cell>
          <cell r="N24" t="str">
            <v>Northern</v>
          </cell>
          <cell r="O24">
            <v>0</v>
          </cell>
          <cell r="P24">
            <v>46538010</v>
          </cell>
          <cell r="Q24">
            <v>2218749</v>
          </cell>
          <cell r="R24">
            <v>12800475</v>
          </cell>
          <cell r="S24">
            <v>0.50000000000000011</v>
          </cell>
          <cell r="T24">
            <v>0</v>
          </cell>
          <cell r="U24">
            <v>0</v>
          </cell>
          <cell r="V24" t="str">
            <v>New Construction</v>
          </cell>
          <cell r="X24" t="str">
            <v>California Municipal Finance Authority</v>
          </cell>
        </row>
        <row r="25">
          <cell r="A25" t="str">
            <v>CA-21-737</v>
          </cell>
          <cell r="B25" t="str">
            <v xml:space="preserve">Tiburon Place </v>
          </cell>
          <cell r="C25">
            <v>68</v>
          </cell>
          <cell r="D25">
            <v>67</v>
          </cell>
          <cell r="E25" t="str">
            <v>Special Needs</v>
          </cell>
          <cell r="F25" t="str">
            <v>San Luis Obispo</v>
          </cell>
          <cell r="G25" t="str">
            <v>San Luis Obispo</v>
          </cell>
          <cell r="H25">
            <v>18305262.726705309</v>
          </cell>
          <cell r="I25">
            <v>120</v>
          </cell>
          <cell r="J25">
            <v>242796.32201549265</v>
          </cell>
          <cell r="K25" t="str">
            <v>E</v>
          </cell>
          <cell r="L25" t="str">
            <v>New Construction</v>
          </cell>
          <cell r="M25" t="str">
            <v>ELI/VLI</v>
          </cell>
          <cell r="N25" t="str">
            <v>Coastal</v>
          </cell>
          <cell r="O25">
            <v>0</v>
          </cell>
          <cell r="P25">
            <v>34506827.389761336</v>
          </cell>
          <cell r="Q25">
            <v>1695612</v>
          </cell>
          <cell r="R25">
            <v>9184455</v>
          </cell>
          <cell r="S25">
            <v>0.41194029850746267</v>
          </cell>
          <cell r="T25">
            <v>34</v>
          </cell>
          <cell r="U25">
            <v>0.5074626865671642</v>
          </cell>
          <cell r="V25" t="str">
            <v>New Construction</v>
          </cell>
          <cell r="X25" t="str">
            <v>California Municipal Finance Authority</v>
          </cell>
        </row>
        <row r="26">
          <cell r="A26" t="str">
            <v>CA-21-770</v>
          </cell>
          <cell r="B26" t="str">
            <v>Downtown Livermore Apartments North</v>
          </cell>
          <cell r="C26">
            <v>79</v>
          </cell>
          <cell r="D26">
            <v>78</v>
          </cell>
          <cell r="E26" t="str">
            <v>Large Family</v>
          </cell>
          <cell r="F26" t="str">
            <v>Livermore</v>
          </cell>
          <cell r="G26" t="str">
            <v>Alameda</v>
          </cell>
          <cell r="H26">
            <v>38432719</v>
          </cell>
          <cell r="I26">
            <v>120</v>
          </cell>
          <cell r="J26">
            <v>249245.27135678392</v>
          </cell>
          <cell r="L26" t="str">
            <v>New Construction</v>
          </cell>
          <cell r="M26" t="str">
            <v>ELI/VLI</v>
          </cell>
          <cell r="N26" t="str">
            <v>Bay Area</v>
          </cell>
          <cell r="O26">
            <v>0</v>
          </cell>
          <cell r="P26">
            <v>75161036.370513827</v>
          </cell>
          <cell r="Q26">
            <v>3379739</v>
          </cell>
          <cell r="R26">
            <v>11167090</v>
          </cell>
          <cell r="S26">
            <v>0.49871794871794872</v>
          </cell>
          <cell r="T26">
            <v>0</v>
          </cell>
          <cell r="U26">
            <v>0</v>
          </cell>
          <cell r="V26" t="str">
            <v>New Construction</v>
          </cell>
          <cell r="X26" t="str">
            <v>County of Alameda</v>
          </cell>
        </row>
        <row r="27">
          <cell r="A27" t="str">
            <v>CA-21-694</v>
          </cell>
          <cell r="B27" t="str">
            <v xml:space="preserve">Sycamore Street Commons and La Playa Apartments </v>
          </cell>
          <cell r="C27">
            <v>68</v>
          </cell>
          <cell r="D27">
            <v>67</v>
          </cell>
          <cell r="E27" t="str">
            <v>Large Family</v>
          </cell>
          <cell r="F27" t="str">
            <v xml:space="preserve">Santa Cruz </v>
          </cell>
          <cell r="G27" t="str">
            <v>Santa Cruz</v>
          </cell>
          <cell r="H27">
            <v>21524000</v>
          </cell>
          <cell r="I27">
            <v>105</v>
          </cell>
          <cell r="J27">
            <v>204807.61225096643</v>
          </cell>
          <cell r="K27" t="str">
            <v>P</v>
          </cell>
          <cell r="L27" t="str">
            <v>Preservation</v>
          </cell>
          <cell r="N27" t="str">
            <v>Coastal</v>
          </cell>
          <cell r="O27">
            <v>0</v>
          </cell>
          <cell r="P27">
            <v>43175104</v>
          </cell>
          <cell r="Q27">
            <v>1832789.9</v>
          </cell>
          <cell r="R27">
            <v>0</v>
          </cell>
          <cell r="S27">
            <v>0.5149253731343284</v>
          </cell>
          <cell r="T27">
            <v>0</v>
          </cell>
          <cell r="U27">
            <v>0</v>
          </cell>
          <cell r="V27" t="str">
            <v>Acquisition &amp; Rehabilitation</v>
          </cell>
          <cell r="X27" t="str">
            <v>California Municipal Finance Authority</v>
          </cell>
        </row>
        <row r="28">
          <cell r="A28" t="str">
            <v>CA-21-710</v>
          </cell>
          <cell r="B28" t="str">
            <v>Alvarado Creek Apartments</v>
          </cell>
          <cell r="C28">
            <v>227</v>
          </cell>
          <cell r="D28">
            <v>225</v>
          </cell>
          <cell r="E28" t="str">
            <v>Large Family</v>
          </cell>
          <cell r="F28" t="str">
            <v>San Diego</v>
          </cell>
          <cell r="G28" t="str">
            <v>San Diego</v>
          </cell>
          <cell r="H28">
            <v>62000000</v>
          </cell>
          <cell r="I28">
            <v>120</v>
          </cell>
          <cell r="J28">
            <v>256039.98498216629</v>
          </cell>
          <cell r="K28" t="str">
            <v>S</v>
          </cell>
          <cell r="L28" t="str">
            <v>New Construction</v>
          </cell>
          <cell r="M28" t="str">
            <v>ELI/VLI</v>
          </cell>
          <cell r="N28" t="str">
            <v>Coastal</v>
          </cell>
          <cell r="O28">
            <v>0</v>
          </cell>
          <cell r="P28">
            <v>118474875</v>
          </cell>
          <cell r="Q28">
            <v>5308661</v>
          </cell>
          <cell r="R28">
            <v>22550000</v>
          </cell>
          <cell r="S28">
            <v>0.59911111111111115</v>
          </cell>
          <cell r="T28">
            <v>0</v>
          </cell>
          <cell r="U28">
            <v>0</v>
          </cell>
          <cell r="V28" t="str">
            <v>New Construction</v>
          </cell>
          <cell r="X28" t="str">
            <v>California Municipal Finance Authority</v>
          </cell>
        </row>
        <row r="29">
          <cell r="A29" t="str">
            <v>CA-21-763</v>
          </cell>
          <cell r="B29" t="str">
            <v>Monamas Terrace Apartments</v>
          </cell>
          <cell r="C29">
            <v>139</v>
          </cell>
          <cell r="D29">
            <v>138</v>
          </cell>
          <cell r="E29" t="str">
            <v>Large Family</v>
          </cell>
          <cell r="F29" t="str">
            <v>Murrieta</v>
          </cell>
          <cell r="G29" t="str">
            <v>Riverside</v>
          </cell>
          <cell r="H29">
            <v>34270000</v>
          </cell>
          <cell r="I29">
            <v>120</v>
          </cell>
          <cell r="J29">
            <v>274707.24905192276</v>
          </cell>
          <cell r="K29" t="str">
            <v>W</v>
          </cell>
          <cell r="L29" t="str">
            <v>BIPOC</v>
          </cell>
          <cell r="N29" t="str">
            <v>Inland</v>
          </cell>
          <cell r="O29">
            <v>0</v>
          </cell>
          <cell r="P29">
            <v>64937468.799999997</v>
          </cell>
          <cell r="Q29">
            <v>3005775</v>
          </cell>
          <cell r="R29">
            <v>17060232</v>
          </cell>
          <cell r="S29">
            <v>0.60000000000000009</v>
          </cell>
          <cell r="T29">
            <v>0</v>
          </cell>
          <cell r="U29">
            <v>0</v>
          </cell>
          <cell r="V29" t="str">
            <v>New Construction</v>
          </cell>
          <cell r="X29" t="str">
            <v>California Municipal Finance Authority</v>
          </cell>
        </row>
        <row r="30">
          <cell r="A30" t="str">
            <v>CA-21-735</v>
          </cell>
          <cell r="B30" t="str">
            <v>Northstar Courts</v>
          </cell>
          <cell r="C30">
            <v>72</v>
          </cell>
          <cell r="D30">
            <v>71</v>
          </cell>
          <cell r="E30" t="str">
            <v>Large Family</v>
          </cell>
          <cell r="F30" t="str">
            <v>Hanford</v>
          </cell>
          <cell r="G30" t="str">
            <v>Kings</v>
          </cell>
          <cell r="H30">
            <v>19131645.958064325</v>
          </cell>
          <cell r="I30">
            <v>120</v>
          </cell>
          <cell r="J30">
            <v>304746.54013729974</v>
          </cell>
          <cell r="K30" t="str">
            <v>E</v>
          </cell>
          <cell r="L30" t="str">
            <v>New Construction</v>
          </cell>
          <cell r="M30" t="str">
            <v>ELI/VLI</v>
          </cell>
          <cell r="N30" t="str">
            <v>Inland</v>
          </cell>
          <cell r="O30">
            <v>0</v>
          </cell>
          <cell r="P30">
            <v>37135413.300533295</v>
          </cell>
          <cell r="Q30">
            <v>1377558</v>
          </cell>
          <cell r="R30">
            <v>10331681</v>
          </cell>
          <cell r="S30">
            <v>0.48169014084507039</v>
          </cell>
          <cell r="T30">
            <v>22</v>
          </cell>
          <cell r="U30">
            <v>0.30985915492957744</v>
          </cell>
          <cell r="V30" t="str">
            <v>New Construction</v>
          </cell>
          <cell r="X30" t="str">
            <v>California Municipal Finance Authority</v>
          </cell>
        </row>
        <row r="31">
          <cell r="A31" t="str">
            <v>CA-21-698</v>
          </cell>
          <cell r="B31" t="str">
            <v>The Parcel Phase I</v>
          </cell>
          <cell r="C31">
            <v>81</v>
          </cell>
          <cell r="D31">
            <v>80</v>
          </cell>
          <cell r="E31" t="str">
            <v>Large Family</v>
          </cell>
          <cell r="F31" t="str">
            <v>Mammoth Lakes</v>
          </cell>
          <cell r="G31" t="str">
            <v>Mono</v>
          </cell>
          <cell r="H31">
            <v>26000000</v>
          </cell>
          <cell r="I31">
            <v>120</v>
          </cell>
          <cell r="J31">
            <v>341215.00264131004</v>
          </cell>
          <cell r="L31" t="str">
            <v>Rural</v>
          </cell>
          <cell r="N31" t="str">
            <v>Northern</v>
          </cell>
          <cell r="O31">
            <v>0</v>
          </cell>
          <cell r="P31">
            <v>50004295</v>
          </cell>
          <cell r="Q31">
            <v>2527452</v>
          </cell>
          <cell r="R31">
            <v>14370000</v>
          </cell>
          <cell r="S31">
            <v>0.6</v>
          </cell>
          <cell r="T31">
            <v>8</v>
          </cell>
          <cell r="U31">
            <v>0.1</v>
          </cell>
          <cell r="V31" t="str">
            <v>New Construction</v>
          </cell>
          <cell r="X31" t="str">
            <v>California Municipal Finance Authority</v>
          </cell>
        </row>
        <row r="32">
          <cell r="A32" t="str">
            <v>CA-21-687</v>
          </cell>
          <cell r="B32" t="str">
            <v>Washington Arts Collective</v>
          </cell>
          <cell r="C32">
            <v>56</v>
          </cell>
          <cell r="D32">
            <v>55</v>
          </cell>
          <cell r="E32" t="str">
            <v>Special Needs</v>
          </cell>
          <cell r="F32" t="str">
            <v xml:space="preserve">Los Angeles </v>
          </cell>
          <cell r="G32" t="str">
            <v>Los Angeles</v>
          </cell>
          <cell r="H32">
            <v>3200000</v>
          </cell>
          <cell r="I32">
            <v>119</v>
          </cell>
          <cell r="J32">
            <v>26571.69</v>
          </cell>
          <cell r="K32" t="str">
            <v>H</v>
          </cell>
          <cell r="L32" t="str">
            <v>New Construction</v>
          </cell>
          <cell r="M32" t="str">
            <v>Homeless, ELI, VLI</v>
          </cell>
          <cell r="N32" t="str">
            <v>City of Los Angeles</v>
          </cell>
          <cell r="O32">
            <v>0</v>
          </cell>
          <cell r="P32">
            <v>41791367.689402759</v>
          </cell>
          <cell r="Q32">
            <v>1777457</v>
          </cell>
          <cell r="R32">
            <v>0</v>
          </cell>
          <cell r="S32">
            <v>0.44545454545454544</v>
          </cell>
          <cell r="T32">
            <v>28</v>
          </cell>
          <cell r="U32">
            <v>0.50909090909090904</v>
          </cell>
          <cell r="V32" t="str">
            <v>New Construction</v>
          </cell>
          <cell r="X32" t="str">
            <v>City of Los Angeles</v>
          </cell>
        </row>
        <row r="33">
          <cell r="A33" t="str">
            <v>CA-21-715</v>
          </cell>
          <cell r="B33" t="str">
            <v>Bana at Palmdale</v>
          </cell>
          <cell r="C33">
            <v>48</v>
          </cell>
          <cell r="D33">
            <v>47</v>
          </cell>
          <cell r="E33" t="str">
            <v>Non-Targeted</v>
          </cell>
          <cell r="F33" t="str">
            <v>Palmdale</v>
          </cell>
          <cell r="G33" t="str">
            <v>Los Angeles</v>
          </cell>
          <cell r="H33">
            <v>8800000</v>
          </cell>
          <cell r="I33">
            <v>119</v>
          </cell>
          <cell r="J33">
            <v>104240.91725376433</v>
          </cell>
          <cell r="K33" t="str">
            <v>G</v>
          </cell>
          <cell r="L33" t="str">
            <v>New Construction</v>
          </cell>
          <cell r="N33" t="str">
            <v>Balance of LA County</v>
          </cell>
          <cell r="O33">
            <v>0</v>
          </cell>
          <cell r="P33">
            <v>16726358</v>
          </cell>
          <cell r="Q33">
            <v>822940</v>
          </cell>
          <cell r="R33">
            <v>0</v>
          </cell>
          <cell r="S33">
            <v>0.54042553191489362</v>
          </cell>
          <cell r="T33">
            <v>0</v>
          </cell>
          <cell r="U33">
            <v>0</v>
          </cell>
          <cell r="V33" t="str">
            <v>New Construction</v>
          </cell>
          <cell r="X33" t="str">
            <v>California Municipal Finance Authority</v>
          </cell>
        </row>
        <row r="34">
          <cell r="A34" t="str">
            <v>CA-21-701</v>
          </cell>
          <cell r="B34" t="str">
            <v>Liberty Bell Courtyards</v>
          </cell>
          <cell r="C34">
            <v>32</v>
          </cell>
          <cell r="D34">
            <v>32</v>
          </cell>
          <cell r="E34" t="str">
            <v>Seniors</v>
          </cell>
          <cell r="F34" t="str">
            <v>Orland</v>
          </cell>
          <cell r="G34" t="str">
            <v>Glenn</v>
          </cell>
          <cell r="H34">
            <v>6500000</v>
          </cell>
          <cell r="I34">
            <v>119</v>
          </cell>
          <cell r="J34">
            <v>194029.85074626867</v>
          </cell>
          <cell r="K34" t="str">
            <v>R</v>
          </cell>
          <cell r="L34" t="str">
            <v>Rural</v>
          </cell>
          <cell r="N34" t="str">
            <v>Northern</v>
          </cell>
          <cell r="O34">
            <v>0</v>
          </cell>
          <cell r="P34">
            <v>12324424</v>
          </cell>
          <cell r="Q34">
            <v>613644</v>
          </cell>
          <cell r="R34">
            <v>0</v>
          </cell>
          <cell r="S34">
            <v>0.54838709677419351</v>
          </cell>
          <cell r="T34">
            <v>0</v>
          </cell>
          <cell r="U34">
            <v>0</v>
          </cell>
          <cell r="V34" t="str">
            <v>New Construction</v>
          </cell>
          <cell r="X34" t="str">
            <v>California Municipal Finance Authority</v>
          </cell>
        </row>
        <row r="35">
          <cell r="A35" t="str">
            <v>CA-21-702</v>
          </cell>
          <cell r="B35" t="str">
            <v>Bear Ridge Family Apartments</v>
          </cell>
          <cell r="C35">
            <v>48</v>
          </cell>
          <cell r="D35">
            <v>47</v>
          </cell>
          <cell r="E35" t="str">
            <v>Large Family</v>
          </cell>
          <cell r="F35" t="str">
            <v>Wheatland</v>
          </cell>
          <cell r="G35" t="str">
            <v>Yuba</v>
          </cell>
          <cell r="H35">
            <v>13500000</v>
          </cell>
          <cell r="I35">
            <v>120</v>
          </cell>
          <cell r="J35">
            <v>208202.79044066858</v>
          </cell>
          <cell r="K35" t="str">
            <v>R</v>
          </cell>
          <cell r="L35" t="str">
            <v>Rural</v>
          </cell>
          <cell r="N35" t="str">
            <v>Northern</v>
          </cell>
          <cell r="O35">
            <v>0</v>
          </cell>
          <cell r="P35">
            <v>25555194</v>
          </cell>
          <cell r="Q35">
            <v>1278238</v>
          </cell>
          <cell r="R35">
            <v>4400000</v>
          </cell>
          <cell r="S35">
            <v>0.46170212765957452</v>
          </cell>
          <cell r="T35">
            <v>0</v>
          </cell>
          <cell r="U35">
            <v>0</v>
          </cell>
          <cell r="V35" t="str">
            <v>New Construction</v>
          </cell>
          <cell r="X35" t="str">
            <v>California Municipal Finance Authority</v>
          </cell>
        </row>
        <row r="36">
          <cell r="A36" t="str">
            <v>CA-21-745</v>
          </cell>
          <cell r="B36" t="str">
            <v>Juniper Valley Townhomes</v>
          </cell>
          <cell r="C36">
            <v>70</v>
          </cell>
          <cell r="D36">
            <v>69</v>
          </cell>
          <cell r="E36" t="str">
            <v>Large Family</v>
          </cell>
          <cell r="F36" t="str">
            <v>Palmdale</v>
          </cell>
          <cell r="G36" t="str">
            <v>Los Angeles</v>
          </cell>
          <cell r="H36">
            <v>14956026</v>
          </cell>
          <cell r="I36">
            <v>119</v>
          </cell>
          <cell r="J36">
            <v>133930.31645150614</v>
          </cell>
          <cell r="K36" t="str">
            <v>G</v>
          </cell>
          <cell r="L36" t="str">
            <v>New Construction</v>
          </cell>
          <cell r="N36" t="str">
            <v>Balance of LA County</v>
          </cell>
          <cell r="O36">
            <v>0</v>
          </cell>
          <cell r="P36">
            <v>28308071.719608217</v>
          </cell>
          <cell r="Q36">
            <v>1369564</v>
          </cell>
          <cell r="R36">
            <v>1558402</v>
          </cell>
          <cell r="S36">
            <v>0.59565217391304337</v>
          </cell>
          <cell r="T36">
            <v>0</v>
          </cell>
          <cell r="U36">
            <v>0</v>
          </cell>
          <cell r="V36" t="str">
            <v>New Construction</v>
          </cell>
          <cell r="X36" t="str">
            <v>California Municipal Finance Authority</v>
          </cell>
        </row>
        <row r="37">
          <cell r="A37" t="str">
            <v>CA-21-749</v>
          </cell>
          <cell r="B37" t="str">
            <v>Sunrise Crossing Apartments</v>
          </cell>
          <cell r="C37">
            <v>82</v>
          </cell>
          <cell r="D37">
            <v>81</v>
          </cell>
          <cell r="E37" t="str">
            <v>Non-Targeted</v>
          </cell>
          <cell r="F37" t="str">
            <v>Rancho Cordova</v>
          </cell>
          <cell r="G37" t="str">
            <v>Sacramento</v>
          </cell>
          <cell r="H37">
            <v>11470000</v>
          </cell>
          <cell r="I37">
            <v>119</v>
          </cell>
          <cell r="J37">
            <v>135046.31333578701</v>
          </cell>
          <cell r="K37" t="str">
            <v>G</v>
          </cell>
          <cell r="L37" t="str">
            <v>New Construction</v>
          </cell>
          <cell r="N37" t="str">
            <v>Northern</v>
          </cell>
          <cell r="O37">
            <v>0</v>
          </cell>
          <cell r="P37">
            <v>23665414</v>
          </cell>
          <cell r="Q37">
            <v>1051241</v>
          </cell>
          <cell r="R37">
            <v>875000</v>
          </cell>
          <cell r="S37">
            <v>0.57654320987654317</v>
          </cell>
          <cell r="T37">
            <v>0</v>
          </cell>
          <cell r="U37">
            <v>0</v>
          </cell>
          <cell r="V37" t="str">
            <v>New Construction</v>
          </cell>
          <cell r="X37" t="str">
            <v>California Public Finance Authority</v>
          </cell>
        </row>
        <row r="38">
          <cell r="A38" t="str">
            <v>CA-21-713</v>
          </cell>
          <cell r="B38" t="str">
            <v>Redwood Glen Apartments</v>
          </cell>
          <cell r="C38">
            <v>43</v>
          </cell>
          <cell r="D38">
            <v>42</v>
          </cell>
          <cell r="E38" t="str">
            <v>Large Family</v>
          </cell>
          <cell r="F38" t="str">
            <v>Windsor</v>
          </cell>
          <cell r="G38" t="str">
            <v>Sonoma</v>
          </cell>
          <cell r="H38">
            <v>9191758.5650638305</v>
          </cell>
          <cell r="I38">
            <v>119</v>
          </cell>
          <cell r="J38">
            <v>139852.87719298247</v>
          </cell>
          <cell r="K38" t="str">
            <v>G</v>
          </cell>
          <cell r="L38" t="str">
            <v>New Construction</v>
          </cell>
          <cell r="N38" t="str">
            <v>Northern</v>
          </cell>
          <cell r="O38">
            <v>0</v>
          </cell>
          <cell r="P38">
            <v>17306320.457531147</v>
          </cell>
          <cell r="Q38">
            <v>821199</v>
          </cell>
          <cell r="R38">
            <v>0</v>
          </cell>
          <cell r="S38">
            <v>0.59523809523809523</v>
          </cell>
          <cell r="T38">
            <v>0</v>
          </cell>
          <cell r="U38">
            <v>0</v>
          </cell>
          <cell r="V38" t="str">
            <v>New Construction</v>
          </cell>
          <cell r="X38" t="str">
            <v>California Municipal Finance Authority</v>
          </cell>
        </row>
        <row r="39">
          <cell r="A39" t="str">
            <v>CA-21-744</v>
          </cell>
          <cell r="B39" t="str">
            <v xml:space="preserve">Monterey and Madrone Apartments </v>
          </cell>
          <cell r="C39">
            <v>249</v>
          </cell>
          <cell r="D39">
            <v>246</v>
          </cell>
          <cell r="E39" t="str">
            <v>Large Family</v>
          </cell>
          <cell r="F39" t="str">
            <v>Morgan Hill</v>
          </cell>
          <cell r="G39" t="str">
            <v>Santa Clara</v>
          </cell>
          <cell r="H39">
            <v>62500000</v>
          </cell>
          <cell r="I39">
            <v>119</v>
          </cell>
          <cell r="J39">
            <v>141357.02746365106</v>
          </cell>
          <cell r="K39" t="str">
            <v>G</v>
          </cell>
          <cell r="L39" t="str">
            <v>New Construction</v>
          </cell>
          <cell r="N39" t="str">
            <v>Bay Area</v>
          </cell>
          <cell r="O39">
            <v>0</v>
          </cell>
          <cell r="P39">
            <v>124455933</v>
          </cell>
          <cell r="Q39">
            <v>5513422.2000000002</v>
          </cell>
          <cell r="R39">
            <v>0</v>
          </cell>
          <cell r="S39">
            <v>0.55934959349593505</v>
          </cell>
          <cell r="T39">
            <v>0</v>
          </cell>
          <cell r="U39">
            <v>0</v>
          </cell>
          <cell r="V39" t="str">
            <v>New Construction</v>
          </cell>
          <cell r="X39" t="str">
            <v>California Municipal Finance Authority</v>
          </cell>
        </row>
        <row r="40">
          <cell r="A40" t="str">
            <v>CA-21-726</v>
          </cell>
          <cell r="B40" t="str">
            <v>Aviara</v>
          </cell>
          <cell r="C40">
            <v>136</v>
          </cell>
          <cell r="D40">
            <v>135</v>
          </cell>
          <cell r="E40" t="str">
            <v>Non-Targeted</v>
          </cell>
          <cell r="F40" t="str">
            <v>Santa Rosa</v>
          </cell>
          <cell r="G40" t="str">
            <v>Sonoma</v>
          </cell>
          <cell r="H40">
            <v>27563999.964972299</v>
          </cell>
          <cell r="I40">
            <v>119</v>
          </cell>
          <cell r="J40">
            <v>146579.7127680312</v>
          </cell>
          <cell r="K40" t="str">
            <v>S</v>
          </cell>
          <cell r="L40" t="str">
            <v>New Construction</v>
          </cell>
          <cell r="N40" t="str">
            <v>Northern</v>
          </cell>
          <cell r="O40">
            <v>1</v>
          </cell>
          <cell r="P40">
            <v>53484158.717862353</v>
          </cell>
          <cell r="Q40">
            <v>2452937</v>
          </cell>
          <cell r="R40">
            <v>3127997</v>
          </cell>
          <cell r="S40">
            <v>0.59555555555555539</v>
          </cell>
          <cell r="T40">
            <v>0</v>
          </cell>
          <cell r="U40">
            <v>0</v>
          </cell>
          <cell r="V40" t="str">
            <v>New Construction</v>
          </cell>
          <cell r="X40" t="str">
            <v>California Municipal Finance Authority</v>
          </cell>
        </row>
        <row r="41">
          <cell r="A41" t="str">
            <v>CA-21-760</v>
          </cell>
          <cell r="B41" t="str">
            <v>600 7th Street</v>
          </cell>
          <cell r="C41">
            <v>221</v>
          </cell>
          <cell r="D41">
            <v>220</v>
          </cell>
          <cell r="E41" t="str">
            <v>Special Needs</v>
          </cell>
          <cell r="F41" t="str">
            <v>San Francisco</v>
          </cell>
          <cell r="G41" t="str">
            <v>San Francisco</v>
          </cell>
          <cell r="H41">
            <v>71076486</v>
          </cell>
          <cell r="I41">
            <v>119</v>
          </cell>
          <cell r="J41">
            <v>148540.20062695924</v>
          </cell>
          <cell r="K41" t="str">
            <v>W</v>
          </cell>
          <cell r="L41" t="str">
            <v>New Construction</v>
          </cell>
          <cell r="M41" t="str">
            <v>Homeless</v>
          </cell>
          <cell r="N41" t="str">
            <v>Bay Area</v>
          </cell>
          <cell r="O41">
            <v>0</v>
          </cell>
          <cell r="P41">
            <v>139430851</v>
          </cell>
          <cell r="Q41">
            <v>5309190</v>
          </cell>
          <cell r="R41">
            <v>0</v>
          </cell>
          <cell r="S41">
            <v>0.50863636363636366</v>
          </cell>
          <cell r="T41">
            <v>120</v>
          </cell>
          <cell r="U41">
            <v>0.54545454545454541</v>
          </cell>
          <cell r="V41" t="str">
            <v>New Construction</v>
          </cell>
          <cell r="X41" t="str">
            <v>City and County of San Francisco</v>
          </cell>
        </row>
        <row r="42">
          <cell r="A42" t="str">
            <v>CA-21-709</v>
          </cell>
          <cell r="B42" t="str">
            <v>Centennial Square Apartments</v>
          </cell>
          <cell r="C42">
            <v>184</v>
          </cell>
          <cell r="D42">
            <v>182</v>
          </cell>
          <cell r="E42" t="str">
            <v>Large Family</v>
          </cell>
          <cell r="F42" t="str">
            <v>Santa Maria</v>
          </cell>
          <cell r="G42" t="str">
            <v>Santa Barbara</v>
          </cell>
          <cell r="H42">
            <v>35664687</v>
          </cell>
          <cell r="I42">
            <v>119</v>
          </cell>
          <cell r="J42">
            <v>149611.83010156974</v>
          </cell>
          <cell r="K42" t="str">
            <v>W</v>
          </cell>
          <cell r="L42" t="str">
            <v>New Construction</v>
          </cell>
          <cell r="N42" t="str">
            <v>Coastal</v>
          </cell>
          <cell r="O42">
            <v>0</v>
          </cell>
          <cell r="P42">
            <v>68428041</v>
          </cell>
          <cell r="Q42">
            <v>3104524</v>
          </cell>
          <cell r="R42">
            <v>4842716</v>
          </cell>
          <cell r="S42">
            <v>0.55824175824175826</v>
          </cell>
          <cell r="T42">
            <v>0</v>
          </cell>
          <cell r="U42">
            <v>0</v>
          </cell>
          <cell r="V42" t="str">
            <v>New Construction</v>
          </cell>
          <cell r="X42" t="str">
            <v>California Statewide Communities Development Authority</v>
          </cell>
        </row>
        <row r="43">
          <cell r="A43" t="str">
            <v>CA-21-755</v>
          </cell>
          <cell r="B43" t="str">
            <v>Vintage at University Glen</v>
          </cell>
          <cell r="C43">
            <v>170</v>
          </cell>
          <cell r="D43">
            <v>169</v>
          </cell>
          <cell r="E43" t="str">
            <v>Non-Targeted</v>
          </cell>
          <cell r="F43" t="str">
            <v>Camarillo</v>
          </cell>
          <cell r="G43" t="str">
            <v>Ventura</v>
          </cell>
          <cell r="H43">
            <v>34078256</v>
          </cell>
          <cell r="I43">
            <v>119</v>
          </cell>
          <cell r="J43">
            <v>151039.36177285318</v>
          </cell>
          <cell r="K43" t="str">
            <v>W</v>
          </cell>
          <cell r="L43" t="str">
            <v>New Construction</v>
          </cell>
          <cell r="N43" t="str">
            <v>Coastal</v>
          </cell>
          <cell r="O43">
            <v>0</v>
          </cell>
          <cell r="P43">
            <v>66002721</v>
          </cell>
          <cell r="Q43">
            <v>3120458</v>
          </cell>
          <cell r="R43">
            <v>0</v>
          </cell>
          <cell r="S43">
            <v>0.55976331360946741</v>
          </cell>
          <cell r="T43">
            <v>0</v>
          </cell>
          <cell r="U43">
            <v>0</v>
          </cell>
          <cell r="V43" t="str">
            <v>New Construction</v>
          </cell>
          <cell r="X43" t="str">
            <v>California Statewide Communities Development Authority</v>
          </cell>
        </row>
        <row r="44">
          <cell r="A44" t="str">
            <v>CA-21-707</v>
          </cell>
          <cell r="B44" t="str">
            <v>Vista Lane Family Homes</v>
          </cell>
          <cell r="C44">
            <v>167</v>
          </cell>
          <cell r="D44">
            <v>165</v>
          </cell>
          <cell r="E44" t="str">
            <v>Large Family</v>
          </cell>
          <cell r="F44" t="str">
            <v>San Ysidro</v>
          </cell>
          <cell r="G44" t="str">
            <v>San Diego</v>
          </cell>
          <cell r="H44">
            <v>30326597</v>
          </cell>
          <cell r="I44">
            <v>119</v>
          </cell>
          <cell r="J44">
            <v>152821.59742441209</v>
          </cell>
          <cell r="K44" t="str">
            <v>W</v>
          </cell>
          <cell r="L44" t="str">
            <v>BIPOC</v>
          </cell>
          <cell r="N44" t="str">
            <v>Coastal</v>
          </cell>
          <cell r="O44">
            <v>0</v>
          </cell>
          <cell r="P44">
            <v>61103008</v>
          </cell>
          <cell r="Q44">
            <v>2658317.1</v>
          </cell>
          <cell r="R44">
            <v>0</v>
          </cell>
          <cell r="S44">
            <v>0.59878787878787887</v>
          </cell>
          <cell r="T44">
            <v>0</v>
          </cell>
          <cell r="U44">
            <v>0</v>
          </cell>
          <cell r="V44" t="str">
            <v>New Construction</v>
          </cell>
          <cell r="X44" t="str">
            <v>California Municipal Finance Authority</v>
          </cell>
        </row>
        <row r="45">
          <cell r="A45" t="str">
            <v>CA-21-717</v>
          </cell>
          <cell r="B45" t="str">
            <v>Sendero</v>
          </cell>
          <cell r="C45">
            <v>110</v>
          </cell>
          <cell r="D45">
            <v>109</v>
          </cell>
          <cell r="E45" t="str">
            <v>Large Family</v>
          </cell>
          <cell r="F45" t="str">
            <v>San Diego</v>
          </cell>
          <cell r="G45" t="str">
            <v>San Diego</v>
          </cell>
          <cell r="H45">
            <v>21857430</v>
          </cell>
          <cell r="I45">
            <v>119</v>
          </cell>
          <cell r="J45">
            <v>153586.24001102234</v>
          </cell>
          <cell r="K45" t="str">
            <v>W</v>
          </cell>
          <cell r="L45" t="str">
            <v>New Construction</v>
          </cell>
          <cell r="N45" t="str">
            <v>Coastal</v>
          </cell>
          <cell r="O45">
            <v>0</v>
          </cell>
          <cell r="P45">
            <v>44393262</v>
          </cell>
          <cell r="Q45">
            <v>2020398.7</v>
          </cell>
          <cell r="R45">
            <v>0</v>
          </cell>
          <cell r="S45">
            <v>0.60000000000000009</v>
          </cell>
          <cell r="T45">
            <v>0</v>
          </cell>
          <cell r="U45">
            <v>0</v>
          </cell>
          <cell r="V45" t="str">
            <v>New Construction</v>
          </cell>
          <cell r="X45" t="str">
            <v>California Housing Finance Agency</v>
          </cell>
        </row>
        <row r="46">
          <cell r="A46" t="str">
            <v>CA-21-683</v>
          </cell>
          <cell r="B46" t="str">
            <v>Aspen Wood Apartments</v>
          </cell>
          <cell r="C46">
            <v>123</v>
          </cell>
          <cell r="D46">
            <v>122</v>
          </cell>
          <cell r="E46" t="str">
            <v>Seniors</v>
          </cell>
          <cell r="F46" t="str">
            <v>San Ramon</v>
          </cell>
          <cell r="G46" t="str">
            <v>Contra Costa</v>
          </cell>
          <cell r="H46">
            <v>26342943</v>
          </cell>
          <cell r="I46">
            <v>119</v>
          </cell>
          <cell r="J46">
            <v>155219.36111111109</v>
          </cell>
          <cell r="K46" t="str">
            <v>W</v>
          </cell>
          <cell r="L46" t="str">
            <v>New Construction</v>
          </cell>
          <cell r="N46" t="str">
            <v>Bay Area</v>
          </cell>
          <cell r="O46">
            <v>0</v>
          </cell>
          <cell r="P46">
            <v>52465272.850000001</v>
          </cell>
          <cell r="Q46">
            <v>2623803</v>
          </cell>
          <cell r="R46">
            <v>0</v>
          </cell>
          <cell r="S46">
            <v>0.55737704918032793</v>
          </cell>
          <cell r="T46">
            <v>0</v>
          </cell>
          <cell r="U46">
            <v>0</v>
          </cell>
          <cell r="V46" t="str">
            <v>New Construction</v>
          </cell>
          <cell r="X46" t="str">
            <v>California Municipal Finance Authority</v>
          </cell>
        </row>
        <row r="47">
          <cell r="A47" t="str">
            <v>CA-21-739</v>
          </cell>
          <cell r="B47" t="str">
            <v>Villa Oakland</v>
          </cell>
          <cell r="C47">
            <v>105</v>
          </cell>
          <cell r="D47">
            <v>104</v>
          </cell>
          <cell r="E47" t="str">
            <v>Special Needs</v>
          </cell>
          <cell r="F47" t="str">
            <v>Oakland</v>
          </cell>
          <cell r="G47" t="str">
            <v>Alameda</v>
          </cell>
          <cell r="H47">
            <v>22634000</v>
          </cell>
          <cell r="I47">
            <v>119</v>
          </cell>
          <cell r="J47">
            <v>155818.08849557521</v>
          </cell>
          <cell r="K47" t="str">
            <v>H</v>
          </cell>
          <cell r="L47" t="str">
            <v>New Construction</v>
          </cell>
          <cell r="M47" t="str">
            <v>Homeless, ELI, VLI</v>
          </cell>
          <cell r="N47" t="str">
            <v>Bay Area</v>
          </cell>
          <cell r="O47">
            <v>0</v>
          </cell>
          <cell r="P47">
            <v>44858501</v>
          </cell>
          <cell r="Q47">
            <v>2287420</v>
          </cell>
          <cell r="R47">
            <v>12580888</v>
          </cell>
          <cell r="S47">
            <v>0.48653846153846153</v>
          </cell>
          <cell r="T47">
            <v>53</v>
          </cell>
          <cell r="U47">
            <v>0.50961538461538458</v>
          </cell>
          <cell r="V47" t="str">
            <v>New Construction</v>
          </cell>
          <cell r="X47" t="str">
            <v>California Municipal Finance Authority</v>
          </cell>
        </row>
        <row r="48">
          <cell r="A48" t="str">
            <v>CA-21-748</v>
          </cell>
          <cell r="B48" t="str">
            <v>Voltaire Villas PSH</v>
          </cell>
          <cell r="C48">
            <v>72</v>
          </cell>
          <cell r="D48">
            <v>71</v>
          </cell>
          <cell r="E48" t="str">
            <v>Special Needs</v>
          </cell>
          <cell r="F48" t="str">
            <v>Los Angeles</v>
          </cell>
          <cell r="G48" t="str">
            <v>Los Angeles</v>
          </cell>
          <cell r="H48">
            <v>19000000</v>
          </cell>
          <cell r="I48">
            <v>119</v>
          </cell>
          <cell r="J48">
            <v>159812.13505965978</v>
          </cell>
          <cell r="K48" t="str">
            <v>H</v>
          </cell>
          <cell r="L48" t="str">
            <v>New Construction</v>
          </cell>
          <cell r="M48" t="str">
            <v>Homeless, ELI, VLI</v>
          </cell>
          <cell r="N48" t="str">
            <v>City of Los Angeles</v>
          </cell>
          <cell r="O48">
            <v>0</v>
          </cell>
          <cell r="P48">
            <v>35808355</v>
          </cell>
          <cell r="Q48">
            <v>1583688</v>
          </cell>
          <cell r="R48">
            <v>0</v>
          </cell>
          <cell r="S48">
            <v>0.27112676056338025</v>
          </cell>
          <cell r="T48">
            <v>71</v>
          </cell>
          <cell r="U48">
            <v>1</v>
          </cell>
          <cell r="V48" t="str">
            <v>New Construction</v>
          </cell>
          <cell r="X48" t="str">
            <v>City of Los Angeles</v>
          </cell>
        </row>
        <row r="49">
          <cell r="A49" t="str">
            <v>CA-21-700</v>
          </cell>
          <cell r="B49" t="str">
            <v>MacArthur Studios</v>
          </cell>
          <cell r="C49">
            <v>193</v>
          </cell>
          <cell r="D49">
            <v>191</v>
          </cell>
          <cell r="E49" t="str">
            <v>Non-Targeted</v>
          </cell>
          <cell r="F49" t="str">
            <v>Oakland</v>
          </cell>
          <cell r="G49" t="str">
            <v>Alameda</v>
          </cell>
          <cell r="H49">
            <v>34500000</v>
          </cell>
          <cell r="I49">
            <v>119</v>
          </cell>
          <cell r="J49">
            <v>160451.92861255037</v>
          </cell>
          <cell r="K49" t="str">
            <v>W</v>
          </cell>
          <cell r="L49" t="str">
            <v>New Construction</v>
          </cell>
          <cell r="M49" t="str">
            <v>ELI/VLI</v>
          </cell>
          <cell r="N49" t="str">
            <v>Bay Area</v>
          </cell>
          <cell r="O49">
            <v>0</v>
          </cell>
          <cell r="P49">
            <v>67433729</v>
          </cell>
          <cell r="Q49">
            <v>2476483</v>
          </cell>
          <cell r="R49">
            <v>5315000</v>
          </cell>
          <cell r="S49">
            <v>0.59790575916230371</v>
          </cell>
          <cell r="T49">
            <v>0</v>
          </cell>
          <cell r="U49">
            <v>0</v>
          </cell>
          <cell r="V49" t="str">
            <v>New Construction</v>
          </cell>
          <cell r="X49" t="str">
            <v>California Municipal Finance Authority</v>
          </cell>
        </row>
        <row r="50">
          <cell r="A50" t="str">
            <v>CA-21-703</v>
          </cell>
          <cell r="B50" t="str">
            <v>The Wong Center</v>
          </cell>
          <cell r="C50">
            <v>150</v>
          </cell>
          <cell r="D50">
            <v>149</v>
          </cell>
          <cell r="E50" t="str">
            <v>Non-Targeted</v>
          </cell>
          <cell r="F50" t="str">
            <v>Sacramento</v>
          </cell>
          <cell r="G50" t="str">
            <v>Sacramento</v>
          </cell>
          <cell r="H50">
            <v>26638727</v>
          </cell>
          <cell r="I50">
            <v>119</v>
          </cell>
          <cell r="J50">
            <v>162621.2402795607</v>
          </cell>
          <cell r="K50" t="str">
            <v>E</v>
          </cell>
          <cell r="L50" t="str">
            <v>New Construction</v>
          </cell>
          <cell r="M50" t="str">
            <v>ELI/VLI</v>
          </cell>
          <cell r="N50" t="str">
            <v>Northern</v>
          </cell>
          <cell r="O50">
            <v>0</v>
          </cell>
          <cell r="P50">
            <v>53072424</v>
          </cell>
          <cell r="Q50">
            <v>2419611</v>
          </cell>
          <cell r="R50">
            <v>0</v>
          </cell>
          <cell r="S50">
            <v>0.5</v>
          </cell>
          <cell r="T50">
            <v>0</v>
          </cell>
          <cell r="U50">
            <v>0</v>
          </cell>
          <cell r="V50" t="str">
            <v>New Construction</v>
          </cell>
          <cell r="X50" t="str">
            <v>Housing Authority of the City of Sacramento</v>
          </cell>
        </row>
        <row r="51">
          <cell r="A51" t="str">
            <v>CA-21-708</v>
          </cell>
          <cell r="B51" t="str">
            <v>Vista Lane Seniors</v>
          </cell>
          <cell r="C51">
            <v>148</v>
          </cell>
          <cell r="D51">
            <v>147</v>
          </cell>
          <cell r="E51" t="str">
            <v>Seniors</v>
          </cell>
          <cell r="F51" t="str">
            <v>San Ysidro</v>
          </cell>
          <cell r="G51" t="str">
            <v>San Diego</v>
          </cell>
          <cell r="H51">
            <v>22269310</v>
          </cell>
          <cell r="I51">
            <v>119</v>
          </cell>
          <cell r="J51">
            <v>163885.36503423043</v>
          </cell>
          <cell r="L51" t="str">
            <v>BIPOC</v>
          </cell>
          <cell r="N51" t="str">
            <v>Coastal</v>
          </cell>
          <cell r="O51">
            <v>0</v>
          </cell>
          <cell r="P51">
            <v>45251178</v>
          </cell>
          <cell r="Q51">
            <v>2070916</v>
          </cell>
          <cell r="R51">
            <v>1387596</v>
          </cell>
          <cell r="S51">
            <v>0.55646258503401369</v>
          </cell>
          <cell r="T51">
            <v>0</v>
          </cell>
          <cell r="U51">
            <v>0</v>
          </cell>
          <cell r="V51" t="str">
            <v>New Construction</v>
          </cell>
          <cell r="X51" t="str">
            <v>California Municipal Finance Authority</v>
          </cell>
        </row>
        <row r="52">
          <cell r="A52" t="str">
            <v>CA-21-695</v>
          </cell>
          <cell r="B52" t="str">
            <v>Mainline North Apartments</v>
          </cell>
          <cell r="C52">
            <v>151</v>
          </cell>
          <cell r="D52">
            <v>150</v>
          </cell>
          <cell r="E52" t="str">
            <v>Non-Targeted</v>
          </cell>
          <cell r="F52" t="str">
            <v>Santa Clara</v>
          </cell>
          <cell r="G52" t="str">
            <v>Santa Clara</v>
          </cell>
          <cell r="H52">
            <v>35400000</v>
          </cell>
          <cell r="I52">
            <v>119</v>
          </cell>
          <cell r="J52">
            <v>165752.508361204</v>
          </cell>
          <cell r="L52" t="str">
            <v>New Construction</v>
          </cell>
          <cell r="N52" t="str">
            <v>Bay Area</v>
          </cell>
          <cell r="O52">
            <v>0</v>
          </cell>
          <cell r="P52">
            <v>70575229</v>
          </cell>
          <cell r="Q52">
            <v>3365998</v>
          </cell>
          <cell r="R52">
            <v>0</v>
          </cell>
          <cell r="S52">
            <v>0.57999999999999985</v>
          </cell>
          <cell r="T52">
            <v>0</v>
          </cell>
          <cell r="U52">
            <v>0</v>
          </cell>
          <cell r="V52" t="str">
            <v>New Construction</v>
          </cell>
          <cell r="X52" t="str">
            <v>California Municipal Finance Authority</v>
          </cell>
        </row>
        <row r="53">
          <cell r="A53" t="str">
            <v>CA-21-699</v>
          </cell>
          <cell r="B53" t="str">
            <v>San Leandro Durant Studios</v>
          </cell>
          <cell r="C53">
            <v>221</v>
          </cell>
          <cell r="D53">
            <v>219</v>
          </cell>
          <cell r="E53" t="str">
            <v>Non-Targeted</v>
          </cell>
          <cell r="F53" t="str">
            <v>San Leandro</v>
          </cell>
          <cell r="G53" t="str">
            <v>Alameda</v>
          </cell>
          <cell r="H53">
            <v>40000000</v>
          </cell>
          <cell r="I53">
            <v>119</v>
          </cell>
          <cell r="J53">
            <v>171568.62745098039</v>
          </cell>
          <cell r="L53" t="str">
            <v>New Construction</v>
          </cell>
          <cell r="M53" t="str">
            <v>ELI/VLI</v>
          </cell>
          <cell r="N53" t="str">
            <v>Bay Area</v>
          </cell>
          <cell r="O53">
            <v>0</v>
          </cell>
          <cell r="P53">
            <v>77665091</v>
          </cell>
          <cell r="Q53">
            <v>2925448</v>
          </cell>
          <cell r="R53">
            <v>8750000</v>
          </cell>
          <cell r="S53">
            <v>0.59817351598173518</v>
          </cell>
          <cell r="T53">
            <v>0</v>
          </cell>
          <cell r="U53">
            <v>0</v>
          </cell>
          <cell r="V53" t="str">
            <v>New Construction</v>
          </cell>
          <cell r="X53" t="str">
            <v>California Municipal Finance Authority</v>
          </cell>
        </row>
        <row r="54">
          <cell r="A54" t="str">
            <v>CA-21-761</v>
          </cell>
          <cell r="B54" t="str">
            <v>EPOCA Neighborhood L Apartments</v>
          </cell>
          <cell r="C54">
            <v>120</v>
          </cell>
          <cell r="D54">
            <v>119</v>
          </cell>
          <cell r="E54" t="str">
            <v>Large Family</v>
          </cell>
          <cell r="F54" t="str">
            <v>San Diego</v>
          </cell>
          <cell r="G54" t="str">
            <v>San Diego</v>
          </cell>
          <cell r="H54">
            <v>21861642</v>
          </cell>
          <cell r="I54">
            <v>119</v>
          </cell>
          <cell r="J54">
            <v>172227.97162828947</v>
          </cell>
          <cell r="L54" t="str">
            <v>New Construction</v>
          </cell>
          <cell r="N54" t="str">
            <v>Coastal</v>
          </cell>
          <cell r="O54">
            <v>0</v>
          </cell>
          <cell r="P54">
            <v>47612524</v>
          </cell>
          <cell r="Q54">
            <v>1603278</v>
          </cell>
          <cell r="R54">
            <v>2777089</v>
          </cell>
          <cell r="S54">
            <v>0.55294117647058827</v>
          </cell>
          <cell r="T54">
            <v>0</v>
          </cell>
          <cell r="U54">
            <v>0</v>
          </cell>
          <cell r="V54" t="str">
            <v>New Construction</v>
          </cell>
          <cell r="X54" t="str">
            <v>Housing Authority of the City of San Diego</v>
          </cell>
        </row>
        <row r="55">
          <cell r="A55" t="str">
            <v>CA-21-738</v>
          </cell>
          <cell r="B55" t="str">
            <v>Oak Apartments</v>
          </cell>
          <cell r="C55">
            <v>64</v>
          </cell>
          <cell r="D55">
            <v>63</v>
          </cell>
          <cell r="E55" t="str">
            <v>Special Needs</v>
          </cell>
          <cell r="F55" t="str">
            <v>Los Angeles</v>
          </cell>
          <cell r="G55" t="str">
            <v>Los Angeles</v>
          </cell>
          <cell r="H55">
            <v>19573989</v>
          </cell>
          <cell r="I55">
            <v>119</v>
          </cell>
          <cell r="J55">
            <v>172799.67009550254</v>
          </cell>
          <cell r="K55" t="str">
            <v>H</v>
          </cell>
          <cell r="L55" t="str">
            <v>New Construction</v>
          </cell>
          <cell r="M55" t="str">
            <v>Homeless</v>
          </cell>
          <cell r="N55" t="str">
            <v>City of Los Angeles</v>
          </cell>
          <cell r="O55">
            <v>0</v>
          </cell>
          <cell r="P55">
            <v>37787205</v>
          </cell>
          <cell r="Q55">
            <v>1490063</v>
          </cell>
          <cell r="R55">
            <v>0</v>
          </cell>
          <cell r="S55">
            <v>0.29999999999999993</v>
          </cell>
          <cell r="T55">
            <v>63</v>
          </cell>
          <cell r="U55">
            <v>1</v>
          </cell>
          <cell r="V55" t="str">
            <v>New Construction</v>
          </cell>
          <cell r="X55" t="str">
            <v>City of Los Angeles</v>
          </cell>
        </row>
        <row r="56">
          <cell r="A56" t="str">
            <v>CA-21-706</v>
          </cell>
          <cell r="B56" t="str">
            <v>Algarve Apartments</v>
          </cell>
          <cell r="C56">
            <v>91</v>
          </cell>
          <cell r="D56">
            <v>90</v>
          </cell>
          <cell r="E56" t="str">
            <v>Special Needs</v>
          </cell>
          <cell r="F56" t="str">
            <v>San Jose</v>
          </cell>
          <cell r="G56" t="str">
            <v>Santa Clara</v>
          </cell>
          <cell r="H56">
            <v>32532700</v>
          </cell>
          <cell r="I56">
            <v>119</v>
          </cell>
          <cell r="J56">
            <v>173415.24520255861</v>
          </cell>
          <cell r="K56" t="str">
            <v>H</v>
          </cell>
          <cell r="L56" t="str">
            <v>New Construction</v>
          </cell>
          <cell r="M56" t="str">
            <v>Homeless, ELI, VLI</v>
          </cell>
          <cell r="N56" t="str">
            <v>Bay Area</v>
          </cell>
          <cell r="O56">
            <v>0</v>
          </cell>
          <cell r="P56">
            <v>63423095</v>
          </cell>
          <cell r="Q56">
            <v>2846353</v>
          </cell>
          <cell r="R56">
            <v>0</v>
          </cell>
          <cell r="S56">
            <v>0.39555555555555555</v>
          </cell>
          <cell r="T56">
            <v>46</v>
          </cell>
          <cell r="U56">
            <v>0.51111111111111107</v>
          </cell>
          <cell r="V56" t="str">
            <v>New Construction</v>
          </cell>
          <cell r="X56" t="str">
            <v>City of San Jose</v>
          </cell>
        </row>
        <row r="57">
          <cell r="A57" t="str">
            <v>CA-21-743</v>
          </cell>
          <cell r="B57" t="str">
            <v>Anton Power Inn</v>
          </cell>
          <cell r="C57">
            <v>194</v>
          </cell>
          <cell r="D57">
            <v>192</v>
          </cell>
          <cell r="E57" t="str">
            <v>Large Family</v>
          </cell>
          <cell r="F57" t="str">
            <v>Sacramento</v>
          </cell>
          <cell r="G57" t="str">
            <v>Sacramento</v>
          </cell>
          <cell r="H57">
            <v>30475089</v>
          </cell>
          <cell r="I57">
            <v>119</v>
          </cell>
          <cell r="J57">
            <v>174243.22237411712</v>
          </cell>
          <cell r="L57" t="str">
            <v>New Construction</v>
          </cell>
          <cell r="N57" t="str">
            <v>Northern</v>
          </cell>
          <cell r="O57">
            <v>0</v>
          </cell>
          <cell r="P57">
            <v>61532057</v>
          </cell>
          <cell r="Q57">
            <v>2957385</v>
          </cell>
          <cell r="R57">
            <v>12408285</v>
          </cell>
          <cell r="S57">
            <v>0.59739583333333324</v>
          </cell>
          <cell r="T57">
            <v>0</v>
          </cell>
          <cell r="U57">
            <v>0</v>
          </cell>
          <cell r="V57" t="str">
            <v>New Construction</v>
          </cell>
          <cell r="X57" t="str">
            <v>California Housing Finance Agency</v>
          </cell>
        </row>
        <row r="58">
          <cell r="A58" t="str">
            <v>CA-21-733</v>
          </cell>
          <cell r="B58" t="str">
            <v>Vermont Manchester Family</v>
          </cell>
          <cell r="C58">
            <v>118</v>
          </cell>
          <cell r="D58">
            <v>116</v>
          </cell>
          <cell r="E58" t="str">
            <v>Special Needs</v>
          </cell>
          <cell r="F58" t="str">
            <v>Los Angeles</v>
          </cell>
          <cell r="G58" t="str">
            <v>Los Angeles</v>
          </cell>
          <cell r="H58">
            <v>46338493</v>
          </cell>
          <cell r="I58">
            <v>119</v>
          </cell>
          <cell r="J58">
            <v>176772.30156955429</v>
          </cell>
          <cell r="K58" t="str">
            <v>E</v>
          </cell>
          <cell r="L58" t="str">
            <v>New Construction</v>
          </cell>
          <cell r="M58" t="str">
            <v>Homeless, ELI, VLI</v>
          </cell>
          <cell r="N58" t="str">
            <v>City of Los Angeles</v>
          </cell>
          <cell r="O58">
            <v>0</v>
          </cell>
          <cell r="P58">
            <v>93061287</v>
          </cell>
          <cell r="Q58">
            <v>4631509</v>
          </cell>
          <cell r="R58">
            <v>0</v>
          </cell>
          <cell r="S58">
            <v>0.4353448275862068</v>
          </cell>
          <cell r="T58">
            <v>58</v>
          </cell>
          <cell r="U58">
            <v>0.5</v>
          </cell>
          <cell r="V58" t="str">
            <v>New Construction</v>
          </cell>
          <cell r="X58" t="str">
            <v>Los Angeles County Development Authority</v>
          </cell>
        </row>
        <row r="59">
          <cell r="A59" t="str">
            <v>CA-21-729</v>
          </cell>
          <cell r="B59" t="str">
            <v>Marina Dunes BMR Site 1 (Lot 24-93 Units) / Site 2 (Lot 20-49 Units)</v>
          </cell>
          <cell r="C59">
            <v>142</v>
          </cell>
          <cell r="D59">
            <v>140</v>
          </cell>
          <cell r="E59" t="str">
            <v>Non-Targeted</v>
          </cell>
          <cell r="F59" t="str">
            <v>Marina</v>
          </cell>
          <cell r="G59" t="str">
            <v>Monterey</v>
          </cell>
          <cell r="H59">
            <v>34000000</v>
          </cell>
          <cell r="I59">
            <v>119</v>
          </cell>
          <cell r="J59">
            <v>178095.30455351862</v>
          </cell>
          <cell r="K59" t="str">
            <v>M</v>
          </cell>
          <cell r="L59" t="str">
            <v>New Construction</v>
          </cell>
          <cell r="M59" t="str">
            <v>MIP</v>
          </cell>
          <cell r="N59" t="str">
            <v>Coastal</v>
          </cell>
          <cell r="O59">
            <v>0</v>
          </cell>
          <cell r="P59">
            <v>67623959</v>
          </cell>
          <cell r="Q59">
            <v>3321658</v>
          </cell>
          <cell r="R59">
            <v>3644895</v>
          </cell>
          <cell r="S59">
            <v>0.57999999999999985</v>
          </cell>
          <cell r="T59">
            <v>0</v>
          </cell>
          <cell r="U59">
            <v>0</v>
          </cell>
          <cell r="V59" t="str">
            <v>New Construction</v>
          </cell>
          <cell r="X59" t="str">
            <v>California Housing Finance Agency</v>
          </cell>
        </row>
        <row r="60">
          <cell r="A60" t="str">
            <v>CA-21-752</v>
          </cell>
          <cell r="B60" t="str">
            <v>The Banning</v>
          </cell>
          <cell r="C60">
            <v>64</v>
          </cell>
          <cell r="D60">
            <v>63</v>
          </cell>
          <cell r="E60" t="str">
            <v>Special Needs</v>
          </cell>
          <cell r="F60" t="str">
            <v>Los Angeles</v>
          </cell>
          <cell r="G60" t="str">
            <v>Los Angeles</v>
          </cell>
          <cell r="H60">
            <v>21213423</v>
          </cell>
          <cell r="I60">
            <v>119</v>
          </cell>
          <cell r="J60">
            <v>178158.22531518913</v>
          </cell>
          <cell r="K60" t="str">
            <v>H</v>
          </cell>
          <cell r="L60" t="str">
            <v>New Construction</v>
          </cell>
          <cell r="M60" t="str">
            <v>Homeless, ELI, VLI</v>
          </cell>
          <cell r="N60" t="str">
            <v>City of Los Angeles</v>
          </cell>
          <cell r="O60">
            <v>0</v>
          </cell>
          <cell r="P60">
            <v>41159929</v>
          </cell>
          <cell r="Q60">
            <v>1846954.2</v>
          </cell>
          <cell r="R60">
            <v>0</v>
          </cell>
          <cell r="S60">
            <v>0.33968253968253959</v>
          </cell>
          <cell r="T60">
            <v>63</v>
          </cell>
          <cell r="U60">
            <v>1</v>
          </cell>
          <cell r="V60" t="str">
            <v>New Construction</v>
          </cell>
          <cell r="X60" t="str">
            <v>City of Los Angeles</v>
          </cell>
        </row>
        <row r="61">
          <cell r="A61" t="str">
            <v>CA-21-728</v>
          </cell>
          <cell r="B61" t="str">
            <v>Los Adobes de Maria I</v>
          </cell>
          <cell r="C61">
            <v>65</v>
          </cell>
          <cell r="D61">
            <v>64</v>
          </cell>
          <cell r="E61" t="str">
            <v>Large Family</v>
          </cell>
          <cell r="F61" t="str">
            <v>Santa Maria</v>
          </cell>
          <cell r="G61" t="str">
            <v>Santa Barbara</v>
          </cell>
          <cell r="H61">
            <v>11242938.303953854</v>
          </cell>
          <cell r="I61">
            <v>105</v>
          </cell>
          <cell r="J61">
            <v>106379.07037256061</v>
          </cell>
          <cell r="L61" t="str">
            <v>Other Rehab</v>
          </cell>
          <cell r="N61" t="str">
            <v>Coastal</v>
          </cell>
          <cell r="O61">
            <v>0</v>
          </cell>
          <cell r="P61">
            <v>22568286.732408248</v>
          </cell>
          <cell r="Q61">
            <v>1001299</v>
          </cell>
          <cell r="R61">
            <v>0</v>
          </cell>
          <cell r="S61">
            <v>0.58437499999999998</v>
          </cell>
          <cell r="T61">
            <v>0</v>
          </cell>
          <cell r="U61">
            <v>0</v>
          </cell>
          <cell r="V61" t="str">
            <v>Acquisition &amp; Rehabilitation</v>
          </cell>
          <cell r="X61" t="str">
            <v>California Municipal Finance Authority</v>
          </cell>
        </row>
        <row r="62">
          <cell r="A62" t="str">
            <v>CA-21-718</v>
          </cell>
          <cell r="B62" t="str">
            <v>Kifer Senior Housing</v>
          </cell>
          <cell r="C62">
            <v>80</v>
          </cell>
          <cell r="D62">
            <v>79</v>
          </cell>
          <cell r="E62" t="str">
            <v>Special Needs</v>
          </cell>
          <cell r="F62" t="str">
            <v xml:space="preserve">Santa Clara </v>
          </cell>
          <cell r="G62" t="str">
            <v>Santa Clara</v>
          </cell>
          <cell r="H62">
            <v>27963683.656045128</v>
          </cell>
          <cell r="I62">
            <v>119</v>
          </cell>
          <cell r="J62">
            <v>178681.68690095848</v>
          </cell>
          <cell r="K62" t="str">
            <v>E</v>
          </cell>
          <cell r="L62" t="str">
            <v>New Construction</v>
          </cell>
          <cell r="M62" t="str">
            <v>Homeless, ELI, VLI</v>
          </cell>
          <cell r="N62" t="str">
            <v>Bay Area</v>
          </cell>
          <cell r="O62">
            <v>0</v>
          </cell>
          <cell r="P62">
            <v>54529924.484750949</v>
          </cell>
          <cell r="Q62">
            <v>2415301</v>
          </cell>
          <cell r="R62">
            <v>0</v>
          </cell>
          <cell r="S62">
            <v>0.30886075949367092</v>
          </cell>
          <cell r="T62">
            <v>54</v>
          </cell>
          <cell r="U62">
            <v>0.68354430379746833</v>
          </cell>
          <cell r="V62" t="str">
            <v>New Construction</v>
          </cell>
          <cell r="X62" t="str">
            <v>California Municipal Finance Authority</v>
          </cell>
        </row>
        <row r="63">
          <cell r="A63" t="str">
            <v>CA-21-685</v>
          </cell>
          <cell r="B63" t="str">
            <v>2400 Long Beach</v>
          </cell>
          <cell r="C63">
            <v>194</v>
          </cell>
          <cell r="D63">
            <v>192</v>
          </cell>
          <cell r="E63" t="str">
            <v>Large Family</v>
          </cell>
          <cell r="F63" t="str">
            <v>Long Beach</v>
          </cell>
          <cell r="G63" t="str">
            <v>Los Angeles</v>
          </cell>
          <cell r="H63">
            <v>44500000</v>
          </cell>
          <cell r="I63">
            <v>119</v>
          </cell>
          <cell r="J63">
            <v>179482.05655135671</v>
          </cell>
          <cell r="K63" t="str">
            <v>G</v>
          </cell>
          <cell r="L63" t="str">
            <v>New Construction</v>
          </cell>
          <cell r="N63" t="str">
            <v>Balance of LA County</v>
          </cell>
          <cell r="O63">
            <v>0</v>
          </cell>
          <cell r="P63">
            <v>92015094.303688511</v>
          </cell>
          <cell r="Q63">
            <v>4017742</v>
          </cell>
          <cell r="R63">
            <v>10500000</v>
          </cell>
          <cell r="S63">
            <v>0.59999999999999987</v>
          </cell>
          <cell r="T63">
            <v>0</v>
          </cell>
          <cell r="U63">
            <v>0</v>
          </cell>
          <cell r="V63" t="str">
            <v>New Construction</v>
          </cell>
          <cell r="X63" t="str">
            <v>California Municipal Finance Authority</v>
          </cell>
        </row>
        <row r="64">
          <cell r="A64" t="str">
            <v>CA-21-676</v>
          </cell>
          <cell r="B64" t="str">
            <v>The Meadows Seniors Apartments</v>
          </cell>
          <cell r="C64">
            <v>65</v>
          </cell>
          <cell r="D64">
            <v>64</v>
          </cell>
          <cell r="E64" t="str">
            <v>Seniors</v>
          </cell>
          <cell r="F64" t="str">
            <v>Lake Forest</v>
          </cell>
          <cell r="G64" t="str">
            <v>Orange</v>
          </cell>
          <cell r="H64">
            <v>13223000</v>
          </cell>
          <cell r="I64">
            <v>119</v>
          </cell>
          <cell r="J64">
            <v>180997.30094466938</v>
          </cell>
          <cell r="L64" t="str">
            <v>New Construction</v>
          </cell>
          <cell r="N64" t="str">
            <v>Coastal</v>
          </cell>
          <cell r="O64">
            <v>0</v>
          </cell>
          <cell r="P64">
            <v>25826330</v>
          </cell>
          <cell r="Q64">
            <v>1151692</v>
          </cell>
          <cell r="R64">
            <v>0</v>
          </cell>
          <cell r="S64">
            <v>0.546875</v>
          </cell>
          <cell r="T64">
            <v>7</v>
          </cell>
          <cell r="U64">
            <v>0.109375</v>
          </cell>
          <cell r="V64" t="str">
            <v>New Construction</v>
          </cell>
          <cell r="X64" t="str">
            <v>California Statewide Communities Development Authority</v>
          </cell>
        </row>
        <row r="65">
          <cell r="A65" t="str">
            <v>CA-21-723</v>
          </cell>
          <cell r="B65" t="str">
            <v>Alamo Street Apartments</v>
          </cell>
          <cell r="C65">
            <v>271</v>
          </cell>
          <cell r="D65">
            <v>268</v>
          </cell>
          <cell r="E65" t="str">
            <v>Large Family</v>
          </cell>
          <cell r="F65" t="str">
            <v>Simi Valley</v>
          </cell>
          <cell r="G65" t="str">
            <v>Ventura</v>
          </cell>
          <cell r="H65">
            <v>74000000</v>
          </cell>
          <cell r="I65">
            <v>119</v>
          </cell>
          <cell r="J65">
            <v>190462.73401624869</v>
          </cell>
          <cell r="K65" t="str">
            <v>M</v>
          </cell>
          <cell r="L65" t="str">
            <v>New Construction</v>
          </cell>
          <cell r="M65" t="str">
            <v>MIP</v>
          </cell>
          <cell r="N65" t="str">
            <v>Coastal</v>
          </cell>
          <cell r="O65">
            <v>0</v>
          </cell>
          <cell r="P65">
            <v>137734257</v>
          </cell>
          <cell r="Q65">
            <v>6759511</v>
          </cell>
          <cell r="R65">
            <v>10250000</v>
          </cell>
          <cell r="S65">
            <v>0.59850746268656718</v>
          </cell>
          <cell r="T65">
            <v>0</v>
          </cell>
          <cell r="U65">
            <v>0</v>
          </cell>
          <cell r="V65" t="str">
            <v>New Construction</v>
          </cell>
          <cell r="X65" t="str">
            <v>California Housing Finance Agency</v>
          </cell>
        </row>
        <row r="66">
          <cell r="A66" t="str">
            <v>CA-21-771</v>
          </cell>
          <cell r="B66" t="str">
            <v>Southside Senior Housing</v>
          </cell>
          <cell r="C66">
            <v>50</v>
          </cell>
          <cell r="D66">
            <v>49</v>
          </cell>
          <cell r="E66" t="str">
            <v>Special Needs</v>
          </cell>
          <cell r="F66" t="str">
            <v>Los Angeles</v>
          </cell>
          <cell r="G66" t="str">
            <v>Los Angeles</v>
          </cell>
          <cell r="H66">
            <v>15120422</v>
          </cell>
          <cell r="I66">
            <v>119</v>
          </cell>
          <cell r="J66">
            <v>191036.01041666666</v>
          </cell>
          <cell r="K66" t="str">
            <v>E</v>
          </cell>
          <cell r="L66" t="str">
            <v>New Construction</v>
          </cell>
          <cell r="M66" t="str">
            <v>Homeless, ELI, VLI</v>
          </cell>
          <cell r="N66" t="str">
            <v>City of Los Angeles</v>
          </cell>
          <cell r="O66">
            <v>0</v>
          </cell>
          <cell r="P66">
            <v>29938897</v>
          </cell>
          <cell r="Q66">
            <v>921685</v>
          </cell>
          <cell r="R66">
            <v>3219035</v>
          </cell>
          <cell r="S66">
            <v>0.37959183673469388</v>
          </cell>
          <cell r="T66">
            <v>36</v>
          </cell>
          <cell r="U66">
            <v>0.73469387755102045</v>
          </cell>
          <cell r="V66" t="str">
            <v>New Construction</v>
          </cell>
          <cell r="X66" t="str">
            <v>Los Angeles Housing + Community Investment Department</v>
          </cell>
        </row>
        <row r="67">
          <cell r="A67" t="str">
            <v>CA-21-688</v>
          </cell>
          <cell r="B67" t="str">
            <v>Orange Corporate Yard</v>
          </cell>
          <cell r="C67">
            <v>62</v>
          </cell>
          <cell r="D67">
            <v>61</v>
          </cell>
          <cell r="E67" t="str">
            <v>Large Family</v>
          </cell>
          <cell r="F67" t="str">
            <v>Orange</v>
          </cell>
          <cell r="G67" t="str">
            <v>Orange</v>
          </cell>
          <cell r="H67">
            <v>17200000</v>
          </cell>
          <cell r="I67">
            <v>119</v>
          </cell>
          <cell r="J67">
            <v>195956.35430038511</v>
          </cell>
          <cell r="L67" t="str">
            <v>New Construction</v>
          </cell>
          <cell r="M67" t="str">
            <v>ELI/VLI</v>
          </cell>
          <cell r="N67" t="str">
            <v>Coastal</v>
          </cell>
          <cell r="O67">
            <v>0</v>
          </cell>
          <cell r="P67">
            <v>33180331</v>
          </cell>
          <cell r="Q67">
            <v>1446647</v>
          </cell>
          <cell r="R67">
            <v>0</v>
          </cell>
          <cell r="S67">
            <v>0.49836065573770494</v>
          </cell>
          <cell r="T67">
            <v>8</v>
          </cell>
          <cell r="U67">
            <v>0.13114754098360656</v>
          </cell>
          <cell r="V67" t="str">
            <v>New Construction</v>
          </cell>
          <cell r="X67" t="str">
            <v>California Municipal Finance Authority</v>
          </cell>
        </row>
        <row r="68">
          <cell r="A68" t="str">
            <v>CA-21-712</v>
          </cell>
          <cell r="B68" t="str">
            <v>Levant Senior Cottages</v>
          </cell>
          <cell r="C68">
            <v>127</v>
          </cell>
          <cell r="D68">
            <v>126</v>
          </cell>
          <cell r="E68" t="str">
            <v>Seniors</v>
          </cell>
          <cell r="F68" t="str">
            <v>San Diego</v>
          </cell>
          <cell r="G68" t="str">
            <v>San Diego</v>
          </cell>
          <cell r="H68">
            <v>22877000</v>
          </cell>
          <cell r="I68">
            <v>119</v>
          </cell>
          <cell r="J68">
            <v>197745.87014982713</v>
          </cell>
          <cell r="K68" t="str">
            <v>E</v>
          </cell>
          <cell r="L68" t="str">
            <v>New Construction</v>
          </cell>
          <cell r="M68" t="str">
            <v>ELI/VLI</v>
          </cell>
          <cell r="N68" t="str">
            <v>Coastal</v>
          </cell>
          <cell r="O68">
            <v>0</v>
          </cell>
          <cell r="P68">
            <v>47659943</v>
          </cell>
          <cell r="Q68">
            <v>2244589.9</v>
          </cell>
          <cell r="R68">
            <v>0</v>
          </cell>
          <cell r="S68">
            <v>0.39047619047619048</v>
          </cell>
          <cell r="T68">
            <v>0</v>
          </cell>
          <cell r="U68">
            <v>0</v>
          </cell>
          <cell r="V68" t="str">
            <v>New Construction</v>
          </cell>
          <cell r="X68" t="str">
            <v>Housing Authority of the City of San Diego</v>
          </cell>
        </row>
        <row r="69">
          <cell r="A69" t="str">
            <v>CA-21-730</v>
          </cell>
          <cell r="B69" t="str">
            <v xml:space="preserve">4995 Stockton Boulevard </v>
          </cell>
          <cell r="C69">
            <v>200</v>
          </cell>
          <cell r="D69">
            <v>198</v>
          </cell>
          <cell r="E69" t="str">
            <v>Large Family</v>
          </cell>
          <cell r="F69" t="str">
            <v xml:space="preserve">Sacramento </v>
          </cell>
          <cell r="G69" t="str">
            <v>Sacramento</v>
          </cell>
          <cell r="H69">
            <v>39671000</v>
          </cell>
          <cell r="I69">
            <v>119</v>
          </cell>
          <cell r="J69">
            <v>198963.94787165738</v>
          </cell>
          <cell r="K69" t="str">
            <v>E</v>
          </cell>
          <cell r="L69" t="str">
            <v>New Construction</v>
          </cell>
          <cell r="M69" t="str">
            <v>ELI/VLI</v>
          </cell>
          <cell r="N69" t="str">
            <v>Northern</v>
          </cell>
          <cell r="O69">
            <v>0</v>
          </cell>
          <cell r="P69">
            <v>75889274</v>
          </cell>
          <cell r="Q69">
            <v>3514339</v>
          </cell>
          <cell r="R69">
            <v>13907016</v>
          </cell>
          <cell r="S69">
            <v>0.5479797979797979</v>
          </cell>
          <cell r="T69">
            <v>0</v>
          </cell>
          <cell r="U69">
            <v>0</v>
          </cell>
          <cell r="V69" t="str">
            <v>New Construction</v>
          </cell>
          <cell r="X69" t="str">
            <v>California Municipal Finance Authority</v>
          </cell>
        </row>
        <row r="70">
          <cell r="A70" t="str">
            <v>CA-21-720</v>
          </cell>
          <cell r="B70" t="str">
            <v>Aviara East Apartments</v>
          </cell>
          <cell r="C70">
            <v>70</v>
          </cell>
          <cell r="D70">
            <v>69</v>
          </cell>
          <cell r="E70" t="str">
            <v>Non-Targeted</v>
          </cell>
          <cell r="F70" t="str">
            <v>Carlsbad</v>
          </cell>
          <cell r="G70" t="str">
            <v>San Diego</v>
          </cell>
          <cell r="H70">
            <v>15541000</v>
          </cell>
          <cell r="I70">
            <v>119</v>
          </cell>
          <cell r="J70">
            <v>199023.45319405384</v>
          </cell>
          <cell r="L70" t="str">
            <v>New Construction</v>
          </cell>
          <cell r="N70" t="str">
            <v>Coastal</v>
          </cell>
          <cell r="O70">
            <v>0</v>
          </cell>
          <cell r="P70">
            <v>30761219</v>
          </cell>
          <cell r="Q70">
            <v>1519930</v>
          </cell>
          <cell r="R70">
            <v>0</v>
          </cell>
          <cell r="S70">
            <v>0.55942028985507242</v>
          </cell>
          <cell r="T70">
            <v>0</v>
          </cell>
          <cell r="U70">
            <v>0</v>
          </cell>
          <cell r="V70" t="str">
            <v>New Construction</v>
          </cell>
          <cell r="X70" t="str">
            <v>California Municipal Finance Authority</v>
          </cell>
        </row>
        <row r="71">
          <cell r="A71" t="str">
            <v>CA-21-721</v>
          </cell>
          <cell r="B71" t="str">
            <v>West Carson</v>
          </cell>
          <cell r="C71">
            <v>230</v>
          </cell>
          <cell r="D71">
            <v>228</v>
          </cell>
          <cell r="E71" t="str">
            <v>Large Family</v>
          </cell>
          <cell r="F71" t="str">
            <v xml:space="preserve">Unincorporated </v>
          </cell>
          <cell r="G71" t="str">
            <v>Los Angeles</v>
          </cell>
          <cell r="H71">
            <v>55400000</v>
          </cell>
          <cell r="I71">
            <v>119</v>
          </cell>
          <cell r="J71">
            <v>199352.95668261562</v>
          </cell>
          <cell r="L71" t="str">
            <v>New Construction</v>
          </cell>
          <cell r="N71" t="str">
            <v>Balance of LA County</v>
          </cell>
          <cell r="O71">
            <v>0</v>
          </cell>
          <cell r="P71">
            <v>112744443.51251662</v>
          </cell>
          <cell r="Q71">
            <v>4599089</v>
          </cell>
          <cell r="R71">
            <v>17482976</v>
          </cell>
          <cell r="S71">
            <v>0.6</v>
          </cell>
          <cell r="T71">
            <v>0</v>
          </cell>
          <cell r="U71">
            <v>0</v>
          </cell>
          <cell r="V71" t="str">
            <v>New Construction</v>
          </cell>
          <cell r="X71" t="str">
            <v>California Housing Finance Agency</v>
          </cell>
        </row>
        <row r="72">
          <cell r="A72" t="str">
            <v>CA-21-714</v>
          </cell>
          <cell r="B72" t="str">
            <v>Residency at the Entrepreneur Hollywood</v>
          </cell>
          <cell r="C72">
            <v>200</v>
          </cell>
          <cell r="D72">
            <v>198</v>
          </cell>
          <cell r="E72" t="str">
            <v>Special Needs</v>
          </cell>
          <cell r="F72" t="str">
            <v>Los Angeles</v>
          </cell>
          <cell r="G72" t="str">
            <v>Los Angeles</v>
          </cell>
          <cell r="H72">
            <v>50000000</v>
          </cell>
          <cell r="I72">
            <v>119</v>
          </cell>
          <cell r="J72">
            <v>199627.54072733023</v>
          </cell>
          <cell r="K72" t="str">
            <v>G</v>
          </cell>
          <cell r="L72" t="str">
            <v>New Construction</v>
          </cell>
          <cell r="M72" t="str">
            <v>Homeless</v>
          </cell>
          <cell r="N72" t="str">
            <v>City of Los Angeles</v>
          </cell>
          <cell r="O72">
            <v>0</v>
          </cell>
          <cell r="P72">
            <v>98327704</v>
          </cell>
          <cell r="Q72">
            <v>4177665</v>
          </cell>
          <cell r="R72">
            <v>16211968</v>
          </cell>
          <cell r="S72">
            <v>0.59191919191919196</v>
          </cell>
          <cell r="T72">
            <v>99</v>
          </cell>
          <cell r="U72">
            <v>0.5</v>
          </cell>
          <cell r="V72" t="str">
            <v>New Construction</v>
          </cell>
          <cell r="X72" t="str">
            <v>California Housing Finance Agency</v>
          </cell>
        </row>
        <row r="73">
          <cell r="A73" t="str">
            <v>CA-21-692</v>
          </cell>
          <cell r="B73" t="str">
            <v>515 Pioneer Drive</v>
          </cell>
          <cell r="C73">
            <v>340</v>
          </cell>
          <cell r="D73">
            <v>337</v>
          </cell>
          <cell r="E73" t="str">
            <v>Non-Targeted</v>
          </cell>
          <cell r="F73" t="str">
            <v>Glendale</v>
          </cell>
          <cell r="G73" t="str">
            <v>Los Angeles</v>
          </cell>
          <cell r="H73">
            <v>74937576</v>
          </cell>
          <cell r="I73">
            <v>119</v>
          </cell>
          <cell r="J73">
            <v>201589.91463212215</v>
          </cell>
          <cell r="L73" t="str">
            <v>New Construction</v>
          </cell>
          <cell r="N73" t="str">
            <v>Balance of LA County</v>
          </cell>
          <cell r="O73">
            <v>0</v>
          </cell>
          <cell r="P73">
            <v>149446817</v>
          </cell>
          <cell r="Q73">
            <v>6815678</v>
          </cell>
          <cell r="R73">
            <v>18541842</v>
          </cell>
          <cell r="S73">
            <v>0.58456973293768533</v>
          </cell>
          <cell r="T73">
            <v>0</v>
          </cell>
          <cell r="U73">
            <v>0</v>
          </cell>
          <cell r="V73" t="str">
            <v>New Construction</v>
          </cell>
          <cell r="X73" t="str">
            <v>California Municipal Finance Authority</v>
          </cell>
        </row>
        <row r="74">
          <cell r="A74" t="str">
            <v>CA-21-756</v>
          </cell>
          <cell r="B74" t="str">
            <v>Westview House</v>
          </cell>
          <cell r="C74">
            <v>85</v>
          </cell>
          <cell r="D74">
            <v>84</v>
          </cell>
          <cell r="E74" t="str">
            <v>Non-Targeted</v>
          </cell>
          <cell r="F74" t="str">
            <v>Santa Ana</v>
          </cell>
          <cell r="G74" t="str">
            <v>Orange</v>
          </cell>
          <cell r="H74">
            <v>23990343</v>
          </cell>
          <cell r="I74">
            <v>119</v>
          </cell>
          <cell r="J74">
            <v>202365.96804086969</v>
          </cell>
          <cell r="K74" t="str">
            <v>E</v>
          </cell>
          <cell r="L74" t="str">
            <v>New Construction</v>
          </cell>
          <cell r="M74" t="str">
            <v>Homeless, ELI, VLI</v>
          </cell>
          <cell r="N74" t="str">
            <v>Coastal</v>
          </cell>
          <cell r="O74">
            <v>0</v>
          </cell>
          <cell r="P74">
            <v>46812041</v>
          </cell>
          <cell r="Q74">
            <v>1882948.1</v>
          </cell>
          <cell r="R74">
            <v>0</v>
          </cell>
          <cell r="S74">
            <v>0.375</v>
          </cell>
          <cell r="T74">
            <v>26</v>
          </cell>
          <cell r="U74">
            <v>0.30952380952380953</v>
          </cell>
          <cell r="V74" t="str">
            <v>New Construction</v>
          </cell>
          <cell r="X74" t="str">
            <v>California Statewide Communities Development Authority</v>
          </cell>
        </row>
        <row r="75">
          <cell r="A75" t="str">
            <v>CA-21-719</v>
          </cell>
          <cell r="B75" t="str">
            <v>The Ivy</v>
          </cell>
          <cell r="C75">
            <v>126</v>
          </cell>
          <cell r="D75">
            <v>125</v>
          </cell>
          <cell r="E75" t="str">
            <v>Large Family</v>
          </cell>
          <cell r="F75" t="str">
            <v>Escondido</v>
          </cell>
          <cell r="G75" t="str">
            <v>San Diego</v>
          </cell>
          <cell r="H75">
            <v>25126661</v>
          </cell>
          <cell r="I75">
            <v>119</v>
          </cell>
          <cell r="J75">
            <v>204556.21462467645</v>
          </cell>
          <cell r="L75" t="str">
            <v>New Construction</v>
          </cell>
          <cell r="N75" t="str">
            <v>Coastal</v>
          </cell>
          <cell r="O75">
            <v>0</v>
          </cell>
          <cell r="P75">
            <v>50985891</v>
          </cell>
          <cell r="Q75">
            <v>1810719</v>
          </cell>
          <cell r="R75">
            <v>5864274</v>
          </cell>
          <cell r="S75">
            <v>0.6</v>
          </cell>
          <cell r="T75">
            <v>0</v>
          </cell>
          <cell r="U75">
            <v>0</v>
          </cell>
          <cell r="V75" t="str">
            <v>New Construction</v>
          </cell>
          <cell r="X75" t="str">
            <v>California Housing Finance Agency</v>
          </cell>
        </row>
        <row r="76">
          <cell r="A76" t="str">
            <v>CA-21-766</v>
          </cell>
          <cell r="B76" t="str">
            <v>Whittier HHH</v>
          </cell>
          <cell r="C76">
            <v>64</v>
          </cell>
          <cell r="D76">
            <v>63</v>
          </cell>
          <cell r="E76" t="str">
            <v>Special Needs</v>
          </cell>
          <cell r="F76" t="str">
            <v>Los Angeles</v>
          </cell>
          <cell r="G76" t="str">
            <v>Los Angeles</v>
          </cell>
          <cell r="H76">
            <v>16347000</v>
          </cell>
          <cell r="I76">
            <v>119</v>
          </cell>
          <cell r="J76">
            <v>205603.03006221334</v>
          </cell>
          <cell r="K76" t="str">
            <v>H</v>
          </cell>
          <cell r="L76" t="str">
            <v>New Construction</v>
          </cell>
          <cell r="M76" t="str">
            <v>Homeless</v>
          </cell>
          <cell r="N76" t="str">
            <v>City of Los Angeles</v>
          </cell>
          <cell r="O76">
            <v>0</v>
          </cell>
          <cell r="P76">
            <v>32023061</v>
          </cell>
          <cell r="Q76">
            <v>1431625</v>
          </cell>
          <cell r="R76">
            <v>5230050</v>
          </cell>
          <cell r="S76">
            <v>0.3</v>
          </cell>
          <cell r="T76">
            <v>63</v>
          </cell>
          <cell r="U76">
            <v>1</v>
          </cell>
          <cell r="V76" t="str">
            <v>New Construction</v>
          </cell>
          <cell r="X76" t="str">
            <v>City of Los Angeles</v>
          </cell>
        </row>
        <row r="77">
          <cell r="A77" t="str">
            <v>CA-21-727</v>
          </cell>
          <cell r="B77" t="str">
            <v>Monroe Street Apartments</v>
          </cell>
          <cell r="C77">
            <v>65</v>
          </cell>
          <cell r="D77">
            <v>64</v>
          </cell>
          <cell r="E77" t="str">
            <v>Non-Targeted</v>
          </cell>
          <cell r="F77" t="str">
            <v>Santa Clara</v>
          </cell>
          <cell r="G77" t="str">
            <v>Santa Clara</v>
          </cell>
          <cell r="H77">
            <v>22000000</v>
          </cell>
          <cell r="I77">
            <v>119</v>
          </cell>
          <cell r="J77">
            <v>206572.76995305164</v>
          </cell>
          <cell r="K77" t="str">
            <v>E</v>
          </cell>
          <cell r="L77" t="str">
            <v>New Construction</v>
          </cell>
          <cell r="M77" t="str">
            <v>ELI/VLI, MIP</v>
          </cell>
          <cell r="N77" t="str">
            <v>Bay Area</v>
          </cell>
          <cell r="O77">
            <v>0</v>
          </cell>
          <cell r="P77">
            <v>46953568</v>
          </cell>
          <cell r="Q77">
            <v>1979964</v>
          </cell>
          <cell r="R77">
            <v>0</v>
          </cell>
          <cell r="S77">
            <v>0.49999999999999994</v>
          </cell>
          <cell r="T77">
            <v>0</v>
          </cell>
          <cell r="U77">
            <v>0</v>
          </cell>
          <cell r="V77" t="str">
            <v>New Construction</v>
          </cell>
          <cell r="X77" t="str">
            <v>California Housing Finance Agency</v>
          </cell>
        </row>
        <row r="78">
          <cell r="A78" t="str">
            <v>CA-21-674</v>
          </cell>
          <cell r="B78" t="str">
            <v>Alvarado Gardens</v>
          </cell>
          <cell r="C78">
            <v>100</v>
          </cell>
          <cell r="D78">
            <v>99</v>
          </cell>
          <cell r="E78" t="str">
            <v>Large Family</v>
          </cell>
          <cell r="F78" t="str">
            <v>San Pablo</v>
          </cell>
          <cell r="G78" t="str">
            <v>Contra Costa</v>
          </cell>
          <cell r="H78">
            <v>24727246</v>
          </cell>
          <cell r="I78">
            <v>119</v>
          </cell>
          <cell r="J78">
            <v>209563.05355648533</v>
          </cell>
          <cell r="K78" t="str">
            <v>G</v>
          </cell>
          <cell r="L78" t="str">
            <v>New Construction</v>
          </cell>
          <cell r="N78" t="str">
            <v>Bay Area</v>
          </cell>
          <cell r="O78">
            <v>0</v>
          </cell>
          <cell r="P78">
            <v>46914150.995014988</v>
          </cell>
          <cell r="Q78">
            <v>2011734</v>
          </cell>
          <cell r="R78">
            <v>11048161</v>
          </cell>
          <cell r="S78">
            <v>0.59595959595959591</v>
          </cell>
          <cell r="T78">
            <v>0</v>
          </cell>
          <cell r="U78">
            <v>0</v>
          </cell>
          <cell r="V78" t="str">
            <v>New Construction</v>
          </cell>
          <cell r="X78" t="str">
            <v>California Municipal Finance Authority</v>
          </cell>
        </row>
        <row r="79">
          <cell r="A79" t="str">
            <v>CA-21-750</v>
          </cell>
          <cell r="B79" t="str">
            <v>The Kelsey Ayer Station</v>
          </cell>
          <cell r="C79">
            <v>115</v>
          </cell>
          <cell r="D79">
            <v>113</v>
          </cell>
          <cell r="E79" t="str">
            <v>Non-Targeted</v>
          </cell>
          <cell r="F79" t="str">
            <v>San Jose</v>
          </cell>
          <cell r="G79" t="str">
            <v>Santa Clara</v>
          </cell>
          <cell r="H79">
            <v>34000000</v>
          </cell>
          <cell r="I79">
            <v>119</v>
          </cell>
          <cell r="J79">
            <v>212026.72605790646</v>
          </cell>
          <cell r="K79" t="str">
            <v>E</v>
          </cell>
          <cell r="L79" t="str">
            <v>New Construction</v>
          </cell>
          <cell r="M79" t="str">
            <v>ELI/VLI, MIP</v>
          </cell>
          <cell r="N79" t="str">
            <v>Bay Area</v>
          </cell>
          <cell r="O79">
            <v>0</v>
          </cell>
          <cell r="P79">
            <v>69232273</v>
          </cell>
          <cell r="Q79">
            <v>2584465.7000000002</v>
          </cell>
          <cell r="R79">
            <v>0</v>
          </cell>
          <cell r="S79">
            <v>0.49823008849557521</v>
          </cell>
          <cell r="T79">
            <v>0</v>
          </cell>
          <cell r="U79">
            <v>0</v>
          </cell>
          <cell r="V79" t="str">
            <v>New Construction</v>
          </cell>
          <cell r="X79" t="str">
            <v>California Housing Finance Agency</v>
          </cell>
        </row>
        <row r="80">
          <cell r="A80" t="str">
            <v>CA-21-746</v>
          </cell>
          <cell r="B80" t="str">
            <v>McEvoy Apartments</v>
          </cell>
          <cell r="C80">
            <v>224</v>
          </cell>
          <cell r="D80">
            <v>222</v>
          </cell>
          <cell r="E80" t="str">
            <v>Non-Targeted</v>
          </cell>
          <cell r="F80" t="str">
            <v>San Jose</v>
          </cell>
          <cell r="G80" t="str">
            <v>Santa Clara</v>
          </cell>
          <cell r="H80">
            <v>64160884</v>
          </cell>
          <cell r="I80">
            <v>119</v>
          </cell>
          <cell r="J80">
            <v>213869.61333333331</v>
          </cell>
          <cell r="K80" t="str">
            <v>E</v>
          </cell>
          <cell r="L80" t="str">
            <v>New Construction</v>
          </cell>
          <cell r="M80" t="str">
            <v>ELI/VLI</v>
          </cell>
          <cell r="N80" t="str">
            <v>Bay Area</v>
          </cell>
          <cell r="O80">
            <v>0</v>
          </cell>
          <cell r="P80">
            <v>132176093</v>
          </cell>
          <cell r="Q80">
            <v>6043997</v>
          </cell>
          <cell r="R80">
            <v>0</v>
          </cell>
          <cell r="S80">
            <v>0.43963963963963965</v>
          </cell>
          <cell r="T80">
            <v>56</v>
          </cell>
          <cell r="U80">
            <v>0.25225225225225223</v>
          </cell>
          <cell r="V80" t="str">
            <v>New Construction</v>
          </cell>
          <cell r="X80" t="str">
            <v>City of San Jose</v>
          </cell>
        </row>
        <row r="81">
          <cell r="A81" t="str">
            <v>CA-21-736</v>
          </cell>
          <cell r="B81" t="str">
            <v>Central Terrace Apartments</v>
          </cell>
          <cell r="C81">
            <v>87</v>
          </cell>
          <cell r="D81">
            <v>86</v>
          </cell>
          <cell r="E81" t="str">
            <v>Non-Targeted</v>
          </cell>
          <cell r="F81" t="str">
            <v>Oxnard</v>
          </cell>
          <cell r="G81" t="str">
            <v>Ventura</v>
          </cell>
          <cell r="H81">
            <v>23288038.18010949</v>
          </cell>
          <cell r="I81">
            <v>119</v>
          </cell>
          <cell r="J81">
            <v>224767.67184436735</v>
          </cell>
          <cell r="K81" t="str">
            <v>E</v>
          </cell>
          <cell r="L81" t="str">
            <v>New Construction</v>
          </cell>
          <cell r="M81" t="str">
            <v>ELI/VLI</v>
          </cell>
          <cell r="N81" t="str">
            <v>Coastal</v>
          </cell>
          <cell r="O81">
            <v>0</v>
          </cell>
          <cell r="P81">
            <v>45023015.269999996</v>
          </cell>
          <cell r="Q81">
            <v>2168418</v>
          </cell>
          <cell r="R81">
            <v>0</v>
          </cell>
          <cell r="S81">
            <v>0.45465116279069762</v>
          </cell>
          <cell r="T81">
            <v>35</v>
          </cell>
          <cell r="U81">
            <v>0.40697674418604651</v>
          </cell>
          <cell r="V81" t="str">
            <v>New Construction</v>
          </cell>
          <cell r="X81" t="str">
            <v>California Municipal Finance Authority</v>
          </cell>
        </row>
        <row r="82">
          <cell r="A82" t="str">
            <v>CA-21-754</v>
          </cell>
          <cell r="B82" t="str">
            <v>2nd &amp; B</v>
          </cell>
          <cell r="C82">
            <v>56</v>
          </cell>
          <cell r="D82">
            <v>55</v>
          </cell>
          <cell r="E82" t="str">
            <v>Special Needs</v>
          </cell>
          <cell r="F82" t="str">
            <v>Oxnard</v>
          </cell>
          <cell r="G82" t="str">
            <v>Ventura</v>
          </cell>
          <cell r="H82">
            <v>19110034</v>
          </cell>
          <cell r="I82">
            <v>119</v>
          </cell>
          <cell r="J82">
            <v>230291.7949811237</v>
          </cell>
          <cell r="K82" t="str">
            <v>H</v>
          </cell>
          <cell r="L82" t="str">
            <v>New Construction</v>
          </cell>
          <cell r="M82" t="str">
            <v>Homeless, ELI, VLI</v>
          </cell>
          <cell r="N82" t="str">
            <v>Coastal</v>
          </cell>
          <cell r="O82">
            <v>0</v>
          </cell>
          <cell r="P82">
            <v>37956335</v>
          </cell>
          <cell r="Q82">
            <v>1523632</v>
          </cell>
          <cell r="R82">
            <v>2140047</v>
          </cell>
          <cell r="S82">
            <v>0.3</v>
          </cell>
          <cell r="T82">
            <v>55</v>
          </cell>
          <cell r="U82">
            <v>1</v>
          </cell>
          <cell r="V82" t="str">
            <v>New Construction</v>
          </cell>
          <cell r="X82" t="str">
            <v>California Statewide Communities Development Authority</v>
          </cell>
        </row>
        <row r="83">
          <cell r="A83" t="str">
            <v>CA-21-734</v>
          </cell>
          <cell r="B83" t="str">
            <v>Vermont Manchester Senior</v>
          </cell>
          <cell r="C83">
            <v>62</v>
          </cell>
          <cell r="D83">
            <v>60</v>
          </cell>
          <cell r="E83" t="str">
            <v>Special Needs</v>
          </cell>
          <cell r="F83" t="str">
            <v>Los Angeles</v>
          </cell>
          <cell r="G83" t="str">
            <v>Los Angeles</v>
          </cell>
          <cell r="H83">
            <v>26094717</v>
          </cell>
          <cell r="I83">
            <v>119</v>
          </cell>
          <cell r="J83">
            <v>230549.11370526318</v>
          </cell>
          <cell r="K83" t="str">
            <v>H</v>
          </cell>
          <cell r="L83" t="str">
            <v>New Construction</v>
          </cell>
          <cell r="M83" t="str">
            <v>Homeless, ELI, VLI</v>
          </cell>
          <cell r="N83" t="str">
            <v>City of Los Angeles</v>
          </cell>
          <cell r="O83">
            <v>0</v>
          </cell>
          <cell r="P83">
            <v>51722469</v>
          </cell>
          <cell r="Q83">
            <v>2554941</v>
          </cell>
          <cell r="R83">
            <v>0</v>
          </cell>
          <cell r="S83">
            <v>0.3</v>
          </cell>
          <cell r="T83">
            <v>60</v>
          </cell>
          <cell r="U83">
            <v>1</v>
          </cell>
          <cell r="V83" t="str">
            <v>New Construction</v>
          </cell>
          <cell r="X83" t="str">
            <v>Los Angeles County Development Authority</v>
          </cell>
        </row>
        <row r="84">
          <cell r="A84" t="str">
            <v>CA-21-751</v>
          </cell>
          <cell r="B84" t="str">
            <v>Building 209</v>
          </cell>
          <cell r="C84">
            <v>55</v>
          </cell>
          <cell r="D84">
            <v>54</v>
          </cell>
          <cell r="E84" t="str">
            <v>Special Needs</v>
          </cell>
          <cell r="F84" t="str">
            <v>Unincorporated</v>
          </cell>
          <cell r="G84" t="str">
            <v>Los Angeles</v>
          </cell>
          <cell r="H84">
            <v>9700000</v>
          </cell>
          <cell r="I84">
            <v>105</v>
          </cell>
          <cell r="J84">
            <v>140854.67045993361</v>
          </cell>
          <cell r="K84" t="str">
            <v>P</v>
          </cell>
          <cell r="L84" t="str">
            <v>Preservation</v>
          </cell>
          <cell r="N84" t="str">
            <v>Balance of LA County</v>
          </cell>
          <cell r="O84">
            <v>0</v>
          </cell>
          <cell r="P84">
            <v>20769536</v>
          </cell>
          <cell r="Q84">
            <v>585352</v>
          </cell>
          <cell r="R84">
            <v>0</v>
          </cell>
          <cell r="S84">
            <v>0.5</v>
          </cell>
          <cell r="T84">
            <v>54</v>
          </cell>
          <cell r="U84">
            <v>1</v>
          </cell>
          <cell r="V84" t="str">
            <v>Acquisition &amp; Rehabilitation</v>
          </cell>
          <cell r="X84" t="str">
            <v>California Housing Finance Agency</v>
          </cell>
        </row>
        <row r="85">
          <cell r="A85" t="str">
            <v>CA-21-732</v>
          </cell>
          <cell r="B85" t="str">
            <v>Kimball Highland</v>
          </cell>
          <cell r="C85">
            <v>145</v>
          </cell>
          <cell r="D85">
            <v>143</v>
          </cell>
          <cell r="E85" t="str">
            <v>Large Family</v>
          </cell>
          <cell r="F85" t="str">
            <v>National City</v>
          </cell>
          <cell r="G85" t="str">
            <v>San Diego</v>
          </cell>
          <cell r="H85">
            <v>41452000</v>
          </cell>
          <cell r="I85">
            <v>119</v>
          </cell>
          <cell r="J85">
            <v>232708.92652713766</v>
          </cell>
          <cell r="K85" t="str">
            <v>M</v>
          </cell>
          <cell r="L85" t="str">
            <v>New Construction</v>
          </cell>
          <cell r="M85" t="str">
            <v>MIP</v>
          </cell>
          <cell r="N85" t="str">
            <v>Coastal</v>
          </cell>
          <cell r="O85">
            <v>0</v>
          </cell>
          <cell r="P85">
            <v>83715978</v>
          </cell>
          <cell r="Q85">
            <v>3926998.6</v>
          </cell>
          <cell r="R85">
            <v>0</v>
          </cell>
          <cell r="S85">
            <v>0.5755244755244755</v>
          </cell>
          <cell r="T85">
            <v>0</v>
          </cell>
          <cell r="U85">
            <v>0</v>
          </cell>
          <cell r="V85" t="str">
            <v>New Construction</v>
          </cell>
          <cell r="X85" t="str">
            <v>California Housing Finance Agency</v>
          </cell>
        </row>
        <row r="86">
          <cell r="A86" t="str">
            <v>CA-21-742</v>
          </cell>
          <cell r="B86" t="str">
            <v>Royal Oak Village</v>
          </cell>
          <cell r="C86">
            <v>73</v>
          </cell>
          <cell r="D86">
            <v>72</v>
          </cell>
          <cell r="E86" t="str">
            <v>Large Family</v>
          </cell>
          <cell r="F86" t="str">
            <v>Morgan Hill</v>
          </cell>
          <cell r="G86" t="str">
            <v>Santa Clara</v>
          </cell>
          <cell r="H86">
            <v>26000000</v>
          </cell>
          <cell r="I86">
            <v>119</v>
          </cell>
          <cell r="J86">
            <v>238905.39473684211</v>
          </cell>
          <cell r="K86" t="str">
            <v>E</v>
          </cell>
          <cell r="L86" t="str">
            <v>New Construction</v>
          </cell>
          <cell r="M86" t="str">
            <v>ELI/VLI</v>
          </cell>
          <cell r="N86" t="str">
            <v>Bay Area</v>
          </cell>
          <cell r="O86">
            <v>0</v>
          </cell>
          <cell r="P86">
            <v>49429332</v>
          </cell>
          <cell r="Q86">
            <v>2226596</v>
          </cell>
          <cell r="R86">
            <v>6422875</v>
          </cell>
          <cell r="S86">
            <v>0.36944444444444446</v>
          </cell>
          <cell r="T86">
            <v>18</v>
          </cell>
          <cell r="U86">
            <v>0.25</v>
          </cell>
          <cell r="V86" t="str">
            <v>New Construction</v>
          </cell>
          <cell r="X86" t="str">
            <v>California Statewide Communities Development Authority</v>
          </cell>
        </row>
        <row r="87">
          <cell r="A87" t="str">
            <v>CA-21-669</v>
          </cell>
          <cell r="B87" t="str">
            <v>Cartwright Family Apartments</v>
          </cell>
          <cell r="C87">
            <v>60</v>
          </cell>
          <cell r="D87">
            <v>59</v>
          </cell>
          <cell r="E87" t="str">
            <v>Large Family</v>
          </cell>
          <cell r="F87" t="str">
            <v>Irvine</v>
          </cell>
          <cell r="G87" t="str">
            <v>Orange</v>
          </cell>
          <cell r="H87">
            <v>20000000</v>
          </cell>
          <cell r="I87">
            <v>119</v>
          </cell>
          <cell r="J87">
            <v>246656.24457182561</v>
          </cell>
          <cell r="L87" t="str">
            <v>New Construction</v>
          </cell>
          <cell r="N87" t="str">
            <v>Coastal</v>
          </cell>
          <cell r="O87">
            <v>0</v>
          </cell>
          <cell r="P87">
            <v>38341886</v>
          </cell>
          <cell r="Q87">
            <v>1514012</v>
          </cell>
          <cell r="R87">
            <v>0</v>
          </cell>
          <cell r="S87">
            <v>0.56949152542372872</v>
          </cell>
          <cell r="T87">
            <v>10</v>
          </cell>
          <cell r="U87">
            <v>0.16949152542372881</v>
          </cell>
          <cell r="V87" t="str">
            <v>New Construction</v>
          </cell>
          <cell r="X87" t="str">
            <v>California Municipal Finance Authority</v>
          </cell>
        </row>
        <row r="88">
          <cell r="A88" t="str">
            <v>CA-21-681</v>
          </cell>
          <cell r="B88" t="str">
            <v xml:space="preserve">The Phoenix </v>
          </cell>
          <cell r="C88">
            <v>101</v>
          </cell>
          <cell r="D88">
            <v>100</v>
          </cell>
          <cell r="E88" t="str">
            <v>Non-Targeted</v>
          </cell>
          <cell r="F88" t="str">
            <v xml:space="preserve">Oakland </v>
          </cell>
          <cell r="G88" t="str">
            <v>Alameda</v>
          </cell>
          <cell r="H88">
            <v>22335747</v>
          </cell>
          <cell r="I88">
            <v>119</v>
          </cell>
          <cell r="J88">
            <v>248388.14462809917</v>
          </cell>
          <cell r="K88" t="str">
            <v>E</v>
          </cell>
          <cell r="L88" t="str">
            <v>New Construction</v>
          </cell>
          <cell r="M88" t="str">
            <v>ELI/VLI</v>
          </cell>
          <cell r="N88" t="str">
            <v>Bay Area</v>
          </cell>
          <cell r="O88">
            <v>0</v>
          </cell>
          <cell r="P88">
            <v>44178116</v>
          </cell>
          <cell r="Q88">
            <v>1601705</v>
          </cell>
          <cell r="R88">
            <v>12012785</v>
          </cell>
          <cell r="S88">
            <v>0.45299999999999996</v>
          </cell>
          <cell r="T88">
            <v>49</v>
          </cell>
          <cell r="U88">
            <v>0.49</v>
          </cell>
          <cell r="V88" t="str">
            <v>New Construction</v>
          </cell>
          <cell r="X88" t="str">
            <v>California Municipal Finance Authority</v>
          </cell>
        </row>
        <row r="89">
          <cell r="A89" t="str">
            <v>CA-21-722</v>
          </cell>
          <cell r="B89" t="str">
            <v>Shirley Chisholm Village</v>
          </cell>
          <cell r="C89">
            <v>135</v>
          </cell>
          <cell r="D89">
            <v>110</v>
          </cell>
          <cell r="E89" t="str">
            <v>Non-Targeted</v>
          </cell>
          <cell r="F89" t="str">
            <v>San Francisco</v>
          </cell>
          <cell r="G89" t="str">
            <v>San Francisco</v>
          </cell>
          <cell r="H89">
            <v>54461160</v>
          </cell>
          <cell r="I89">
            <v>119</v>
          </cell>
          <cell r="J89">
            <v>251055.7260454396</v>
          </cell>
          <cell r="L89" t="str">
            <v>New Construction</v>
          </cell>
          <cell r="M89" t="str">
            <v>MIP</v>
          </cell>
          <cell r="N89" t="str">
            <v>Bay Area</v>
          </cell>
          <cell r="O89">
            <v>24</v>
          </cell>
          <cell r="P89">
            <v>107151079</v>
          </cell>
          <cell r="Q89">
            <v>4298532</v>
          </cell>
          <cell r="R89">
            <v>0</v>
          </cell>
          <cell r="S89">
            <v>0.54</v>
          </cell>
          <cell r="T89">
            <v>0</v>
          </cell>
          <cell r="U89">
            <v>0</v>
          </cell>
          <cell r="V89" t="str">
            <v>New Construction</v>
          </cell>
          <cell r="X89" t="str">
            <v>California Housing Finance Agency</v>
          </cell>
        </row>
        <row r="90">
          <cell r="A90" t="str">
            <v>CA-21-724</v>
          </cell>
          <cell r="B90" t="str">
            <v>Manchester Urban Homes</v>
          </cell>
          <cell r="C90">
            <v>122</v>
          </cell>
          <cell r="D90">
            <v>120</v>
          </cell>
          <cell r="E90" t="str">
            <v>Non-Targeted</v>
          </cell>
          <cell r="F90" t="str">
            <v>Los Angeles</v>
          </cell>
          <cell r="G90" t="str">
            <v>Los Angeles</v>
          </cell>
          <cell r="H90">
            <v>35933000</v>
          </cell>
          <cell r="I90">
            <v>119</v>
          </cell>
          <cell r="J90">
            <v>272375.54807905841</v>
          </cell>
          <cell r="K90" t="str">
            <v>E</v>
          </cell>
          <cell r="L90" t="str">
            <v>New Construction</v>
          </cell>
          <cell r="M90" t="str">
            <v>ELI/VLI</v>
          </cell>
          <cell r="N90" t="str">
            <v>City of Los Angeles</v>
          </cell>
          <cell r="O90">
            <v>0</v>
          </cell>
          <cell r="P90">
            <v>67653790</v>
          </cell>
          <cell r="Q90">
            <v>3112855</v>
          </cell>
          <cell r="R90">
            <v>14128514</v>
          </cell>
          <cell r="S90">
            <v>0.4958333333333334</v>
          </cell>
          <cell r="T90">
            <v>0</v>
          </cell>
          <cell r="U90">
            <v>0</v>
          </cell>
          <cell r="V90" t="str">
            <v>New Construction</v>
          </cell>
          <cell r="X90" t="str">
            <v>City of Los Angeles</v>
          </cell>
        </row>
        <row r="91">
          <cell r="A91" t="str">
            <v>CA-21-759</v>
          </cell>
          <cell r="B91" t="str">
            <v>QCK Apartments</v>
          </cell>
          <cell r="C91">
            <v>36</v>
          </cell>
          <cell r="D91">
            <v>35</v>
          </cell>
          <cell r="E91" t="str">
            <v>Special Needs</v>
          </cell>
          <cell r="F91" t="str">
            <v>Quartz Hill</v>
          </cell>
          <cell r="G91" t="str">
            <v>Los Angeles</v>
          </cell>
          <cell r="H91">
            <v>11873084</v>
          </cell>
          <cell r="I91">
            <v>119</v>
          </cell>
          <cell r="J91">
            <v>282154.68041137321</v>
          </cell>
          <cell r="K91" t="str">
            <v>H</v>
          </cell>
          <cell r="L91" t="str">
            <v>New Construction</v>
          </cell>
          <cell r="M91" t="str">
            <v>Homeless, ELI, VLI</v>
          </cell>
          <cell r="N91" t="str">
            <v>Balance of LA County</v>
          </cell>
          <cell r="O91">
            <v>0</v>
          </cell>
          <cell r="P91">
            <v>23768681</v>
          </cell>
          <cell r="Q91">
            <v>886616</v>
          </cell>
          <cell r="R91">
            <v>6649620</v>
          </cell>
          <cell r="S91">
            <v>0.3</v>
          </cell>
          <cell r="T91">
            <v>35</v>
          </cell>
          <cell r="U91">
            <v>1</v>
          </cell>
          <cell r="V91" t="str">
            <v>New Construction</v>
          </cell>
          <cell r="X91" t="str">
            <v>California Public Finance Authority</v>
          </cell>
        </row>
        <row r="92">
          <cell r="A92" t="str">
            <v>CA-21-758</v>
          </cell>
          <cell r="B92" t="str">
            <v xml:space="preserve">Hunters Point Shipyard Block 52 and 54 </v>
          </cell>
          <cell r="C92">
            <v>112</v>
          </cell>
          <cell r="D92">
            <v>111</v>
          </cell>
          <cell r="E92" t="str">
            <v>Large Family</v>
          </cell>
          <cell r="F92" t="str">
            <v>San Francisco</v>
          </cell>
          <cell r="G92" t="str">
            <v>San Francisco</v>
          </cell>
          <cell r="H92">
            <v>56063271</v>
          </cell>
          <cell r="I92">
            <v>119</v>
          </cell>
          <cell r="J92">
            <v>284378.91086956521</v>
          </cell>
          <cell r="L92" t="str">
            <v>New Construction</v>
          </cell>
          <cell r="N92" t="str">
            <v>Bay Area</v>
          </cell>
          <cell r="O92">
            <v>1</v>
          </cell>
          <cell r="P92">
            <v>107813982</v>
          </cell>
          <cell r="Q92">
            <v>5445072</v>
          </cell>
          <cell r="R92">
            <v>0</v>
          </cell>
          <cell r="S92">
            <v>0.48918918918918919</v>
          </cell>
          <cell r="T92">
            <v>0</v>
          </cell>
          <cell r="U92">
            <v>0</v>
          </cell>
          <cell r="V92" t="str">
            <v>New Construction</v>
          </cell>
          <cell r="X92" t="str">
            <v>City and County of San Francisco</v>
          </cell>
        </row>
        <row r="93">
          <cell r="A93" t="str">
            <v>CA-21-764</v>
          </cell>
          <cell r="B93" t="str">
            <v>Sunnydale HOPE SF Block 3B</v>
          </cell>
          <cell r="C93">
            <v>90</v>
          </cell>
          <cell r="D93">
            <v>89</v>
          </cell>
          <cell r="E93" t="str">
            <v>Non-Targeted</v>
          </cell>
          <cell r="F93" t="str">
            <v>San Francisco</v>
          </cell>
          <cell r="G93" t="str">
            <v>San Francisco</v>
          </cell>
          <cell r="H93">
            <v>46050437</v>
          </cell>
          <cell r="I93">
            <v>119</v>
          </cell>
          <cell r="J93">
            <v>288846.82706093189</v>
          </cell>
          <cell r="L93" t="str">
            <v>New Construction</v>
          </cell>
          <cell r="N93" t="str">
            <v>Bay Area</v>
          </cell>
          <cell r="O93">
            <v>0</v>
          </cell>
          <cell r="P93">
            <v>89568732</v>
          </cell>
          <cell r="Q93">
            <v>4135228.7</v>
          </cell>
          <cell r="R93">
            <v>0</v>
          </cell>
          <cell r="S93">
            <v>0.48314606741573041</v>
          </cell>
          <cell r="T93">
            <v>0</v>
          </cell>
          <cell r="U93">
            <v>0</v>
          </cell>
          <cell r="V93" t="str">
            <v>New Construction</v>
          </cell>
          <cell r="X93" t="str">
            <v>City and County of San Francisco</v>
          </cell>
        </row>
        <row r="94">
          <cell r="A94" t="str">
            <v>CA-21-767</v>
          </cell>
          <cell r="B94" t="str">
            <v>Villa St. Joseph</v>
          </cell>
          <cell r="C94">
            <v>50</v>
          </cell>
          <cell r="D94">
            <v>49</v>
          </cell>
          <cell r="E94" t="str">
            <v>Seniors</v>
          </cell>
          <cell r="F94" t="str">
            <v>Orange</v>
          </cell>
          <cell r="G94" t="str">
            <v>Orange</v>
          </cell>
          <cell r="H94">
            <v>15525000</v>
          </cell>
          <cell r="I94">
            <v>119</v>
          </cell>
          <cell r="J94">
            <v>292117.18874224834</v>
          </cell>
          <cell r="K94" t="str">
            <v>E</v>
          </cell>
          <cell r="L94" t="str">
            <v>New Construction</v>
          </cell>
          <cell r="M94" t="str">
            <v>ELI/VLI</v>
          </cell>
          <cell r="N94" t="str">
            <v>Coastal</v>
          </cell>
          <cell r="O94">
            <v>0</v>
          </cell>
          <cell r="P94">
            <v>29664073</v>
          </cell>
          <cell r="Q94">
            <v>1383528</v>
          </cell>
          <cell r="R94">
            <v>0</v>
          </cell>
          <cell r="S94">
            <v>0.33877551020408159</v>
          </cell>
          <cell r="T94">
            <v>18</v>
          </cell>
          <cell r="U94">
            <v>0.36734693877551022</v>
          </cell>
          <cell r="V94" t="str">
            <v>Adaptive Reuse</v>
          </cell>
          <cell r="X94" t="str">
            <v>California Municipal Finance Authority</v>
          </cell>
        </row>
        <row r="95">
          <cell r="A95" t="str">
            <v>CA-21-741</v>
          </cell>
          <cell r="B95" t="str">
            <v>Miramar Development</v>
          </cell>
          <cell r="C95">
            <v>137</v>
          </cell>
          <cell r="D95">
            <v>136</v>
          </cell>
          <cell r="E95" t="str">
            <v>Non-Targeted</v>
          </cell>
          <cell r="F95" t="str">
            <v>Los Angeles</v>
          </cell>
          <cell r="G95" t="str">
            <v>Los Angeles</v>
          </cell>
          <cell r="H95">
            <v>33739141</v>
          </cell>
          <cell r="I95">
            <v>119</v>
          </cell>
          <cell r="J95">
            <v>301375.40543514321</v>
          </cell>
          <cell r="K95" t="str">
            <v>G</v>
          </cell>
          <cell r="L95" t="str">
            <v>New Construction</v>
          </cell>
          <cell r="N95" t="str">
            <v>City of Los Angeles</v>
          </cell>
          <cell r="O95">
            <v>0</v>
          </cell>
          <cell r="P95">
            <v>63918188</v>
          </cell>
          <cell r="Q95">
            <v>3199328</v>
          </cell>
          <cell r="R95">
            <v>18166666</v>
          </cell>
          <cell r="S95">
            <v>0.6</v>
          </cell>
          <cell r="T95">
            <v>0</v>
          </cell>
          <cell r="U95">
            <v>0</v>
          </cell>
          <cell r="V95" t="str">
            <v>New Construction</v>
          </cell>
          <cell r="X95" t="str">
            <v>California Statewide Communities Development Authority</v>
          </cell>
        </row>
        <row r="96">
          <cell r="A96" t="str">
            <v>CA-21-689</v>
          </cell>
          <cell r="B96" t="str">
            <v>Devonwood Apartments</v>
          </cell>
          <cell r="C96">
            <v>156</v>
          </cell>
          <cell r="D96">
            <v>154</v>
          </cell>
          <cell r="E96" t="str">
            <v>Large Family</v>
          </cell>
          <cell r="F96" t="str">
            <v>Merced</v>
          </cell>
          <cell r="G96" t="str">
            <v>Merced</v>
          </cell>
          <cell r="H96">
            <v>34500000</v>
          </cell>
          <cell r="I96">
            <v>119</v>
          </cell>
          <cell r="J96">
            <v>309575.43859649124</v>
          </cell>
          <cell r="L96" t="str">
            <v>New Construction</v>
          </cell>
          <cell r="N96" t="str">
            <v>Inland</v>
          </cell>
          <cell r="O96">
            <v>0</v>
          </cell>
          <cell r="P96">
            <v>65305760.7929563</v>
          </cell>
          <cell r="Q96">
            <v>3297714</v>
          </cell>
          <cell r="R96">
            <v>18650000</v>
          </cell>
          <cell r="S96">
            <v>0.6</v>
          </cell>
          <cell r="T96">
            <v>0</v>
          </cell>
          <cell r="U96">
            <v>0</v>
          </cell>
          <cell r="V96" t="str">
            <v>New Construction</v>
          </cell>
          <cell r="X96" t="str">
            <v>California Municipal Finance Authority</v>
          </cell>
        </row>
        <row r="97">
          <cell r="A97" t="str">
            <v>CA-21-747</v>
          </cell>
          <cell r="B97" t="str">
            <v>Sugar Pine Village Phase 1A</v>
          </cell>
          <cell r="C97">
            <v>68</v>
          </cell>
          <cell r="D97">
            <v>67</v>
          </cell>
          <cell r="E97" t="str">
            <v>Large Family</v>
          </cell>
          <cell r="F97" t="str">
            <v>South Lake Tahoe</v>
          </cell>
          <cell r="G97" t="str">
            <v>El Dorado</v>
          </cell>
          <cell r="H97">
            <v>20757762</v>
          </cell>
          <cell r="I97">
            <v>119</v>
          </cell>
          <cell r="J97">
            <v>316402.88361301809</v>
          </cell>
          <cell r="K97" t="str">
            <v>E</v>
          </cell>
          <cell r="L97" t="str">
            <v>New Construction</v>
          </cell>
          <cell r="M97" t="str">
            <v>ELI/VLI</v>
          </cell>
          <cell r="N97" t="str">
            <v>Northern</v>
          </cell>
          <cell r="O97">
            <v>0</v>
          </cell>
          <cell r="P97">
            <v>39936571</v>
          </cell>
          <cell r="Q97">
            <v>1509655</v>
          </cell>
          <cell r="R97">
            <v>7154295</v>
          </cell>
          <cell r="S97">
            <v>0.49253731343283602</v>
          </cell>
          <cell r="T97">
            <v>0</v>
          </cell>
          <cell r="U97">
            <v>0</v>
          </cell>
          <cell r="V97" t="str">
            <v>New Construction</v>
          </cell>
          <cell r="X97" t="str">
            <v>California Municipal Finance Authority</v>
          </cell>
        </row>
        <row r="98">
          <cell r="A98" t="str">
            <v>CA-21-725</v>
          </cell>
          <cell r="B98" t="str">
            <v>LakeHouse Commons Affordable Apartments</v>
          </cell>
          <cell r="C98">
            <v>91</v>
          </cell>
          <cell r="D98">
            <v>90</v>
          </cell>
          <cell r="E98" t="str">
            <v>Non-Targeted</v>
          </cell>
          <cell r="F98" t="str">
            <v>Oakland</v>
          </cell>
          <cell r="G98" t="str">
            <v>Alameda</v>
          </cell>
          <cell r="H98">
            <v>41880000</v>
          </cell>
          <cell r="I98">
            <v>118</v>
          </cell>
          <cell r="J98">
            <v>374273.02047413785</v>
          </cell>
          <cell r="L98" t="str">
            <v>New Construction</v>
          </cell>
          <cell r="N98" t="str">
            <v>Bay Area</v>
          </cell>
          <cell r="O98">
            <v>0</v>
          </cell>
          <cell r="P98">
            <v>79780064</v>
          </cell>
          <cell r="Q98">
            <v>3708456</v>
          </cell>
          <cell r="R98">
            <v>7737909</v>
          </cell>
          <cell r="S98">
            <v>0.48999999999999994</v>
          </cell>
          <cell r="T98">
            <v>0</v>
          </cell>
          <cell r="U98">
            <v>0</v>
          </cell>
          <cell r="V98" t="str">
            <v>New Construction</v>
          </cell>
          <cell r="X98" t="str">
            <v>California Housing Finance Agency</v>
          </cell>
        </row>
        <row r="99">
          <cell r="A99" t="str">
            <v>CA-21-691</v>
          </cell>
          <cell r="B99" t="str">
            <v>Lightfighter Village</v>
          </cell>
          <cell r="C99">
            <v>71</v>
          </cell>
          <cell r="D99">
            <v>70</v>
          </cell>
          <cell r="E99" t="str">
            <v>Special Needs</v>
          </cell>
          <cell r="F99" t="str">
            <v>Marina</v>
          </cell>
          <cell r="G99" t="str">
            <v>Monterey</v>
          </cell>
          <cell r="H99">
            <v>25258459</v>
          </cell>
          <cell r="I99">
            <v>116</v>
          </cell>
          <cell r="J99">
            <v>297182.99988101382</v>
          </cell>
          <cell r="L99" t="str">
            <v>New Construction</v>
          </cell>
          <cell r="M99" t="str">
            <v>Homeless, ELI, VLI</v>
          </cell>
          <cell r="N99" t="str">
            <v>Coastal</v>
          </cell>
          <cell r="O99">
            <v>0</v>
          </cell>
          <cell r="P99">
            <v>50495168</v>
          </cell>
          <cell r="Q99">
            <v>2307632</v>
          </cell>
          <cell r="R99">
            <v>5450045</v>
          </cell>
          <cell r="S99">
            <v>0.3828571428571429</v>
          </cell>
          <cell r="T99">
            <v>36</v>
          </cell>
          <cell r="U99">
            <v>0.51428571428571423</v>
          </cell>
          <cell r="V99" t="str">
            <v>New Construction</v>
          </cell>
          <cell r="X99" t="str">
            <v>California Municipal Finance Authority</v>
          </cell>
        </row>
        <row r="100">
          <cell r="A100" t="str">
            <v>CA-21-684</v>
          </cell>
          <cell r="B100" t="str">
            <v>Casa Roseland</v>
          </cell>
          <cell r="C100">
            <v>75</v>
          </cell>
          <cell r="D100">
            <v>74</v>
          </cell>
          <cell r="E100" t="str">
            <v>Large Family</v>
          </cell>
          <cell r="F100" t="str">
            <v>Santa Rosa</v>
          </cell>
          <cell r="G100" t="str">
            <v>Sonoma</v>
          </cell>
          <cell r="H100">
            <v>37593000</v>
          </cell>
          <cell r="I100">
            <v>107</v>
          </cell>
          <cell r="J100">
            <v>418823.60145647137</v>
          </cell>
          <cell r="L100" t="str">
            <v>New Construction</v>
          </cell>
          <cell r="N100" t="str">
            <v>Northern</v>
          </cell>
          <cell r="O100">
            <v>0</v>
          </cell>
          <cell r="P100">
            <v>73123343</v>
          </cell>
          <cell r="Q100">
            <v>3501051</v>
          </cell>
          <cell r="R100">
            <v>7595075</v>
          </cell>
          <cell r="S100">
            <v>0.5</v>
          </cell>
          <cell r="T100">
            <v>0</v>
          </cell>
          <cell r="U100">
            <v>0</v>
          </cell>
          <cell r="V100" t="str">
            <v>New Construction</v>
          </cell>
          <cell r="X100" t="str">
            <v>California Municipal Finance Authority</v>
          </cell>
        </row>
        <row r="101">
          <cell r="A101" t="str">
            <v>CA-21-768</v>
          </cell>
          <cell r="B101" t="str">
            <v>Mallard Apartments</v>
          </cell>
          <cell r="C101">
            <v>72</v>
          </cell>
          <cell r="D101">
            <v>71</v>
          </cell>
          <cell r="E101" t="str">
            <v>Large Family</v>
          </cell>
          <cell r="F101" t="str">
            <v>Placerville</v>
          </cell>
          <cell r="G101" t="str">
            <v>El Dorado</v>
          </cell>
          <cell r="H101">
            <v>16584000</v>
          </cell>
          <cell r="I101">
            <v>105</v>
          </cell>
          <cell r="J101">
            <v>207539.96</v>
          </cell>
          <cell r="L101" t="str">
            <v>Rural</v>
          </cell>
          <cell r="N101" t="str">
            <v>Northern</v>
          </cell>
          <cell r="O101">
            <v>0</v>
          </cell>
          <cell r="P101">
            <v>31329719</v>
          </cell>
          <cell r="Q101">
            <v>1174382</v>
          </cell>
          <cell r="R101">
            <v>3814075</v>
          </cell>
          <cell r="S101">
            <v>0.45352112676056339</v>
          </cell>
          <cell r="T101">
            <v>0</v>
          </cell>
          <cell r="U101">
            <v>0</v>
          </cell>
          <cell r="V101" t="str">
            <v>New Construction</v>
          </cell>
          <cell r="X101" t="str">
            <v>California Municipal Finance Authority</v>
          </cell>
        </row>
        <row r="102">
          <cell r="A102" t="str">
            <v>CA-21-769</v>
          </cell>
          <cell r="B102" t="str">
            <v>Middletown Apartments</v>
          </cell>
          <cell r="C102">
            <v>82</v>
          </cell>
          <cell r="D102">
            <v>81</v>
          </cell>
          <cell r="E102" t="str">
            <v>Large Family</v>
          </cell>
          <cell r="F102" t="str">
            <v>Placerville</v>
          </cell>
          <cell r="G102" t="str">
            <v>El Dorado</v>
          </cell>
          <cell r="H102">
            <v>19125000</v>
          </cell>
          <cell r="I102">
            <v>105</v>
          </cell>
          <cell r="J102">
            <v>202360.38</v>
          </cell>
          <cell r="L102" t="str">
            <v>Rural</v>
          </cell>
          <cell r="N102" t="str">
            <v>Northern</v>
          </cell>
          <cell r="O102">
            <v>0</v>
          </cell>
          <cell r="P102">
            <v>36619875</v>
          </cell>
          <cell r="Q102">
            <v>1374179</v>
          </cell>
          <cell r="R102">
            <v>3620685</v>
          </cell>
          <cell r="S102">
            <v>0.44938271604938262</v>
          </cell>
          <cell r="T102">
            <v>0</v>
          </cell>
          <cell r="U102">
            <v>0</v>
          </cell>
          <cell r="V102" t="str">
            <v>New Construction</v>
          </cell>
          <cell r="X102" t="str">
            <v>California Municipal Finance Authority</v>
          </cell>
        </row>
        <row r="103">
          <cell r="A103" t="str">
            <v>CA-21-697</v>
          </cell>
          <cell r="B103" t="str">
            <v>San Martin de Porres Apartments Rehab</v>
          </cell>
          <cell r="C103">
            <v>116</v>
          </cell>
          <cell r="D103">
            <v>115</v>
          </cell>
          <cell r="E103" t="str">
            <v>Nothing Selected</v>
          </cell>
          <cell r="F103" t="str">
            <v>Spring Valley</v>
          </cell>
          <cell r="G103" t="str">
            <v>San Diego</v>
          </cell>
          <cell r="H103">
            <v>20466538</v>
          </cell>
          <cell r="I103">
            <v>90</v>
          </cell>
          <cell r="J103">
            <v>129567.20928500497</v>
          </cell>
          <cell r="L103" t="str">
            <v>BIPOC</v>
          </cell>
          <cell r="N103" t="str">
            <v>Coastal</v>
          </cell>
          <cell r="O103">
            <v>0</v>
          </cell>
          <cell r="P103">
            <v>39782891</v>
          </cell>
          <cell r="Q103">
            <v>1413989.8</v>
          </cell>
          <cell r="R103">
            <v>0</v>
          </cell>
          <cell r="S103">
            <v>0.37521739130434778</v>
          </cell>
          <cell r="T103">
            <v>0</v>
          </cell>
          <cell r="U103">
            <v>0</v>
          </cell>
          <cell r="V103" t="str">
            <v>Acquisition &amp; Rehabilitation</v>
          </cell>
          <cell r="X103" t="str">
            <v>California Municipal Finance Authority</v>
          </cell>
        </row>
        <row r="104">
          <cell r="A104" t="str">
            <v>CA-21-731</v>
          </cell>
          <cell r="B104" t="str">
            <v>Mercado Apartments</v>
          </cell>
          <cell r="C104">
            <v>144</v>
          </cell>
          <cell r="D104">
            <v>142</v>
          </cell>
          <cell r="E104" t="str">
            <v>Nothing Selected</v>
          </cell>
          <cell r="F104" t="str">
            <v>San Diego</v>
          </cell>
          <cell r="G104" t="str">
            <v>San Diego</v>
          </cell>
          <cell r="H104">
            <v>25538699</v>
          </cell>
          <cell r="I104">
            <v>90</v>
          </cell>
          <cell r="J104">
            <v>138022.6403037796</v>
          </cell>
          <cell r="L104" t="str">
            <v>BIPOC</v>
          </cell>
          <cell r="N104" t="str">
            <v>Coastal</v>
          </cell>
          <cell r="O104">
            <v>0</v>
          </cell>
          <cell r="P104">
            <v>51841043</v>
          </cell>
          <cell r="Q104">
            <v>2173447.5</v>
          </cell>
          <cell r="R104">
            <v>0</v>
          </cell>
          <cell r="S104">
            <v>0.49788732394366186</v>
          </cell>
          <cell r="T104">
            <v>0</v>
          </cell>
          <cell r="U104">
            <v>0</v>
          </cell>
          <cell r="V104" t="str">
            <v>Acquisition &amp; Rehabilitation</v>
          </cell>
          <cell r="X104" t="str">
            <v>Housing Authority of the City of San Diego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64"/>
  <sheetViews>
    <sheetView topLeftCell="A106" zoomScale="80" zoomScaleNormal="80" zoomScaleSheetLayoutView="115" workbookViewId="0">
      <selection activeCell="C1" sqref="C1:C65536"/>
    </sheetView>
  </sheetViews>
  <sheetFormatPr defaultColWidth="11.42578125" defaultRowHeight="12.75" x14ac:dyDescent="0.2"/>
  <cols>
    <col min="1" max="1" width="2.42578125" style="7" customWidth="1"/>
    <col min="2" max="2" width="2" style="7" customWidth="1"/>
    <col min="3" max="3" width="18.42578125" style="8" bestFit="1" customWidth="1"/>
    <col min="4" max="4" width="46.42578125" style="8" customWidth="1"/>
    <col min="5" max="5" width="45.85546875" style="7" bestFit="1" customWidth="1"/>
    <col min="6" max="6" width="13.42578125" style="8" bestFit="1" customWidth="1"/>
    <col min="7" max="7" width="14.85546875" style="8" bestFit="1" customWidth="1"/>
    <col min="8" max="8" width="12.42578125" style="8" bestFit="1" customWidth="1"/>
    <col min="9" max="9" width="26.42578125" style="8" bestFit="1" customWidth="1"/>
    <col min="10" max="10" width="11.140625" style="8" bestFit="1" customWidth="1"/>
    <col min="11" max="11" width="25" style="8" bestFit="1" customWidth="1"/>
    <col min="12" max="12" width="18.42578125" style="44" bestFit="1" customWidth="1"/>
    <col min="13" max="14" width="18.42578125" style="26" bestFit="1" customWidth="1"/>
    <col min="15" max="15" width="13.42578125" style="44" bestFit="1" customWidth="1"/>
    <col min="16" max="16" width="12" style="73" bestFit="1" customWidth="1"/>
    <col min="17" max="17" width="15.85546875" style="9" bestFit="1" customWidth="1"/>
    <col min="18" max="18" width="10.85546875" style="9" bestFit="1" customWidth="1"/>
    <col min="19" max="20" width="16.140625" style="88" bestFit="1" customWidth="1"/>
    <col min="21" max="22" width="18.5703125" style="6" customWidth="1"/>
    <col min="23" max="16384" width="11.42578125" style="7"/>
  </cols>
  <sheetData>
    <row r="1" spans="1:22" x14ac:dyDescent="0.2">
      <c r="H1" s="8" t="s">
        <v>241</v>
      </c>
      <c r="I1" s="123">
        <v>108802308</v>
      </c>
      <c r="J1" s="8" t="s">
        <v>242</v>
      </c>
      <c r="K1" s="123" t="e">
        <f>S6+S7+S13+S14+S15+S16+S17+S23+S24+S30+S31+S32+#REF!+S49+S50+S51+S52+S53+S54+S64+S65+S66+S74+S75+S76+S77+S83+S84+S85+S86+S87+S98+#REF!+S104+S105+S106</f>
        <v>#REF!</v>
      </c>
      <c r="L1" s="8" t="s">
        <v>145</v>
      </c>
      <c r="M1" s="26" t="e">
        <f>I1-K1</f>
        <v>#REF!</v>
      </c>
    </row>
    <row r="2" spans="1:22" x14ac:dyDescent="0.2">
      <c r="A2" s="1" t="s">
        <v>144</v>
      </c>
      <c r="B2" s="1"/>
      <c r="C2" s="2"/>
      <c r="D2" s="2"/>
      <c r="E2" s="3"/>
      <c r="F2" s="3"/>
      <c r="G2" s="3"/>
      <c r="H2" s="3"/>
      <c r="I2" s="3"/>
      <c r="J2" s="3"/>
      <c r="K2" s="3"/>
      <c r="L2" s="52" t="s">
        <v>34</v>
      </c>
      <c r="M2" s="55"/>
      <c r="N2" s="55"/>
      <c r="O2" s="52"/>
      <c r="P2" s="72"/>
      <c r="Q2" s="5"/>
      <c r="R2" s="5"/>
      <c r="S2" s="87"/>
      <c r="T2" s="87"/>
    </row>
    <row r="3" spans="1:22" x14ac:dyDescent="0.2">
      <c r="E3" s="7" t="s">
        <v>2</v>
      </c>
      <c r="F3" s="12" t="s">
        <v>145</v>
      </c>
      <c r="G3" s="12"/>
      <c r="H3" s="12"/>
      <c r="I3" s="12"/>
      <c r="J3" s="12"/>
      <c r="K3" s="12"/>
    </row>
    <row r="4" spans="1:22" x14ac:dyDescent="0.2">
      <c r="A4" s="10" t="s">
        <v>12</v>
      </c>
      <c r="B4" s="10"/>
      <c r="E4" s="128">
        <v>89234859</v>
      </c>
      <c r="F4" s="12" t="e">
        <f>E4-L8</f>
        <v>#REF!</v>
      </c>
      <c r="G4" s="12"/>
      <c r="H4" s="12"/>
      <c r="I4" s="12"/>
      <c r="J4" s="12"/>
      <c r="K4" s="12"/>
      <c r="L4" s="39"/>
      <c r="M4" s="56"/>
      <c r="N4" s="56"/>
      <c r="O4" s="41"/>
      <c r="Q4" s="22"/>
      <c r="R4" s="22"/>
      <c r="S4" s="156"/>
      <c r="T4" s="156"/>
    </row>
    <row r="5" spans="1:22" s="108" customFormat="1" x14ac:dyDescent="0.2">
      <c r="A5" s="109"/>
      <c r="B5" s="109"/>
      <c r="C5" s="108" t="s">
        <v>22</v>
      </c>
      <c r="D5" s="108" t="s">
        <v>137</v>
      </c>
      <c r="E5" s="108" t="s">
        <v>23</v>
      </c>
      <c r="F5" s="108" t="s">
        <v>4</v>
      </c>
      <c r="G5" s="108" t="s">
        <v>40</v>
      </c>
      <c r="H5" s="108" t="s">
        <v>0</v>
      </c>
      <c r="I5" s="108" t="s">
        <v>24</v>
      </c>
      <c r="J5" s="108" t="s">
        <v>5</v>
      </c>
      <c r="K5" s="108" t="s">
        <v>1</v>
      </c>
      <c r="L5" s="110" t="s">
        <v>138</v>
      </c>
      <c r="M5" s="110" t="s">
        <v>139</v>
      </c>
      <c r="N5" s="110" t="s">
        <v>140</v>
      </c>
      <c r="O5" s="110" t="s">
        <v>39</v>
      </c>
      <c r="P5" s="111" t="s">
        <v>36</v>
      </c>
      <c r="Q5" s="108" t="s">
        <v>146</v>
      </c>
      <c r="R5" s="108" t="s">
        <v>130</v>
      </c>
      <c r="S5" s="108" t="s">
        <v>141</v>
      </c>
      <c r="T5" s="108" t="s">
        <v>142</v>
      </c>
      <c r="U5" s="112"/>
      <c r="V5" s="112"/>
    </row>
    <row r="6" spans="1:22" x14ac:dyDescent="0.2">
      <c r="B6" s="7">
        <v>1</v>
      </c>
      <c r="C6" s="37" t="s">
        <v>211</v>
      </c>
      <c r="D6" s="38" t="e">
        <f>VLOOKUP(C6,Round2,15,FALSE)</f>
        <v>#REF!</v>
      </c>
      <c r="E6" s="38" t="e">
        <f>VLOOKUP(C6,Round2,2,FALSE)</f>
        <v>#REF!</v>
      </c>
      <c r="F6" s="38" t="e">
        <f>VLOOKUP(C6,Round2,14,FALSE)</f>
        <v>#REF!</v>
      </c>
      <c r="G6" s="38" t="e">
        <f>VLOOKUP(C6,Round2,12,FALSE)</f>
        <v>#REF!</v>
      </c>
      <c r="H6" s="38" t="e">
        <f>VLOOKUP(C6,Round2,26,FALSE)</f>
        <v>#REF!</v>
      </c>
      <c r="I6" s="38" t="e">
        <f>VLOOKUP(C6,Round2,30,FALSE)</f>
        <v>#REF!</v>
      </c>
      <c r="J6" s="38" t="e">
        <f>VLOOKUP(C6,Round2,31,FALSE)</f>
        <v>#REF!</v>
      </c>
      <c r="K6" s="38" t="e">
        <f>VLOOKUP(C6,Round2,9,FALSE)</f>
        <v>#REF!</v>
      </c>
      <c r="L6" s="101" t="e">
        <f>VLOOKUP(C6,Round2,3,FALSE)</f>
        <v>#REF!</v>
      </c>
      <c r="M6" s="101"/>
      <c r="N6" s="101"/>
      <c r="O6" s="101" t="e">
        <f>L6+M6+N6</f>
        <v>#REF!</v>
      </c>
      <c r="P6" s="75" t="e">
        <f>VLOOKUP(C6,Round2,4,FALSE)</f>
        <v>#REF!</v>
      </c>
      <c r="Q6" s="129" t="e">
        <f>VLOOKUP(C6,Round2,5,FALSE)</f>
        <v>#REF!</v>
      </c>
      <c r="R6" s="65" t="e">
        <f>VLOOKUP(C6,Round2,10,FALSE)</f>
        <v>#REF!</v>
      </c>
      <c r="S6" s="101" t="e">
        <f>VLOOKUP(C6,Round2,19,FALSE)</f>
        <v>#REF!</v>
      </c>
      <c r="T6" s="101" t="e">
        <f>VLOOKUP(C6,Round2,18,FALSE)</f>
        <v>#REF!</v>
      </c>
      <c r="U6" s="50"/>
      <c r="V6" s="50"/>
    </row>
    <row r="7" spans="1:22" x14ac:dyDescent="0.2">
      <c r="B7" s="7">
        <v>1</v>
      </c>
      <c r="C7" s="37" t="s">
        <v>223</v>
      </c>
      <c r="D7" s="38" t="e">
        <f>VLOOKUP(C7,Round2,15,FALSE)</f>
        <v>#REF!</v>
      </c>
      <c r="E7" s="38" t="e">
        <f>VLOOKUP(C7,Round2,2,FALSE)</f>
        <v>#REF!</v>
      </c>
      <c r="F7" s="38" t="e">
        <f>VLOOKUP(C7,Round2,14,FALSE)</f>
        <v>#REF!</v>
      </c>
      <c r="G7" s="38" t="e">
        <f>VLOOKUP(C7,Round2,12,FALSE)</f>
        <v>#REF!</v>
      </c>
      <c r="H7" s="38" t="e">
        <f>VLOOKUP(C7,Round2,26,FALSE)</f>
        <v>#REF!</v>
      </c>
      <c r="I7" s="38" t="e">
        <f>VLOOKUP(C7,Round2,30,FALSE)</f>
        <v>#REF!</v>
      </c>
      <c r="J7" s="38" t="e">
        <f>VLOOKUP(C7,Round2,31,FALSE)</f>
        <v>#REF!</v>
      </c>
      <c r="K7" s="38" t="e">
        <f>VLOOKUP(C7,Round2,9,FALSE)</f>
        <v>#REF!</v>
      </c>
      <c r="L7" s="101" t="e">
        <f>VLOOKUP(C7,Round2,3,FALSE)</f>
        <v>#REF!</v>
      </c>
      <c r="M7" s="101"/>
      <c r="N7" s="101"/>
      <c r="O7" s="101" t="e">
        <f>L7+M7+N7</f>
        <v>#REF!</v>
      </c>
      <c r="P7" s="75" t="e">
        <f>VLOOKUP(C7,Round2,4,FALSE)</f>
        <v>#REF!</v>
      </c>
      <c r="Q7" s="129" t="e">
        <f>VLOOKUP(C7,Round2,5,FALSE)</f>
        <v>#REF!</v>
      </c>
      <c r="R7" s="65" t="e">
        <f>VLOOKUP(C7,Round2,10,FALSE)</f>
        <v>#REF!</v>
      </c>
      <c r="S7" s="101" t="e">
        <f>VLOOKUP(C7,Round2,19,FALSE)</f>
        <v>#REF!</v>
      </c>
      <c r="T7" s="101" t="e">
        <f>VLOOKUP(C7,Round2,18,FALSE)</f>
        <v>#REF!</v>
      </c>
      <c r="U7" s="50"/>
      <c r="V7" s="50"/>
    </row>
    <row r="8" spans="1:22" x14ac:dyDescent="0.2">
      <c r="C8" s="37"/>
      <c r="D8" s="37"/>
      <c r="E8" s="38"/>
      <c r="F8" s="38"/>
      <c r="G8" s="38"/>
      <c r="H8" s="38"/>
      <c r="I8" s="37"/>
      <c r="J8" s="37"/>
      <c r="K8" s="38"/>
      <c r="L8" s="44" t="e">
        <f>SUM(L6:L7)</f>
        <v>#REF!</v>
      </c>
      <c r="M8" s="39"/>
      <c r="N8" s="39"/>
      <c r="O8" s="44" t="e">
        <f>SUM(#REF!)</f>
        <v>#REF!</v>
      </c>
      <c r="P8" s="76"/>
      <c r="Q8" s="40"/>
      <c r="R8" s="16"/>
      <c r="S8" s="125"/>
      <c r="T8" s="91"/>
      <c r="U8" s="15"/>
      <c r="V8" s="15"/>
    </row>
    <row r="9" spans="1:22" x14ac:dyDescent="0.2">
      <c r="A9" s="18"/>
      <c r="B9" s="18"/>
      <c r="C9" s="59"/>
      <c r="D9" s="59"/>
      <c r="E9" s="60"/>
      <c r="F9" s="60"/>
      <c r="G9" s="60"/>
      <c r="H9" s="60"/>
      <c r="I9" s="59"/>
      <c r="J9" s="59"/>
      <c r="K9" s="60"/>
      <c r="L9" s="18"/>
      <c r="M9" s="57"/>
      <c r="N9" s="57"/>
      <c r="O9" s="18"/>
      <c r="P9" s="77"/>
      <c r="Q9" s="61"/>
      <c r="R9" s="62"/>
      <c r="S9" s="92"/>
      <c r="T9" s="93"/>
      <c r="U9" s="15"/>
      <c r="V9" s="15"/>
    </row>
    <row r="10" spans="1:22" x14ac:dyDescent="0.2">
      <c r="C10" s="37"/>
      <c r="D10" s="37"/>
      <c r="E10" s="38" t="s">
        <v>2</v>
      </c>
      <c r="F10" s="12" t="s">
        <v>145</v>
      </c>
      <c r="G10" s="12"/>
      <c r="H10" s="38"/>
      <c r="I10" s="37"/>
      <c r="J10" s="37"/>
      <c r="K10" s="38"/>
      <c r="L10" s="42"/>
      <c r="M10" s="39"/>
      <c r="N10" s="39"/>
      <c r="O10" s="42"/>
      <c r="P10" s="76"/>
      <c r="Q10" s="40"/>
      <c r="R10" s="16"/>
      <c r="S10" s="90"/>
      <c r="T10" s="91"/>
      <c r="U10" s="15"/>
      <c r="V10" s="15"/>
    </row>
    <row r="11" spans="1:22" x14ac:dyDescent="0.2">
      <c r="A11" s="10" t="s">
        <v>11</v>
      </c>
      <c r="B11" s="10"/>
      <c r="E11" s="46">
        <v>221792412</v>
      </c>
      <c r="F11" s="12" t="e">
        <f>E11-L18</f>
        <v>#REF!</v>
      </c>
      <c r="G11" s="121"/>
      <c r="H11" s="12"/>
      <c r="I11" s="38"/>
      <c r="J11" s="38"/>
      <c r="K11" s="38"/>
      <c r="L11" s="42"/>
      <c r="M11" s="39"/>
      <c r="N11" s="39"/>
      <c r="O11" s="42"/>
      <c r="P11" s="76"/>
      <c r="Q11" s="40"/>
      <c r="R11" s="16"/>
      <c r="S11" s="90"/>
      <c r="T11" s="91"/>
      <c r="U11" s="15"/>
      <c r="V11" s="15"/>
    </row>
    <row r="12" spans="1:22" s="108" customFormat="1" x14ac:dyDescent="0.2">
      <c r="A12" s="109"/>
      <c r="B12" s="109"/>
      <c r="C12" s="108" t="s">
        <v>22</v>
      </c>
      <c r="D12" s="108" t="s">
        <v>137</v>
      </c>
      <c r="E12" s="108" t="s">
        <v>23</v>
      </c>
      <c r="F12" s="108" t="s">
        <v>4</v>
      </c>
      <c r="G12" s="108" t="s">
        <v>40</v>
      </c>
      <c r="H12" s="108" t="s">
        <v>0</v>
      </c>
      <c r="I12" s="108" t="s">
        <v>24</v>
      </c>
      <c r="J12" s="108" t="s">
        <v>5</v>
      </c>
      <c r="K12" s="108" t="s">
        <v>1</v>
      </c>
      <c r="L12" s="110" t="s">
        <v>138</v>
      </c>
      <c r="M12" s="110" t="s">
        <v>139</v>
      </c>
      <c r="N12" s="110" t="s">
        <v>140</v>
      </c>
      <c r="O12" s="110" t="s">
        <v>39</v>
      </c>
      <c r="P12" s="111" t="s">
        <v>36</v>
      </c>
      <c r="Q12" s="108" t="s">
        <v>146</v>
      </c>
      <c r="R12" s="108" t="s">
        <v>130</v>
      </c>
      <c r="S12" s="108" t="s">
        <v>141</v>
      </c>
      <c r="T12" s="108" t="s">
        <v>142</v>
      </c>
      <c r="U12" s="112"/>
      <c r="V12" s="112"/>
    </row>
    <row r="13" spans="1:22" x14ac:dyDescent="0.2">
      <c r="B13" s="7">
        <v>1</v>
      </c>
      <c r="C13" t="s">
        <v>213</v>
      </c>
      <c r="D13" s="38" t="e">
        <f>VLOOKUP(C13,Round2,15,FALSE)</f>
        <v>#REF!</v>
      </c>
      <c r="E13" s="38" t="e">
        <f>VLOOKUP(C13,Round2,2,FALSE)</f>
        <v>#REF!</v>
      </c>
      <c r="F13" s="38" t="e">
        <f>VLOOKUP(C13,Round2,14,FALSE)</f>
        <v>#REF!</v>
      </c>
      <c r="G13" s="38" t="e">
        <f>VLOOKUP(C13,Round2,12,FALSE)</f>
        <v>#REF!</v>
      </c>
      <c r="H13" s="38" t="e">
        <f>VLOOKUP(C13,Round2,26,FALSE)</f>
        <v>#REF!</v>
      </c>
      <c r="I13" s="38" t="e">
        <f>VLOOKUP(C13,Round2,30,FALSE)</f>
        <v>#REF!</v>
      </c>
      <c r="J13" s="38" t="e">
        <f>VLOOKUP(C13,Round2,31,FALSE)</f>
        <v>#REF!</v>
      </c>
      <c r="K13" s="38" t="e">
        <f>VLOOKUP(C13,Round2,9,FALSE)</f>
        <v>#REF!</v>
      </c>
      <c r="L13" s="101" t="e">
        <f>VLOOKUP(C13,Round2,3,FALSE)</f>
        <v>#REF!</v>
      </c>
      <c r="M13" s="101"/>
      <c r="N13" s="101"/>
      <c r="O13" s="101" t="e">
        <f>L13+M13+N13</f>
        <v>#REF!</v>
      </c>
      <c r="P13" s="75" t="e">
        <f>VLOOKUP(C13,Round2,4,FALSE)</f>
        <v>#REF!</v>
      </c>
      <c r="Q13" s="129" t="e">
        <f>VLOOKUP(C13,Round2,5,FALSE)</f>
        <v>#REF!</v>
      </c>
      <c r="R13" s="65" t="e">
        <f>VLOOKUP(C13,Round2,10,FALSE)</f>
        <v>#REF!</v>
      </c>
      <c r="S13" s="101" t="e">
        <f>VLOOKUP(C13,Round2,19,FALSE)</f>
        <v>#REF!</v>
      </c>
      <c r="T13" s="101" t="e">
        <f>VLOOKUP(C13,Round2,18,FALSE)</f>
        <v>#REF!</v>
      </c>
      <c r="U13" s="50"/>
      <c r="V13" s="50"/>
    </row>
    <row r="14" spans="1:22" x14ac:dyDescent="0.2">
      <c r="B14" s="7">
        <v>1</v>
      </c>
      <c r="C14" t="s">
        <v>222</v>
      </c>
      <c r="D14" s="38" t="e">
        <f>VLOOKUP(C14,Round2,15,FALSE)</f>
        <v>#REF!</v>
      </c>
      <c r="E14" s="38" t="e">
        <f>VLOOKUP(C14,Round2,2,FALSE)</f>
        <v>#REF!</v>
      </c>
      <c r="F14" s="38" t="e">
        <f>VLOOKUP(C14,Round2,14,FALSE)</f>
        <v>#REF!</v>
      </c>
      <c r="G14" s="38" t="e">
        <f>VLOOKUP(C14,Round2,12,FALSE)</f>
        <v>#REF!</v>
      </c>
      <c r="H14" s="38" t="e">
        <f>VLOOKUP(C14,Round2,26,FALSE)</f>
        <v>#REF!</v>
      </c>
      <c r="I14" s="38" t="e">
        <f>VLOOKUP(C14,Round2,30,FALSE)</f>
        <v>#REF!</v>
      </c>
      <c r="J14" s="38" t="e">
        <f>VLOOKUP(C14,Round2,31,FALSE)</f>
        <v>#REF!</v>
      </c>
      <c r="K14" s="38" t="e">
        <f>VLOOKUP(C14,Round2,9,FALSE)</f>
        <v>#REF!</v>
      </c>
      <c r="L14" s="101" t="e">
        <f>VLOOKUP(C14,Round2,3,FALSE)</f>
        <v>#REF!</v>
      </c>
      <c r="M14" s="101"/>
      <c r="N14" s="101"/>
      <c r="O14" s="101" t="e">
        <f>L14+M14+N14</f>
        <v>#REF!</v>
      </c>
      <c r="P14" s="75" t="e">
        <f>VLOOKUP(C14,Round2,4,FALSE)</f>
        <v>#REF!</v>
      </c>
      <c r="Q14" s="129" t="e">
        <f>VLOOKUP(C14,Round2,5,FALSE)</f>
        <v>#REF!</v>
      </c>
      <c r="R14" s="65" t="e">
        <f>VLOOKUP(C14,Round2,10,FALSE)</f>
        <v>#REF!</v>
      </c>
      <c r="S14" s="101" t="e">
        <f>VLOOKUP(C14,Round2,19,FALSE)</f>
        <v>#REF!</v>
      </c>
      <c r="T14" s="101" t="e">
        <f>VLOOKUP(C14,Round2,18,FALSE)</f>
        <v>#REF!</v>
      </c>
      <c r="U14" s="50"/>
      <c r="V14" s="50"/>
    </row>
    <row r="15" spans="1:22" x14ac:dyDescent="0.2">
      <c r="B15" s="7">
        <v>1</v>
      </c>
      <c r="C15" t="s">
        <v>234</v>
      </c>
      <c r="D15" s="38" t="e">
        <f>VLOOKUP(C15,Round2,15,FALSE)</f>
        <v>#REF!</v>
      </c>
      <c r="E15" s="38" t="e">
        <f>VLOOKUP(C15,Round2,2,FALSE)</f>
        <v>#REF!</v>
      </c>
      <c r="F15" s="38" t="e">
        <f>VLOOKUP(C15,Round2,14,FALSE)</f>
        <v>#REF!</v>
      </c>
      <c r="G15" s="38" t="e">
        <f>VLOOKUP(C15,Round2,12,FALSE)</f>
        <v>#REF!</v>
      </c>
      <c r="H15" s="38" t="e">
        <f>VLOOKUP(C15,Round2,26,FALSE)</f>
        <v>#REF!</v>
      </c>
      <c r="I15" s="38" t="e">
        <f>VLOOKUP(C15,Round2,30,FALSE)</f>
        <v>#REF!</v>
      </c>
      <c r="J15" s="38" t="e">
        <f>VLOOKUP(C15,Round2,31,FALSE)</f>
        <v>#REF!</v>
      </c>
      <c r="K15" s="38" t="e">
        <f>VLOOKUP(C15,Round2,9,FALSE)</f>
        <v>#REF!</v>
      </c>
      <c r="L15" s="101" t="e">
        <f>VLOOKUP(C15,Round2,3,FALSE)</f>
        <v>#REF!</v>
      </c>
      <c r="M15" s="101"/>
      <c r="N15" s="101"/>
      <c r="O15" s="101" t="e">
        <f>L15+M15+N15</f>
        <v>#REF!</v>
      </c>
      <c r="P15" s="75" t="e">
        <f>VLOOKUP(C15,Round2,4,FALSE)</f>
        <v>#REF!</v>
      </c>
      <c r="Q15" s="129" t="e">
        <f>VLOOKUP(C15,Round2,5,FALSE)</f>
        <v>#REF!</v>
      </c>
      <c r="R15" s="65" t="e">
        <f>VLOOKUP(C15,Round2,10,FALSE)</f>
        <v>#REF!</v>
      </c>
      <c r="S15" s="101" t="e">
        <f>VLOOKUP(C15,Round2,19,FALSE)</f>
        <v>#REF!</v>
      </c>
      <c r="T15" s="101" t="e">
        <f>VLOOKUP(C15,Round2,18,FALSE)</f>
        <v>#REF!</v>
      </c>
      <c r="U15" s="50"/>
      <c r="V15" s="50"/>
    </row>
    <row r="16" spans="1:22" x14ac:dyDescent="0.2">
      <c r="B16" s="7">
        <v>1</v>
      </c>
      <c r="C16" t="s">
        <v>215</v>
      </c>
      <c r="D16" s="38" t="e">
        <f>VLOOKUP(C16,Round2,15,FALSE)</f>
        <v>#REF!</v>
      </c>
      <c r="E16" s="38" t="e">
        <f>VLOOKUP(C16,Round2,2,FALSE)</f>
        <v>#REF!</v>
      </c>
      <c r="F16" s="38" t="e">
        <f>VLOOKUP(C16,Round2,14,FALSE)</f>
        <v>#REF!</v>
      </c>
      <c r="G16" s="38" t="e">
        <f>VLOOKUP(C16,Round2,12,FALSE)</f>
        <v>#REF!</v>
      </c>
      <c r="H16" s="38" t="e">
        <f>VLOOKUP(C16,Round2,26,FALSE)</f>
        <v>#REF!</v>
      </c>
      <c r="I16" s="38" t="e">
        <f>VLOOKUP(C16,Round2,30,FALSE)</f>
        <v>#REF!</v>
      </c>
      <c r="J16" s="38" t="e">
        <f>VLOOKUP(C16,Round2,31,FALSE)</f>
        <v>#REF!</v>
      </c>
      <c r="K16" s="38" t="e">
        <f>VLOOKUP(C16,Round2,9,FALSE)</f>
        <v>#REF!</v>
      </c>
      <c r="L16" s="101" t="e">
        <f>VLOOKUP(C16,Round2,3,FALSE)</f>
        <v>#REF!</v>
      </c>
      <c r="M16" s="101"/>
      <c r="N16" s="101"/>
      <c r="O16" s="101" t="e">
        <f>L16+M16+N16</f>
        <v>#REF!</v>
      </c>
      <c r="P16" s="75" t="e">
        <f>VLOOKUP(C16,Round2,4,FALSE)</f>
        <v>#REF!</v>
      </c>
      <c r="Q16" s="129" t="e">
        <f>VLOOKUP(C16,Round2,5,FALSE)</f>
        <v>#REF!</v>
      </c>
      <c r="R16" s="65" t="e">
        <f>VLOOKUP(C16,Round2,10,FALSE)</f>
        <v>#REF!</v>
      </c>
      <c r="S16" s="101" t="e">
        <f>VLOOKUP(C16,Round2,19,FALSE)</f>
        <v>#REF!</v>
      </c>
      <c r="T16" s="101" t="e">
        <f>VLOOKUP(C16,Round2,18,FALSE)</f>
        <v>#REF!</v>
      </c>
      <c r="U16" s="50"/>
      <c r="V16" s="50"/>
    </row>
    <row r="17" spans="1:22" x14ac:dyDescent="0.2">
      <c r="B17" s="7">
        <v>1</v>
      </c>
      <c r="C17" t="s">
        <v>190</v>
      </c>
      <c r="D17" s="38" t="e">
        <f>VLOOKUP(C17,Round2,15,FALSE)</f>
        <v>#REF!</v>
      </c>
      <c r="E17" s="38" t="e">
        <f>VLOOKUP(C17,Round2,2,FALSE)</f>
        <v>#REF!</v>
      </c>
      <c r="F17" s="38" t="e">
        <f>VLOOKUP(C17,Round2,14,FALSE)</f>
        <v>#REF!</v>
      </c>
      <c r="G17" s="38" t="e">
        <f>VLOOKUP(C17,Round2,12,FALSE)</f>
        <v>#REF!</v>
      </c>
      <c r="H17" s="38" t="e">
        <f>VLOOKUP(C17,Round2,26,FALSE)</f>
        <v>#REF!</v>
      </c>
      <c r="I17" s="38" t="e">
        <f>VLOOKUP(C17,Round2,30,FALSE)</f>
        <v>#REF!</v>
      </c>
      <c r="J17" s="38" t="e">
        <f>VLOOKUP(C17,Round2,31,FALSE)</f>
        <v>#REF!</v>
      </c>
      <c r="K17" s="38" t="e">
        <f>VLOOKUP(C17,Round2,9,FALSE)</f>
        <v>#REF!</v>
      </c>
      <c r="L17" s="101" t="e">
        <f>VLOOKUP(C17,Round2,3,FALSE)</f>
        <v>#REF!</v>
      </c>
      <c r="M17" s="101"/>
      <c r="N17" s="101"/>
      <c r="O17" s="101" t="e">
        <f>L17+M17+N17</f>
        <v>#REF!</v>
      </c>
      <c r="P17" s="75" t="e">
        <f>VLOOKUP(C17,Round2,4,FALSE)</f>
        <v>#REF!</v>
      </c>
      <c r="Q17" s="129" t="e">
        <f>VLOOKUP(C17,Round2,5,FALSE)</f>
        <v>#REF!</v>
      </c>
      <c r="R17" s="65" t="e">
        <f>VLOOKUP(C17,Round2,10,FALSE)</f>
        <v>#REF!</v>
      </c>
      <c r="S17" s="101" t="e">
        <f>VLOOKUP(C17,Round2,19,FALSE)</f>
        <v>#REF!</v>
      </c>
      <c r="T17" s="101" t="e">
        <f>VLOOKUP(C17,Round2,18,FALSE)</f>
        <v>#REF!</v>
      </c>
      <c r="U17" s="50"/>
      <c r="V17" s="50"/>
    </row>
    <row r="18" spans="1:22" x14ac:dyDescent="0.2">
      <c r="L18" s="44" t="e">
        <f>SUM(L13:L17)</f>
        <v>#REF!</v>
      </c>
      <c r="O18" s="44" t="e">
        <f>SUM(#REF!)</f>
        <v>#REF!</v>
      </c>
      <c r="S18" s="124"/>
      <c r="U18" s="15"/>
    </row>
    <row r="19" spans="1:22" x14ac:dyDescent="0.2">
      <c r="A19" s="18"/>
      <c r="B19" s="18"/>
      <c r="C19" s="19"/>
      <c r="D19" s="19"/>
      <c r="E19" s="18"/>
      <c r="F19" s="19"/>
      <c r="G19" s="19"/>
      <c r="H19" s="19"/>
      <c r="I19" s="19"/>
      <c r="J19" s="19"/>
      <c r="K19" s="19"/>
      <c r="L19" s="18"/>
      <c r="M19" s="57"/>
      <c r="N19" s="57"/>
      <c r="O19" s="18"/>
      <c r="P19" s="79"/>
      <c r="Q19" s="20"/>
      <c r="R19" s="20"/>
      <c r="S19" s="94"/>
      <c r="T19" s="94"/>
      <c r="U19" s="15"/>
    </row>
    <row r="20" spans="1:22" x14ac:dyDescent="0.2">
      <c r="C20" s="37"/>
      <c r="D20" s="37"/>
      <c r="E20" s="38" t="s">
        <v>2</v>
      </c>
      <c r="F20" s="12" t="s">
        <v>145</v>
      </c>
      <c r="G20" s="12"/>
      <c r="H20" s="38"/>
      <c r="I20" s="37"/>
      <c r="J20" s="37"/>
      <c r="K20" s="38"/>
      <c r="L20" s="42"/>
      <c r="M20" s="39"/>
      <c r="N20" s="39"/>
      <c r="O20" s="42"/>
      <c r="P20" s="76"/>
      <c r="Q20" s="40"/>
      <c r="R20" s="16"/>
      <c r="S20" s="90"/>
      <c r="T20" s="91"/>
      <c r="U20" s="15"/>
    </row>
    <row r="21" spans="1:22" x14ac:dyDescent="0.2">
      <c r="A21" s="10" t="s">
        <v>32</v>
      </c>
      <c r="B21" s="10"/>
      <c r="E21" s="46">
        <v>19949972</v>
      </c>
      <c r="F21" s="12" t="e">
        <f>E21-L25</f>
        <v>#REF!</v>
      </c>
      <c r="G21" s="121"/>
      <c r="H21" s="12"/>
      <c r="I21" s="12"/>
      <c r="J21" s="12"/>
      <c r="K21" s="12"/>
      <c r="L21" s="41"/>
      <c r="M21" s="56"/>
      <c r="N21" s="56"/>
      <c r="O21" s="41"/>
      <c r="U21" s="15"/>
    </row>
    <row r="22" spans="1:22" s="108" customFormat="1" x14ac:dyDescent="0.2">
      <c r="A22" s="109"/>
      <c r="B22" s="7"/>
      <c r="C22" s="108" t="s">
        <v>22</v>
      </c>
      <c r="D22" s="108" t="s">
        <v>137</v>
      </c>
      <c r="E22" s="108" t="s">
        <v>23</v>
      </c>
      <c r="F22" s="108" t="s">
        <v>4</v>
      </c>
      <c r="G22" s="108" t="s">
        <v>40</v>
      </c>
      <c r="H22" s="108" t="s">
        <v>0</v>
      </c>
      <c r="I22" s="108" t="s">
        <v>24</v>
      </c>
      <c r="J22" s="108" t="s">
        <v>5</v>
      </c>
      <c r="K22" s="108" t="s">
        <v>1</v>
      </c>
      <c r="L22" s="110" t="s">
        <v>138</v>
      </c>
      <c r="M22" s="110" t="s">
        <v>139</v>
      </c>
      <c r="N22" s="110" t="s">
        <v>140</v>
      </c>
      <c r="O22" s="110" t="s">
        <v>39</v>
      </c>
      <c r="P22" s="111" t="s">
        <v>36</v>
      </c>
      <c r="Q22" s="108" t="s">
        <v>146</v>
      </c>
      <c r="R22" s="108" t="s">
        <v>130</v>
      </c>
      <c r="S22" s="108" t="s">
        <v>141</v>
      </c>
      <c r="T22" s="108" t="s">
        <v>142</v>
      </c>
      <c r="U22" s="112"/>
    </row>
    <row r="23" spans="1:22" x14ac:dyDescent="0.2">
      <c r="B23" s="7">
        <v>1</v>
      </c>
      <c r="C23" t="s">
        <v>166</v>
      </c>
      <c r="D23" s="38" t="e">
        <f>VLOOKUP(C23,Round2,15,FALSE)</f>
        <v>#REF!</v>
      </c>
      <c r="E23" s="38" t="e">
        <f>VLOOKUP(C23,Round2,2,FALSE)</f>
        <v>#REF!</v>
      </c>
      <c r="F23" s="38" t="e">
        <f>VLOOKUP(C23,Round2,14,FALSE)</f>
        <v>#REF!</v>
      </c>
      <c r="G23" s="38" t="e">
        <f>VLOOKUP(C23,Round2,12,FALSE)</f>
        <v>#REF!</v>
      </c>
      <c r="H23" s="38" t="e">
        <f>VLOOKUP(C23,Round2,26,FALSE)</f>
        <v>#REF!</v>
      </c>
      <c r="I23" s="38" t="e">
        <f>VLOOKUP(C23,Round2,30,FALSE)</f>
        <v>#REF!</v>
      </c>
      <c r="J23" s="38" t="e">
        <f>VLOOKUP(C23,Round2,31,FALSE)</f>
        <v>#REF!</v>
      </c>
      <c r="K23" s="38" t="e">
        <f>VLOOKUP(C23,Round2,9,FALSE)</f>
        <v>#REF!</v>
      </c>
      <c r="L23" s="101" t="e">
        <f>VLOOKUP(C23,Round2,3,FALSE)</f>
        <v>#REF!</v>
      </c>
      <c r="M23" s="101"/>
      <c r="N23" s="101"/>
      <c r="O23" s="101" t="e">
        <f>L23+M23+N23</f>
        <v>#REF!</v>
      </c>
      <c r="P23" s="75" t="e">
        <f>VLOOKUP(C23,Round2,4,FALSE)</f>
        <v>#REF!</v>
      </c>
      <c r="Q23" s="129" t="e">
        <f>VLOOKUP(C23,Round2,5,FALSE)</f>
        <v>#REF!</v>
      </c>
      <c r="R23" s="65" t="e">
        <f>VLOOKUP(C23,Round2,10,FALSE)</f>
        <v>#REF!</v>
      </c>
      <c r="S23" s="101" t="e">
        <f>VLOOKUP(C23,Round2,19,FALSE)</f>
        <v>#REF!</v>
      </c>
      <c r="T23" s="101" t="e">
        <f>VLOOKUP(C23,Round2,18,FALSE)</f>
        <v>#REF!</v>
      </c>
      <c r="U23" s="50"/>
      <c r="V23" s="50"/>
    </row>
    <row r="24" spans="1:22" x14ac:dyDescent="0.2">
      <c r="B24" s="7">
        <v>1</v>
      </c>
      <c r="C24" t="s">
        <v>229</v>
      </c>
      <c r="D24" s="38" t="e">
        <f>VLOOKUP(C24,Round2,15,FALSE)</f>
        <v>#REF!</v>
      </c>
      <c r="E24" s="38" t="e">
        <f>VLOOKUP(C24,Round2,2,FALSE)</f>
        <v>#REF!</v>
      </c>
      <c r="F24" s="38" t="e">
        <f>VLOOKUP(C24,Round2,14,FALSE)</f>
        <v>#REF!</v>
      </c>
      <c r="G24" s="38" t="e">
        <f>VLOOKUP(C24,Round2,12,FALSE)</f>
        <v>#REF!</v>
      </c>
      <c r="H24" s="38" t="e">
        <f>VLOOKUP(C24,Round2,26,FALSE)</f>
        <v>#REF!</v>
      </c>
      <c r="I24" s="38" t="e">
        <f>VLOOKUP(C24,Round2,30,FALSE)</f>
        <v>#REF!</v>
      </c>
      <c r="J24" s="38" t="e">
        <f>VLOOKUP(C24,Round2,31,FALSE)</f>
        <v>#REF!</v>
      </c>
      <c r="K24" s="38" t="e">
        <f>VLOOKUP(C24,Round2,9,FALSE)</f>
        <v>#REF!</v>
      </c>
      <c r="L24" s="101" t="e">
        <f>VLOOKUP(C24,Round2,3,FALSE)</f>
        <v>#REF!</v>
      </c>
      <c r="M24" s="101"/>
      <c r="N24" s="101"/>
      <c r="O24" s="101" t="e">
        <f>L24+M24+N24</f>
        <v>#REF!</v>
      </c>
      <c r="P24" s="75" t="e">
        <f>VLOOKUP(C24,Round2,4,FALSE)</f>
        <v>#REF!</v>
      </c>
      <c r="Q24" s="129" t="e">
        <f>VLOOKUP(C24,Round2,5,FALSE)</f>
        <v>#REF!</v>
      </c>
      <c r="R24" s="65" t="e">
        <f>VLOOKUP(C24,Round2,10,FALSE)</f>
        <v>#REF!</v>
      </c>
      <c r="S24" s="101" t="e">
        <f>VLOOKUP(C24,Round2,19,FALSE)</f>
        <v>#REF!</v>
      </c>
      <c r="T24" s="101" t="e">
        <f>VLOOKUP(C24,Round2,18,FALSE)</f>
        <v>#REF!</v>
      </c>
      <c r="U24" s="50"/>
      <c r="V24" s="50"/>
    </row>
    <row r="25" spans="1:22" x14ac:dyDescent="0.2">
      <c r="D25" s="38"/>
      <c r="E25" s="38"/>
      <c r="F25" s="38"/>
      <c r="G25" s="38"/>
      <c r="H25" s="38"/>
      <c r="I25" s="38"/>
      <c r="J25" s="38"/>
      <c r="K25" s="38"/>
      <c r="L25" s="113" t="e">
        <f>SUM(L23:L24)</f>
        <v>#REF!</v>
      </c>
      <c r="M25" s="101"/>
      <c r="N25" s="101"/>
      <c r="O25" s="113" t="e">
        <f>SUM(#REF!)</f>
        <v>#REF!</v>
      </c>
      <c r="P25" s="75"/>
      <c r="Q25" s="64"/>
      <c r="R25" s="65"/>
      <c r="S25" s="89"/>
      <c r="T25" s="89"/>
      <c r="U25" s="15"/>
    </row>
    <row r="26" spans="1:22" x14ac:dyDescent="0.2">
      <c r="A26" s="18"/>
      <c r="B26" s="18"/>
      <c r="C26" s="19"/>
      <c r="D26" s="60"/>
      <c r="E26" s="60"/>
      <c r="F26" s="60"/>
      <c r="G26" s="60"/>
      <c r="H26" s="60"/>
      <c r="I26" s="60"/>
      <c r="J26" s="60"/>
      <c r="K26" s="60"/>
      <c r="L26" s="18"/>
      <c r="M26" s="102"/>
      <c r="N26" s="102"/>
      <c r="O26" s="18"/>
      <c r="P26" s="104"/>
      <c r="Q26" s="85"/>
      <c r="R26" s="105"/>
      <c r="S26" s="106"/>
      <c r="T26" s="106"/>
      <c r="U26" s="15"/>
    </row>
    <row r="27" spans="1:22" x14ac:dyDescent="0.2">
      <c r="C27" s="37"/>
      <c r="D27" s="37"/>
      <c r="E27" s="38" t="s">
        <v>2</v>
      </c>
      <c r="F27" s="12" t="s">
        <v>145</v>
      </c>
      <c r="G27" s="12"/>
      <c r="H27" s="38"/>
      <c r="I27" s="37"/>
      <c r="J27" s="37"/>
      <c r="K27" s="38"/>
      <c r="L27" s="42"/>
      <c r="M27" s="39"/>
      <c r="N27" s="39"/>
      <c r="O27" s="42"/>
      <c r="P27" s="76"/>
      <c r="Q27" s="40"/>
      <c r="R27" s="16"/>
      <c r="S27" s="90"/>
      <c r="T27" s="91"/>
      <c r="U27" s="15"/>
    </row>
    <row r="28" spans="1:22" x14ac:dyDescent="0.2">
      <c r="A28" s="10" t="s">
        <v>33</v>
      </c>
      <c r="B28" s="10"/>
      <c r="E28" s="46">
        <v>74984859</v>
      </c>
      <c r="F28" s="12" t="e">
        <f>E28-L33</f>
        <v>#REF!</v>
      </c>
      <c r="G28" s="121"/>
      <c r="H28" s="12"/>
      <c r="I28" s="12"/>
      <c r="J28" s="12"/>
      <c r="K28" s="12"/>
      <c r="L28" s="41"/>
      <c r="M28" s="56"/>
      <c r="N28" s="56"/>
      <c r="O28" s="41"/>
    </row>
    <row r="29" spans="1:22" s="108" customFormat="1" x14ac:dyDescent="0.2">
      <c r="A29" s="109"/>
      <c r="B29" s="7"/>
      <c r="C29" s="108" t="s">
        <v>22</v>
      </c>
      <c r="D29" s="108" t="s">
        <v>137</v>
      </c>
      <c r="E29" s="108" t="s">
        <v>23</v>
      </c>
      <c r="F29" s="108" t="s">
        <v>4</v>
      </c>
      <c r="G29" s="108" t="s">
        <v>40</v>
      </c>
      <c r="H29" s="108" t="s">
        <v>0</v>
      </c>
      <c r="I29" s="108" t="s">
        <v>24</v>
      </c>
      <c r="J29" s="108" t="s">
        <v>5</v>
      </c>
      <c r="K29" s="108" t="s">
        <v>1</v>
      </c>
      <c r="L29" s="110" t="s">
        <v>138</v>
      </c>
      <c r="M29" s="110" t="s">
        <v>139</v>
      </c>
      <c r="N29" s="110" t="s">
        <v>140</v>
      </c>
      <c r="O29" s="110" t="s">
        <v>39</v>
      </c>
      <c r="P29" s="111" t="s">
        <v>36</v>
      </c>
      <c r="Q29" s="108" t="s">
        <v>146</v>
      </c>
      <c r="R29" s="108" t="s">
        <v>130</v>
      </c>
      <c r="S29" s="108" t="s">
        <v>141</v>
      </c>
      <c r="T29" s="108" t="s">
        <v>142</v>
      </c>
      <c r="U29" s="112"/>
    </row>
    <row r="30" spans="1:22" x14ac:dyDescent="0.2">
      <c r="B30" s="7">
        <v>1</v>
      </c>
      <c r="C30" t="s">
        <v>198</v>
      </c>
      <c r="D30" s="38" t="e">
        <f>VLOOKUP(C30,Round2,15,FALSE)</f>
        <v>#REF!</v>
      </c>
      <c r="E30" s="38" t="e">
        <f>VLOOKUP(C30,Round2,2,FALSE)</f>
        <v>#REF!</v>
      </c>
      <c r="F30" s="38" t="e">
        <f>VLOOKUP(C30,Round2,14,FALSE)</f>
        <v>#REF!</v>
      </c>
      <c r="G30" s="38" t="e">
        <f>VLOOKUP(C30,Round2,12,FALSE)</f>
        <v>#REF!</v>
      </c>
      <c r="H30" s="38" t="e">
        <f>VLOOKUP(C30,Round2,26,FALSE)</f>
        <v>#REF!</v>
      </c>
      <c r="I30" s="38" t="e">
        <f>VLOOKUP(C30,Round2,30,FALSE)</f>
        <v>#REF!</v>
      </c>
      <c r="J30" s="38" t="e">
        <f>VLOOKUP(C30,Round2,31,FALSE)</f>
        <v>#REF!</v>
      </c>
      <c r="K30" s="38" t="e">
        <f>VLOOKUP(C30,Round2,9,FALSE)</f>
        <v>#REF!</v>
      </c>
      <c r="L30" s="101" t="e">
        <f>VLOOKUP(C30,Round2,3,FALSE)</f>
        <v>#REF!</v>
      </c>
      <c r="M30" s="101"/>
      <c r="N30" s="101"/>
      <c r="O30" s="101" t="e">
        <f>L30+M30+N30</f>
        <v>#REF!</v>
      </c>
      <c r="P30" s="75" t="e">
        <f>VLOOKUP(C30,Round2,4,FALSE)</f>
        <v>#REF!</v>
      </c>
      <c r="Q30" s="129" t="e">
        <f>VLOOKUP(C30,Round2,5,FALSE)</f>
        <v>#REF!</v>
      </c>
      <c r="R30" s="65" t="e">
        <f>VLOOKUP(C30,Round2,10,FALSE)</f>
        <v>#REF!</v>
      </c>
      <c r="S30" s="101" t="e">
        <f>VLOOKUP(C30,Round2,19,FALSE)</f>
        <v>#REF!</v>
      </c>
      <c r="T30" s="101" t="e">
        <f>VLOOKUP(C30,Round2,18,FALSE)</f>
        <v>#REF!</v>
      </c>
      <c r="U30" s="50"/>
      <c r="V30" s="50"/>
    </row>
    <row r="31" spans="1:22" x14ac:dyDescent="0.2">
      <c r="B31" s="7">
        <v>1</v>
      </c>
      <c r="C31" t="s">
        <v>188</v>
      </c>
      <c r="D31" s="38" t="e">
        <f>VLOOKUP(C31,Round2,15,FALSE)</f>
        <v>#REF!</v>
      </c>
      <c r="E31" s="38" t="e">
        <f>VLOOKUP(C31,Round2,2,FALSE)</f>
        <v>#REF!</v>
      </c>
      <c r="F31" s="38" t="e">
        <f>VLOOKUP(C31,Round2,14,FALSE)</f>
        <v>#REF!</v>
      </c>
      <c r="G31" s="38" t="e">
        <f>VLOOKUP(C31,Round2,12,FALSE)</f>
        <v>#REF!</v>
      </c>
      <c r="H31" s="38" t="e">
        <f>VLOOKUP(C31,Round2,26,FALSE)</f>
        <v>#REF!</v>
      </c>
      <c r="I31" s="38" t="e">
        <f>VLOOKUP(C31,Round2,30,FALSE)</f>
        <v>#REF!</v>
      </c>
      <c r="J31" s="38" t="e">
        <f>VLOOKUP(C31,Round2,31,FALSE)</f>
        <v>#REF!</v>
      </c>
      <c r="K31" s="38" t="e">
        <f>VLOOKUP(C31,Round2,9,FALSE)</f>
        <v>#REF!</v>
      </c>
      <c r="L31" s="101" t="e">
        <f>VLOOKUP(C31,Round2,3,FALSE)</f>
        <v>#REF!</v>
      </c>
      <c r="M31" s="101"/>
      <c r="N31" s="101"/>
      <c r="O31" s="101" t="e">
        <f>L31+M31+N31</f>
        <v>#REF!</v>
      </c>
      <c r="P31" s="75" t="e">
        <f>VLOOKUP(C31,Round2,4,FALSE)</f>
        <v>#REF!</v>
      </c>
      <c r="Q31" s="129" t="e">
        <f>VLOOKUP(C31,Round2,5,FALSE)</f>
        <v>#REF!</v>
      </c>
      <c r="R31" s="65" t="e">
        <f>VLOOKUP(C31,Round2,10,FALSE)</f>
        <v>#REF!</v>
      </c>
      <c r="S31" s="101" t="e">
        <f>VLOOKUP(C31,Round2,19,FALSE)</f>
        <v>#REF!</v>
      </c>
      <c r="T31" s="101" t="e">
        <f>VLOOKUP(C31,Round2,18,FALSE)</f>
        <v>#REF!</v>
      </c>
      <c r="U31" s="50"/>
      <c r="V31" s="50"/>
    </row>
    <row r="32" spans="1:22" x14ac:dyDescent="0.2">
      <c r="B32" s="7">
        <v>1</v>
      </c>
      <c r="C32" t="s">
        <v>186</v>
      </c>
      <c r="D32" s="38" t="e">
        <f>VLOOKUP(C32,Round2,15,FALSE)</f>
        <v>#REF!</v>
      </c>
      <c r="E32" s="38" t="e">
        <f>VLOOKUP(C32,Round2,2,FALSE)</f>
        <v>#REF!</v>
      </c>
      <c r="F32" s="38" t="e">
        <f>VLOOKUP(C32,Round2,14,FALSE)</f>
        <v>#REF!</v>
      </c>
      <c r="G32" s="38" t="e">
        <f>VLOOKUP(C32,Round2,12,FALSE)</f>
        <v>#REF!</v>
      </c>
      <c r="H32" s="38" t="e">
        <f>VLOOKUP(C32,Round2,26,FALSE)</f>
        <v>#REF!</v>
      </c>
      <c r="I32" s="38" t="e">
        <f>VLOOKUP(C32,Round2,30,FALSE)</f>
        <v>#REF!</v>
      </c>
      <c r="J32" s="38" t="e">
        <f>VLOOKUP(C32,Round2,31,FALSE)</f>
        <v>#REF!</v>
      </c>
      <c r="K32" s="38" t="e">
        <f>VLOOKUP(C32,Round2,9,FALSE)</f>
        <v>#REF!</v>
      </c>
      <c r="L32" s="101" t="e">
        <f>VLOOKUP(C32,Round2,3,FALSE)</f>
        <v>#REF!</v>
      </c>
      <c r="M32" s="101"/>
      <c r="N32" s="101"/>
      <c r="O32" s="101" t="e">
        <f>L32+M32+N32</f>
        <v>#REF!</v>
      </c>
      <c r="P32" s="75" t="e">
        <f>VLOOKUP(C32,Round2,4,FALSE)</f>
        <v>#REF!</v>
      </c>
      <c r="Q32" s="129" t="e">
        <f>VLOOKUP(C32,Round2,5,FALSE)</f>
        <v>#REF!</v>
      </c>
      <c r="R32" s="65" t="e">
        <f>VLOOKUP(C32,Round2,10,FALSE)</f>
        <v>#REF!</v>
      </c>
      <c r="S32" s="101" t="e">
        <f>VLOOKUP(C32,Round2,19,FALSE)</f>
        <v>#REF!</v>
      </c>
      <c r="T32" s="101" t="e">
        <f>VLOOKUP(C32,Round2,18,FALSE)</f>
        <v>#REF!</v>
      </c>
      <c r="U32" s="50"/>
      <c r="V32" s="50"/>
    </row>
    <row r="33" spans="1:22" x14ac:dyDescent="0.2">
      <c r="L33" s="44" t="e">
        <f>SUM(L30:L32)</f>
        <v>#REF!</v>
      </c>
      <c r="O33" s="44" t="e">
        <f>SUM(#REF!)</f>
        <v>#REF!</v>
      </c>
      <c r="S33" s="124"/>
      <c r="U33" s="47"/>
      <c r="V33" s="8"/>
    </row>
    <row r="34" spans="1:22" x14ac:dyDescent="0.2">
      <c r="U34" s="47"/>
      <c r="V34" s="47"/>
    </row>
    <row r="35" spans="1:22" s="114" customFormat="1" x14ac:dyDescent="0.2">
      <c r="A35" s="1" t="s">
        <v>147</v>
      </c>
      <c r="B35" s="1"/>
      <c r="C35" s="116"/>
      <c r="D35" s="116"/>
      <c r="E35" s="117"/>
      <c r="F35" s="116"/>
      <c r="G35" s="116"/>
      <c r="H35" s="116"/>
      <c r="I35" s="116"/>
      <c r="J35" s="116"/>
      <c r="K35" s="116"/>
      <c r="L35" s="118"/>
      <c r="M35" s="119"/>
      <c r="N35" s="119"/>
      <c r="O35" s="118"/>
      <c r="P35" s="120"/>
      <c r="Q35" s="116"/>
      <c r="R35" s="116"/>
      <c r="S35" s="116"/>
      <c r="T35" s="116"/>
      <c r="U35" s="115"/>
    </row>
    <row r="36" spans="1:22" x14ac:dyDescent="0.2">
      <c r="E36" s="7" t="s">
        <v>2</v>
      </c>
      <c r="F36" s="12" t="s">
        <v>145</v>
      </c>
      <c r="G36" s="12"/>
      <c r="H36" s="12"/>
      <c r="I36" s="12"/>
      <c r="J36" s="12"/>
      <c r="K36" s="12"/>
    </row>
    <row r="37" spans="1:22" x14ac:dyDescent="0.2">
      <c r="A37" s="10" t="s">
        <v>148</v>
      </c>
      <c r="B37" s="10"/>
      <c r="E37" s="46">
        <v>377771379</v>
      </c>
      <c r="F37" s="12" t="e">
        <f>E37-L49</f>
        <v>#REF!</v>
      </c>
      <c r="G37" s="121"/>
      <c r="H37" s="12"/>
      <c r="I37" s="12"/>
      <c r="J37" s="12"/>
      <c r="K37" s="12"/>
      <c r="L37" s="41"/>
      <c r="M37" s="56"/>
      <c r="N37" s="56"/>
      <c r="O37" s="41"/>
      <c r="U37" s="47"/>
    </row>
    <row r="38" spans="1:22" s="108" customFormat="1" x14ac:dyDescent="0.2">
      <c r="A38" s="109"/>
      <c r="B38" s="109"/>
      <c r="C38" s="108" t="s">
        <v>22</v>
      </c>
      <c r="D38" s="108" t="s">
        <v>137</v>
      </c>
      <c r="E38" s="108" t="s">
        <v>23</v>
      </c>
      <c r="F38" s="108" t="s">
        <v>4</v>
      </c>
      <c r="G38" s="108" t="s">
        <v>40</v>
      </c>
      <c r="H38" s="108" t="s">
        <v>0</v>
      </c>
      <c r="I38" s="108" t="s">
        <v>24</v>
      </c>
      <c r="J38" s="108" t="s">
        <v>5</v>
      </c>
      <c r="K38" s="108" t="s">
        <v>1</v>
      </c>
      <c r="L38" s="110" t="s">
        <v>138</v>
      </c>
      <c r="M38" s="110" t="s">
        <v>139</v>
      </c>
      <c r="N38" s="110" t="s">
        <v>140</v>
      </c>
      <c r="O38" s="110" t="s">
        <v>39</v>
      </c>
      <c r="P38" s="111" t="s">
        <v>36</v>
      </c>
      <c r="Q38" s="108" t="s">
        <v>146</v>
      </c>
      <c r="R38" s="108" t="s">
        <v>130</v>
      </c>
      <c r="S38" s="108" t="s">
        <v>141</v>
      </c>
      <c r="T38" s="108" t="s">
        <v>142</v>
      </c>
      <c r="U38" s="112"/>
    </row>
    <row r="39" spans="1:22" x14ac:dyDescent="0.2">
      <c r="B39" s="7">
        <v>1</v>
      </c>
      <c r="C39" t="s">
        <v>228</v>
      </c>
      <c r="D39" s="38" t="e">
        <f t="shared" ref="D39:D48" si="0">VLOOKUP(C39,Round2,15,FALSE)</f>
        <v>#REF!</v>
      </c>
      <c r="E39" s="38" t="e">
        <f t="shared" ref="E39:E48" si="1">VLOOKUP(C39,Round2,2,FALSE)</f>
        <v>#REF!</v>
      </c>
      <c r="F39" s="38" t="e">
        <f t="shared" ref="F39:F48" si="2">VLOOKUP(C39,Round2,14,FALSE)</f>
        <v>#REF!</v>
      </c>
      <c r="G39" s="38" t="e">
        <f t="shared" ref="G39:G48" si="3">VLOOKUP(C39,Round2,12,FALSE)</f>
        <v>#REF!</v>
      </c>
      <c r="H39" s="38" t="e">
        <f t="shared" ref="H39:H48" si="4">VLOOKUP(C39,Round2,26,FALSE)</f>
        <v>#REF!</v>
      </c>
      <c r="I39" s="38" t="e">
        <f t="shared" ref="I39:I48" si="5">VLOOKUP(C39,Round2,30,FALSE)</f>
        <v>#REF!</v>
      </c>
      <c r="J39" s="38" t="e">
        <f t="shared" ref="J39:J48" si="6">VLOOKUP(C39,Round2,31,FALSE)</f>
        <v>#REF!</v>
      </c>
      <c r="K39" s="38" t="e">
        <f t="shared" ref="K39:K48" si="7">VLOOKUP(C39,Round2,9,FALSE)</f>
        <v>#REF!</v>
      </c>
      <c r="L39" s="101" t="e">
        <f t="shared" ref="L39:L48" si="8">VLOOKUP(C39,Round2,3,FALSE)</f>
        <v>#REF!</v>
      </c>
      <c r="M39" s="101"/>
      <c r="N39" s="101"/>
      <c r="O39" s="101" t="e">
        <f t="shared" ref="O39:O48" si="9">L39+M39+N39</f>
        <v>#REF!</v>
      </c>
      <c r="P39" s="75" t="e">
        <f t="shared" ref="P39:P48" si="10">VLOOKUP(C39,Round2,4,FALSE)</f>
        <v>#REF!</v>
      </c>
      <c r="Q39" s="129" t="e">
        <f t="shared" ref="Q39:Q48" si="11">VLOOKUP(C39,Round2,5,FALSE)</f>
        <v>#REF!</v>
      </c>
      <c r="R39" s="65" t="e">
        <f t="shared" ref="R39:R48" si="12">VLOOKUP(C39,Round2,10,FALSE)</f>
        <v>#REF!</v>
      </c>
      <c r="S39" s="101" t="e">
        <f t="shared" ref="S39:S48" si="13">VLOOKUP(C39,Round2,19,FALSE)</f>
        <v>#REF!</v>
      </c>
      <c r="T39" s="101" t="e">
        <f t="shared" ref="T39:T48" si="14">VLOOKUP(C39,Round2,18,FALSE)</f>
        <v>#REF!</v>
      </c>
      <c r="U39" s="50"/>
      <c r="V39" s="50"/>
    </row>
    <row r="40" spans="1:22" x14ac:dyDescent="0.2">
      <c r="B40" s="7">
        <v>1</v>
      </c>
      <c r="C40" t="s">
        <v>236</v>
      </c>
      <c r="D40" s="38" t="e">
        <f t="shared" si="0"/>
        <v>#REF!</v>
      </c>
      <c r="E40" s="38" t="e">
        <f t="shared" si="1"/>
        <v>#REF!</v>
      </c>
      <c r="F40" s="38" t="e">
        <f t="shared" si="2"/>
        <v>#REF!</v>
      </c>
      <c r="G40" s="38" t="e">
        <f t="shared" si="3"/>
        <v>#REF!</v>
      </c>
      <c r="H40" s="38" t="e">
        <f t="shared" si="4"/>
        <v>#REF!</v>
      </c>
      <c r="I40" s="38" t="e">
        <f t="shared" si="5"/>
        <v>#REF!</v>
      </c>
      <c r="J40" s="38" t="e">
        <f t="shared" si="6"/>
        <v>#REF!</v>
      </c>
      <c r="K40" s="38" t="e">
        <f t="shared" si="7"/>
        <v>#REF!</v>
      </c>
      <c r="L40" s="101" t="e">
        <f t="shared" si="8"/>
        <v>#REF!</v>
      </c>
      <c r="M40" s="101"/>
      <c r="N40" s="101"/>
      <c r="O40" s="101" t="e">
        <f t="shared" si="9"/>
        <v>#REF!</v>
      </c>
      <c r="P40" s="75" t="e">
        <f t="shared" si="10"/>
        <v>#REF!</v>
      </c>
      <c r="Q40" s="129" t="e">
        <f t="shared" si="11"/>
        <v>#REF!</v>
      </c>
      <c r="R40" s="65" t="e">
        <f t="shared" si="12"/>
        <v>#REF!</v>
      </c>
      <c r="S40" s="101" t="e">
        <f t="shared" si="13"/>
        <v>#REF!</v>
      </c>
      <c r="T40" s="101" t="e">
        <f t="shared" si="14"/>
        <v>#REF!</v>
      </c>
      <c r="U40" s="50"/>
      <c r="V40" s="50"/>
    </row>
    <row r="41" spans="1:22" x14ac:dyDescent="0.2">
      <c r="B41" s="7">
        <v>1</v>
      </c>
      <c r="C41" t="s">
        <v>179</v>
      </c>
      <c r="D41" s="38" t="e">
        <f t="shared" si="0"/>
        <v>#REF!</v>
      </c>
      <c r="E41" s="38" t="e">
        <f t="shared" si="1"/>
        <v>#REF!</v>
      </c>
      <c r="F41" s="38" t="e">
        <f t="shared" si="2"/>
        <v>#REF!</v>
      </c>
      <c r="G41" s="38" t="e">
        <f t="shared" si="3"/>
        <v>#REF!</v>
      </c>
      <c r="H41" s="38" t="e">
        <f t="shared" si="4"/>
        <v>#REF!</v>
      </c>
      <c r="I41" s="38" t="e">
        <f t="shared" si="5"/>
        <v>#REF!</v>
      </c>
      <c r="J41" s="38" t="e">
        <f t="shared" si="6"/>
        <v>#REF!</v>
      </c>
      <c r="K41" s="38" t="e">
        <f t="shared" si="7"/>
        <v>#REF!</v>
      </c>
      <c r="L41" s="101" t="e">
        <f t="shared" si="8"/>
        <v>#REF!</v>
      </c>
      <c r="M41" s="101"/>
      <c r="N41" s="101"/>
      <c r="O41" s="101" t="e">
        <f t="shared" si="9"/>
        <v>#REF!</v>
      </c>
      <c r="P41" s="75" t="e">
        <f t="shared" si="10"/>
        <v>#REF!</v>
      </c>
      <c r="Q41" s="129" t="e">
        <f t="shared" si="11"/>
        <v>#REF!</v>
      </c>
      <c r="R41" s="65" t="e">
        <f t="shared" si="12"/>
        <v>#REF!</v>
      </c>
      <c r="S41" s="101" t="e">
        <f t="shared" si="13"/>
        <v>#REF!</v>
      </c>
      <c r="T41" s="101" t="e">
        <f t="shared" si="14"/>
        <v>#REF!</v>
      </c>
      <c r="U41" s="50"/>
      <c r="V41" s="50"/>
    </row>
    <row r="42" spans="1:22" x14ac:dyDescent="0.2">
      <c r="B42" s="7">
        <v>1</v>
      </c>
      <c r="C42" t="s">
        <v>235</v>
      </c>
      <c r="D42" s="38" t="e">
        <f t="shared" si="0"/>
        <v>#REF!</v>
      </c>
      <c r="E42" s="38" t="e">
        <f t="shared" si="1"/>
        <v>#REF!</v>
      </c>
      <c r="F42" s="38" t="e">
        <f t="shared" si="2"/>
        <v>#REF!</v>
      </c>
      <c r="G42" s="38" t="e">
        <f t="shared" si="3"/>
        <v>#REF!</v>
      </c>
      <c r="H42" s="38" t="e">
        <f t="shared" si="4"/>
        <v>#REF!</v>
      </c>
      <c r="I42" s="38" t="e">
        <f t="shared" si="5"/>
        <v>#REF!</v>
      </c>
      <c r="J42" s="38" t="e">
        <f t="shared" si="6"/>
        <v>#REF!</v>
      </c>
      <c r="K42" s="38" t="e">
        <f t="shared" si="7"/>
        <v>#REF!</v>
      </c>
      <c r="L42" s="101" t="e">
        <f t="shared" si="8"/>
        <v>#REF!</v>
      </c>
      <c r="M42" s="101"/>
      <c r="N42" s="101"/>
      <c r="O42" s="101" t="e">
        <f t="shared" si="9"/>
        <v>#REF!</v>
      </c>
      <c r="P42" s="75" t="e">
        <f t="shared" si="10"/>
        <v>#REF!</v>
      </c>
      <c r="Q42" s="129" t="e">
        <f t="shared" si="11"/>
        <v>#REF!</v>
      </c>
      <c r="R42" s="65" t="e">
        <f t="shared" si="12"/>
        <v>#REF!</v>
      </c>
      <c r="S42" s="101" t="e">
        <f t="shared" si="13"/>
        <v>#REF!</v>
      </c>
      <c r="T42" s="101" t="e">
        <f t="shared" si="14"/>
        <v>#REF!</v>
      </c>
      <c r="U42" s="50"/>
      <c r="V42" s="50"/>
    </row>
    <row r="43" spans="1:22" x14ac:dyDescent="0.2">
      <c r="B43" s="7">
        <v>1</v>
      </c>
      <c r="C43" t="s">
        <v>224</v>
      </c>
      <c r="D43" s="38" t="e">
        <f t="shared" si="0"/>
        <v>#REF!</v>
      </c>
      <c r="E43" s="38" t="e">
        <f t="shared" si="1"/>
        <v>#REF!</v>
      </c>
      <c r="F43" s="38" t="e">
        <f t="shared" si="2"/>
        <v>#REF!</v>
      </c>
      <c r="G43" s="38" t="e">
        <f t="shared" si="3"/>
        <v>#REF!</v>
      </c>
      <c r="H43" s="38" t="e">
        <f t="shared" si="4"/>
        <v>#REF!</v>
      </c>
      <c r="I43" s="38" t="e">
        <f t="shared" si="5"/>
        <v>#REF!</v>
      </c>
      <c r="J43" s="38" t="e">
        <f t="shared" si="6"/>
        <v>#REF!</v>
      </c>
      <c r="K43" s="38" t="e">
        <f t="shared" si="7"/>
        <v>#REF!</v>
      </c>
      <c r="L43" s="101" t="e">
        <f t="shared" si="8"/>
        <v>#REF!</v>
      </c>
      <c r="M43" s="101"/>
      <c r="N43" s="101"/>
      <c r="O43" s="101" t="e">
        <f t="shared" si="9"/>
        <v>#REF!</v>
      </c>
      <c r="P43" s="75" t="e">
        <f t="shared" si="10"/>
        <v>#REF!</v>
      </c>
      <c r="Q43" s="129" t="e">
        <f t="shared" si="11"/>
        <v>#REF!</v>
      </c>
      <c r="R43" s="65" t="e">
        <f t="shared" si="12"/>
        <v>#REF!</v>
      </c>
      <c r="S43" s="101" t="e">
        <f t="shared" si="13"/>
        <v>#REF!</v>
      </c>
      <c r="T43" s="101" t="e">
        <f t="shared" si="14"/>
        <v>#REF!</v>
      </c>
      <c r="U43" s="50"/>
      <c r="V43" s="50"/>
    </row>
    <row r="44" spans="1:22" x14ac:dyDescent="0.2">
      <c r="B44" s="7">
        <v>1</v>
      </c>
      <c r="C44" t="s">
        <v>176</v>
      </c>
      <c r="D44" s="38" t="e">
        <f t="shared" si="0"/>
        <v>#REF!</v>
      </c>
      <c r="E44" s="38" t="e">
        <f t="shared" si="1"/>
        <v>#REF!</v>
      </c>
      <c r="F44" s="38" t="e">
        <f t="shared" si="2"/>
        <v>#REF!</v>
      </c>
      <c r="G44" s="38" t="e">
        <f t="shared" si="3"/>
        <v>#REF!</v>
      </c>
      <c r="H44" s="38" t="e">
        <f t="shared" si="4"/>
        <v>#REF!</v>
      </c>
      <c r="I44" s="38" t="e">
        <f t="shared" si="5"/>
        <v>#REF!</v>
      </c>
      <c r="J44" s="38" t="e">
        <f t="shared" si="6"/>
        <v>#REF!</v>
      </c>
      <c r="K44" s="38" t="e">
        <f t="shared" si="7"/>
        <v>#REF!</v>
      </c>
      <c r="L44" s="101" t="e">
        <f t="shared" si="8"/>
        <v>#REF!</v>
      </c>
      <c r="M44" s="101"/>
      <c r="N44" s="101"/>
      <c r="O44" s="101" t="e">
        <f t="shared" si="9"/>
        <v>#REF!</v>
      </c>
      <c r="P44" s="75" t="e">
        <f t="shared" si="10"/>
        <v>#REF!</v>
      </c>
      <c r="Q44" s="129" t="e">
        <f t="shared" si="11"/>
        <v>#REF!</v>
      </c>
      <c r="R44" s="65" t="e">
        <f t="shared" si="12"/>
        <v>#REF!</v>
      </c>
      <c r="S44" s="101" t="e">
        <f t="shared" si="13"/>
        <v>#REF!</v>
      </c>
      <c r="T44" s="101" t="e">
        <f t="shared" si="14"/>
        <v>#REF!</v>
      </c>
      <c r="U44" s="50"/>
      <c r="V44" s="50"/>
    </row>
    <row r="45" spans="1:22" x14ac:dyDescent="0.2">
      <c r="B45" s="7">
        <v>1</v>
      </c>
      <c r="C45" t="s">
        <v>231</v>
      </c>
      <c r="D45" s="38" t="e">
        <f t="shared" si="0"/>
        <v>#REF!</v>
      </c>
      <c r="E45" s="38" t="e">
        <f t="shared" si="1"/>
        <v>#REF!</v>
      </c>
      <c r="F45" s="38" t="e">
        <f t="shared" si="2"/>
        <v>#REF!</v>
      </c>
      <c r="G45" s="38" t="e">
        <f t="shared" si="3"/>
        <v>#REF!</v>
      </c>
      <c r="H45" s="38" t="e">
        <f t="shared" si="4"/>
        <v>#REF!</v>
      </c>
      <c r="I45" s="38" t="e">
        <f t="shared" si="5"/>
        <v>#REF!</v>
      </c>
      <c r="J45" s="38" t="e">
        <f t="shared" si="6"/>
        <v>#REF!</v>
      </c>
      <c r="K45" s="38" t="e">
        <f t="shared" si="7"/>
        <v>#REF!</v>
      </c>
      <c r="L45" s="101" t="e">
        <f t="shared" si="8"/>
        <v>#REF!</v>
      </c>
      <c r="M45" s="101"/>
      <c r="N45" s="101"/>
      <c r="O45" s="101" t="e">
        <f t="shared" si="9"/>
        <v>#REF!</v>
      </c>
      <c r="P45" s="75" t="e">
        <f t="shared" si="10"/>
        <v>#REF!</v>
      </c>
      <c r="Q45" s="129" t="e">
        <f t="shared" si="11"/>
        <v>#REF!</v>
      </c>
      <c r="R45" s="65" t="e">
        <f t="shared" si="12"/>
        <v>#REF!</v>
      </c>
      <c r="S45" s="101" t="e">
        <f t="shared" si="13"/>
        <v>#REF!</v>
      </c>
      <c r="T45" s="101" t="e">
        <f t="shared" si="14"/>
        <v>#REF!</v>
      </c>
      <c r="U45" s="50"/>
      <c r="V45" s="50"/>
    </row>
    <row r="46" spans="1:22" x14ac:dyDescent="0.2">
      <c r="B46" s="7">
        <v>1</v>
      </c>
      <c r="C46" t="s">
        <v>195</v>
      </c>
      <c r="D46" s="38" t="e">
        <f t="shared" si="0"/>
        <v>#REF!</v>
      </c>
      <c r="E46" s="38" t="e">
        <f t="shared" si="1"/>
        <v>#REF!</v>
      </c>
      <c r="F46" s="38" t="e">
        <f t="shared" si="2"/>
        <v>#REF!</v>
      </c>
      <c r="G46" s="38" t="e">
        <f t="shared" si="3"/>
        <v>#REF!</v>
      </c>
      <c r="H46" s="38" t="e">
        <f t="shared" si="4"/>
        <v>#REF!</v>
      </c>
      <c r="I46" s="38" t="e">
        <f t="shared" si="5"/>
        <v>#REF!</v>
      </c>
      <c r="J46" s="38" t="e">
        <f t="shared" si="6"/>
        <v>#REF!</v>
      </c>
      <c r="K46" s="38" t="e">
        <f t="shared" si="7"/>
        <v>#REF!</v>
      </c>
      <c r="L46" s="101" t="e">
        <f t="shared" si="8"/>
        <v>#REF!</v>
      </c>
      <c r="M46" s="101"/>
      <c r="N46" s="101"/>
      <c r="O46" s="101" t="e">
        <f t="shared" si="9"/>
        <v>#REF!</v>
      </c>
      <c r="P46" s="75" t="e">
        <f t="shared" si="10"/>
        <v>#REF!</v>
      </c>
      <c r="Q46" s="129" t="e">
        <f t="shared" si="11"/>
        <v>#REF!</v>
      </c>
      <c r="R46" s="65" t="e">
        <f t="shared" si="12"/>
        <v>#REF!</v>
      </c>
      <c r="S46" s="101" t="e">
        <f t="shared" si="13"/>
        <v>#REF!</v>
      </c>
      <c r="T46" s="101" t="e">
        <f t="shared" si="14"/>
        <v>#REF!</v>
      </c>
      <c r="U46" s="50"/>
      <c r="V46" s="50"/>
    </row>
    <row r="47" spans="1:22" x14ac:dyDescent="0.2">
      <c r="B47" s="7">
        <v>1</v>
      </c>
      <c r="C47" t="s">
        <v>173</v>
      </c>
      <c r="D47" s="38" t="e">
        <f t="shared" si="0"/>
        <v>#REF!</v>
      </c>
      <c r="E47" s="38" t="e">
        <f t="shared" si="1"/>
        <v>#REF!</v>
      </c>
      <c r="F47" s="38" t="e">
        <f t="shared" si="2"/>
        <v>#REF!</v>
      </c>
      <c r="G47" s="38" t="e">
        <f t="shared" si="3"/>
        <v>#REF!</v>
      </c>
      <c r="H47" s="38" t="e">
        <f t="shared" si="4"/>
        <v>#REF!</v>
      </c>
      <c r="I47" s="38" t="e">
        <f t="shared" si="5"/>
        <v>#REF!</v>
      </c>
      <c r="J47" s="38" t="e">
        <f t="shared" si="6"/>
        <v>#REF!</v>
      </c>
      <c r="K47" s="38" t="e">
        <f t="shared" si="7"/>
        <v>#REF!</v>
      </c>
      <c r="L47" s="101" t="e">
        <f t="shared" si="8"/>
        <v>#REF!</v>
      </c>
      <c r="M47" s="101"/>
      <c r="N47" s="101"/>
      <c r="O47" s="101" t="e">
        <f t="shared" si="9"/>
        <v>#REF!</v>
      </c>
      <c r="P47" s="75" t="e">
        <f t="shared" si="10"/>
        <v>#REF!</v>
      </c>
      <c r="Q47" s="129" t="e">
        <f t="shared" si="11"/>
        <v>#REF!</v>
      </c>
      <c r="R47" s="65" t="e">
        <f t="shared" si="12"/>
        <v>#REF!</v>
      </c>
      <c r="S47" s="101" t="e">
        <f t="shared" si="13"/>
        <v>#REF!</v>
      </c>
      <c r="T47" s="101" t="e">
        <f t="shared" si="14"/>
        <v>#REF!</v>
      </c>
      <c r="U47" s="50"/>
      <c r="V47" s="50"/>
    </row>
    <row r="48" spans="1:22" x14ac:dyDescent="0.2">
      <c r="B48" s="7">
        <v>1</v>
      </c>
      <c r="C48" t="s">
        <v>165</v>
      </c>
      <c r="D48" s="38" t="e">
        <f t="shared" si="0"/>
        <v>#REF!</v>
      </c>
      <c r="E48" s="38" t="e">
        <f t="shared" si="1"/>
        <v>#REF!</v>
      </c>
      <c r="F48" s="38" t="e">
        <f t="shared" si="2"/>
        <v>#REF!</v>
      </c>
      <c r="G48" s="38" t="e">
        <f t="shared" si="3"/>
        <v>#REF!</v>
      </c>
      <c r="H48" s="38" t="e">
        <f t="shared" si="4"/>
        <v>#REF!</v>
      </c>
      <c r="I48" s="38" t="e">
        <f t="shared" si="5"/>
        <v>#REF!</v>
      </c>
      <c r="J48" s="38" t="e">
        <f t="shared" si="6"/>
        <v>#REF!</v>
      </c>
      <c r="K48" s="38" t="e">
        <f t="shared" si="7"/>
        <v>#REF!</v>
      </c>
      <c r="L48" s="101" t="e">
        <f t="shared" si="8"/>
        <v>#REF!</v>
      </c>
      <c r="M48" s="101"/>
      <c r="N48" s="101"/>
      <c r="O48" s="101" t="e">
        <f t="shared" si="9"/>
        <v>#REF!</v>
      </c>
      <c r="P48" s="75" t="e">
        <f t="shared" si="10"/>
        <v>#REF!</v>
      </c>
      <c r="Q48" s="129" t="e">
        <f t="shared" si="11"/>
        <v>#REF!</v>
      </c>
      <c r="R48" s="65" t="e">
        <f t="shared" si="12"/>
        <v>#REF!</v>
      </c>
      <c r="S48" s="101" t="e">
        <f t="shared" si="13"/>
        <v>#REF!</v>
      </c>
      <c r="T48" s="101" t="e">
        <f t="shared" si="14"/>
        <v>#REF!</v>
      </c>
      <c r="U48" s="50"/>
      <c r="V48" s="50"/>
    </row>
    <row r="49" spans="1:22" x14ac:dyDescent="0.2">
      <c r="L49" s="44" t="e">
        <f>SUM(L39:L48)</f>
        <v>#REF!</v>
      </c>
      <c r="O49" s="44" t="e">
        <f>SUM(O39:O48)</f>
        <v>#REF!</v>
      </c>
      <c r="S49" s="124"/>
      <c r="U49" s="47"/>
    </row>
    <row r="50" spans="1:22" x14ac:dyDescent="0.2">
      <c r="A50" s="18"/>
      <c r="B50" s="18"/>
      <c r="C50" s="19"/>
      <c r="D50" s="19"/>
      <c r="E50" s="18"/>
      <c r="F50" s="19"/>
      <c r="G50" s="19"/>
      <c r="H50" s="19"/>
      <c r="I50" s="19"/>
      <c r="J50" s="19"/>
      <c r="K50" s="19"/>
      <c r="L50" s="53"/>
      <c r="M50" s="57"/>
      <c r="N50" s="57"/>
      <c r="O50" s="53"/>
      <c r="P50" s="79"/>
      <c r="Q50" s="20"/>
      <c r="R50" s="20"/>
      <c r="S50" s="94"/>
      <c r="T50" s="94"/>
      <c r="U50" s="47"/>
      <c r="V50" s="47"/>
    </row>
    <row r="51" spans="1:22" x14ac:dyDescent="0.2">
      <c r="E51" s="7" t="s">
        <v>2</v>
      </c>
      <c r="F51" s="12" t="s">
        <v>145</v>
      </c>
      <c r="G51" s="12"/>
      <c r="H51" s="12"/>
      <c r="I51" s="12"/>
      <c r="J51" s="12"/>
      <c r="K51" s="12"/>
    </row>
    <row r="52" spans="1:22" x14ac:dyDescent="0.2">
      <c r="A52" s="10" t="s">
        <v>55</v>
      </c>
      <c r="B52" s="10"/>
      <c r="E52" s="46">
        <v>451262973</v>
      </c>
      <c r="F52" s="12" t="e">
        <f>E52-L64</f>
        <v>#REF!</v>
      </c>
      <c r="G52" s="121"/>
      <c r="H52" s="12"/>
      <c r="I52" s="12"/>
      <c r="J52" s="12"/>
      <c r="K52" s="12"/>
      <c r="L52" s="41"/>
      <c r="M52" s="56"/>
      <c r="N52" s="56"/>
      <c r="O52" s="41"/>
      <c r="U52" s="47"/>
      <c r="V52" s="47"/>
    </row>
    <row r="53" spans="1:22" s="108" customFormat="1" x14ac:dyDescent="0.2">
      <c r="A53" s="109"/>
      <c r="B53" s="109"/>
      <c r="C53" s="108" t="s">
        <v>22</v>
      </c>
      <c r="D53" s="108" t="s">
        <v>137</v>
      </c>
      <c r="E53" s="108" t="s">
        <v>23</v>
      </c>
      <c r="F53" s="108" t="s">
        <v>4</v>
      </c>
      <c r="G53" s="108" t="s">
        <v>40</v>
      </c>
      <c r="H53" s="108" t="s">
        <v>0</v>
      </c>
      <c r="I53" s="108" t="s">
        <v>24</v>
      </c>
      <c r="J53" s="108" t="s">
        <v>5</v>
      </c>
      <c r="K53" s="108" t="s">
        <v>1</v>
      </c>
      <c r="L53" s="110" t="s">
        <v>138</v>
      </c>
      <c r="M53" s="110" t="s">
        <v>139</v>
      </c>
      <c r="N53" s="110" t="s">
        <v>140</v>
      </c>
      <c r="O53" s="110" t="s">
        <v>39</v>
      </c>
      <c r="P53" s="111" t="s">
        <v>36</v>
      </c>
      <c r="Q53" s="108" t="s">
        <v>146</v>
      </c>
      <c r="R53" s="108" t="s">
        <v>130</v>
      </c>
      <c r="S53" s="108" t="s">
        <v>141</v>
      </c>
      <c r="T53" s="108" t="s">
        <v>142</v>
      </c>
      <c r="U53" s="112"/>
      <c r="V53" s="112"/>
    </row>
    <row r="54" spans="1:22" x14ac:dyDescent="0.2">
      <c r="B54" s="7">
        <v>1</v>
      </c>
      <c r="C54" t="s">
        <v>194</v>
      </c>
      <c r="D54" s="38" t="e">
        <f t="shared" ref="D54:D63" si="15">VLOOKUP(C54,Round2,15,FALSE)</f>
        <v>#REF!</v>
      </c>
      <c r="E54" s="38" t="e">
        <f t="shared" ref="E54:E63" si="16">VLOOKUP(C54,Round2,2,FALSE)</f>
        <v>#REF!</v>
      </c>
      <c r="F54" s="38" t="e">
        <f t="shared" ref="F54:F63" si="17">VLOOKUP(C54,Round2,14,FALSE)</f>
        <v>#REF!</v>
      </c>
      <c r="G54" s="38" t="e">
        <f t="shared" ref="G54:G63" si="18">VLOOKUP(C54,Round2,12,FALSE)</f>
        <v>#REF!</v>
      </c>
      <c r="H54" s="38" t="e">
        <f t="shared" ref="H54:H63" si="19">VLOOKUP(C54,Round2,26,FALSE)</f>
        <v>#REF!</v>
      </c>
      <c r="I54" s="38" t="e">
        <f t="shared" ref="I54:I63" si="20">VLOOKUP(C54,Round2,30,FALSE)</f>
        <v>#REF!</v>
      </c>
      <c r="J54" s="38" t="e">
        <f t="shared" ref="J54:J63" si="21">VLOOKUP(C54,Round2,31,FALSE)</f>
        <v>#REF!</v>
      </c>
      <c r="K54" s="38" t="e">
        <f t="shared" ref="K54:K63" si="22">VLOOKUP(C54,Round2,9,FALSE)</f>
        <v>#REF!</v>
      </c>
      <c r="L54" s="101" t="e">
        <f t="shared" ref="L54:L63" si="23">VLOOKUP(C54,Round2,3,FALSE)</f>
        <v>#REF!</v>
      </c>
      <c r="M54" s="101"/>
      <c r="N54" s="101"/>
      <c r="O54" s="101" t="e">
        <f t="shared" ref="O54:O63" si="24">L54+M54+N54</f>
        <v>#REF!</v>
      </c>
      <c r="P54" s="75" t="e">
        <f t="shared" ref="P54:P63" si="25">VLOOKUP(C54,Round2,4,FALSE)</f>
        <v>#REF!</v>
      </c>
      <c r="Q54" s="129" t="e">
        <f t="shared" ref="Q54:Q63" si="26">VLOOKUP(C54,Round2,5,FALSE)</f>
        <v>#REF!</v>
      </c>
      <c r="R54" s="65" t="e">
        <f t="shared" ref="R54:R63" si="27">VLOOKUP(C54,Round2,10,FALSE)</f>
        <v>#REF!</v>
      </c>
      <c r="S54" s="101" t="e">
        <f t="shared" ref="S54:S63" si="28">VLOOKUP(C54,Round2,19,FALSE)</f>
        <v>#REF!</v>
      </c>
      <c r="T54" s="101" t="e">
        <f t="shared" ref="T54:T63" si="29">VLOOKUP(C54,Round2,18,FALSE)</f>
        <v>#REF!</v>
      </c>
      <c r="U54" s="50"/>
      <c r="V54" s="50"/>
    </row>
    <row r="55" spans="1:22" x14ac:dyDescent="0.2">
      <c r="B55" s="7">
        <v>1</v>
      </c>
      <c r="C55" t="s">
        <v>219</v>
      </c>
      <c r="D55" s="38" t="e">
        <f t="shared" si="15"/>
        <v>#REF!</v>
      </c>
      <c r="E55" s="38" t="e">
        <f t="shared" si="16"/>
        <v>#REF!</v>
      </c>
      <c r="F55" s="38" t="e">
        <f t="shared" si="17"/>
        <v>#REF!</v>
      </c>
      <c r="G55" s="38" t="e">
        <f t="shared" si="18"/>
        <v>#REF!</v>
      </c>
      <c r="H55" s="38" t="e">
        <f t="shared" si="19"/>
        <v>#REF!</v>
      </c>
      <c r="I55" s="38" t="e">
        <f t="shared" si="20"/>
        <v>#REF!</v>
      </c>
      <c r="J55" s="38" t="e">
        <f t="shared" si="21"/>
        <v>#REF!</v>
      </c>
      <c r="K55" s="38" t="e">
        <f t="shared" si="22"/>
        <v>#REF!</v>
      </c>
      <c r="L55" s="101" t="e">
        <f t="shared" si="23"/>
        <v>#REF!</v>
      </c>
      <c r="M55" s="101"/>
      <c r="N55" s="101"/>
      <c r="O55" s="101" t="e">
        <f t="shared" si="24"/>
        <v>#REF!</v>
      </c>
      <c r="P55" s="75" t="e">
        <f t="shared" si="25"/>
        <v>#REF!</v>
      </c>
      <c r="Q55" s="129" t="e">
        <f t="shared" si="26"/>
        <v>#REF!</v>
      </c>
      <c r="R55" s="65" t="e">
        <f t="shared" si="27"/>
        <v>#REF!</v>
      </c>
      <c r="S55" s="101" t="e">
        <f t="shared" si="28"/>
        <v>#REF!</v>
      </c>
      <c r="T55" s="101" t="e">
        <f t="shared" si="29"/>
        <v>#REF!</v>
      </c>
      <c r="U55" s="50"/>
      <c r="V55" s="50"/>
    </row>
    <row r="56" spans="1:22" ht="15" x14ac:dyDescent="0.25">
      <c r="B56" s="7">
        <v>1</v>
      </c>
      <c r="C56" s="127" t="s">
        <v>183</v>
      </c>
      <c r="D56" s="38" t="e">
        <f t="shared" si="15"/>
        <v>#REF!</v>
      </c>
      <c r="E56" s="38" t="e">
        <f t="shared" si="16"/>
        <v>#REF!</v>
      </c>
      <c r="F56" s="38" t="e">
        <f t="shared" si="17"/>
        <v>#REF!</v>
      </c>
      <c r="G56" s="38" t="e">
        <f t="shared" si="18"/>
        <v>#REF!</v>
      </c>
      <c r="H56" s="38" t="e">
        <f t="shared" si="19"/>
        <v>#REF!</v>
      </c>
      <c r="I56" s="38" t="e">
        <f t="shared" si="20"/>
        <v>#REF!</v>
      </c>
      <c r="J56" s="38" t="e">
        <f t="shared" si="21"/>
        <v>#REF!</v>
      </c>
      <c r="K56" s="38" t="e">
        <f t="shared" si="22"/>
        <v>#REF!</v>
      </c>
      <c r="L56" s="101" t="e">
        <f t="shared" si="23"/>
        <v>#REF!</v>
      </c>
      <c r="M56" s="101"/>
      <c r="N56" s="101"/>
      <c r="O56" s="101" t="e">
        <f t="shared" si="24"/>
        <v>#REF!</v>
      </c>
      <c r="P56" s="75" t="e">
        <f t="shared" si="25"/>
        <v>#REF!</v>
      </c>
      <c r="Q56" s="129" t="e">
        <f t="shared" si="26"/>
        <v>#REF!</v>
      </c>
      <c r="R56" s="65" t="e">
        <f t="shared" si="27"/>
        <v>#REF!</v>
      </c>
      <c r="S56" s="101" t="e">
        <f t="shared" si="28"/>
        <v>#REF!</v>
      </c>
      <c r="T56" s="101" t="e">
        <f t="shared" si="29"/>
        <v>#REF!</v>
      </c>
      <c r="U56" s="50"/>
      <c r="V56" s="50"/>
    </row>
    <row r="57" spans="1:22" x14ac:dyDescent="0.2">
      <c r="B57" s="7">
        <v>1</v>
      </c>
      <c r="C57" t="s">
        <v>210</v>
      </c>
      <c r="D57" s="38" t="e">
        <f t="shared" si="15"/>
        <v>#REF!</v>
      </c>
      <c r="E57" s="38" t="e">
        <f t="shared" si="16"/>
        <v>#REF!</v>
      </c>
      <c r="F57" s="38" t="e">
        <f t="shared" si="17"/>
        <v>#REF!</v>
      </c>
      <c r="G57" s="38" t="e">
        <f t="shared" si="18"/>
        <v>#REF!</v>
      </c>
      <c r="H57" s="38" t="e">
        <f t="shared" si="19"/>
        <v>#REF!</v>
      </c>
      <c r="I57" s="38" t="e">
        <f t="shared" si="20"/>
        <v>#REF!</v>
      </c>
      <c r="J57" s="38" t="e">
        <f t="shared" si="21"/>
        <v>#REF!</v>
      </c>
      <c r="K57" s="38" t="e">
        <f t="shared" si="22"/>
        <v>#REF!</v>
      </c>
      <c r="L57" s="101" t="e">
        <f t="shared" si="23"/>
        <v>#REF!</v>
      </c>
      <c r="M57" s="101"/>
      <c r="N57" s="101"/>
      <c r="O57" s="101" t="e">
        <f t="shared" si="24"/>
        <v>#REF!</v>
      </c>
      <c r="P57" s="75" t="e">
        <f t="shared" si="25"/>
        <v>#REF!</v>
      </c>
      <c r="Q57" s="129" t="e">
        <f t="shared" si="26"/>
        <v>#REF!</v>
      </c>
      <c r="R57" s="65" t="e">
        <f t="shared" si="27"/>
        <v>#REF!</v>
      </c>
      <c r="S57" s="101" t="e">
        <f t="shared" si="28"/>
        <v>#REF!</v>
      </c>
      <c r="T57" s="101" t="e">
        <f t="shared" si="29"/>
        <v>#REF!</v>
      </c>
      <c r="U57" s="50"/>
      <c r="V57" s="50"/>
    </row>
    <row r="58" spans="1:22" x14ac:dyDescent="0.2">
      <c r="B58" s="7">
        <v>1</v>
      </c>
      <c r="C58" t="s">
        <v>180</v>
      </c>
      <c r="D58" s="38" t="e">
        <f t="shared" si="15"/>
        <v>#REF!</v>
      </c>
      <c r="E58" s="38" t="e">
        <f t="shared" si="16"/>
        <v>#REF!</v>
      </c>
      <c r="F58" s="38" t="e">
        <f t="shared" si="17"/>
        <v>#REF!</v>
      </c>
      <c r="G58" s="38" t="e">
        <f t="shared" si="18"/>
        <v>#REF!</v>
      </c>
      <c r="H58" s="38" t="e">
        <f t="shared" si="19"/>
        <v>#REF!</v>
      </c>
      <c r="I58" s="38" t="e">
        <f t="shared" si="20"/>
        <v>#REF!</v>
      </c>
      <c r="J58" s="38" t="e">
        <f t="shared" si="21"/>
        <v>#REF!</v>
      </c>
      <c r="K58" s="38" t="e">
        <f t="shared" si="22"/>
        <v>#REF!</v>
      </c>
      <c r="L58" s="101" t="e">
        <f t="shared" si="23"/>
        <v>#REF!</v>
      </c>
      <c r="M58" s="101"/>
      <c r="N58" s="101"/>
      <c r="O58" s="101" t="e">
        <f t="shared" si="24"/>
        <v>#REF!</v>
      </c>
      <c r="P58" s="75" t="e">
        <f t="shared" si="25"/>
        <v>#REF!</v>
      </c>
      <c r="Q58" s="129" t="e">
        <f t="shared" si="26"/>
        <v>#REF!</v>
      </c>
      <c r="R58" s="65" t="e">
        <f t="shared" si="27"/>
        <v>#REF!</v>
      </c>
      <c r="S58" s="101" t="e">
        <f t="shared" si="28"/>
        <v>#REF!</v>
      </c>
      <c r="T58" s="101" t="e">
        <f t="shared" si="29"/>
        <v>#REF!</v>
      </c>
      <c r="U58" s="50"/>
      <c r="V58" s="50"/>
    </row>
    <row r="59" spans="1:22" x14ac:dyDescent="0.2">
      <c r="B59" s="7">
        <v>1</v>
      </c>
      <c r="C59" t="s">
        <v>200</v>
      </c>
      <c r="D59" s="38" t="e">
        <f t="shared" si="15"/>
        <v>#REF!</v>
      </c>
      <c r="E59" s="38" t="e">
        <f t="shared" si="16"/>
        <v>#REF!</v>
      </c>
      <c r="F59" s="38" t="e">
        <f t="shared" si="17"/>
        <v>#REF!</v>
      </c>
      <c r="G59" s="38" t="e">
        <f t="shared" si="18"/>
        <v>#REF!</v>
      </c>
      <c r="H59" s="38" t="e">
        <f t="shared" si="19"/>
        <v>#REF!</v>
      </c>
      <c r="I59" s="38" t="e">
        <f t="shared" si="20"/>
        <v>#REF!</v>
      </c>
      <c r="J59" s="38" t="e">
        <f t="shared" si="21"/>
        <v>#REF!</v>
      </c>
      <c r="K59" s="38" t="e">
        <f t="shared" si="22"/>
        <v>#REF!</v>
      </c>
      <c r="L59" s="101" t="e">
        <f t="shared" si="23"/>
        <v>#REF!</v>
      </c>
      <c r="M59" s="101"/>
      <c r="N59" s="101"/>
      <c r="O59" s="101" t="e">
        <f t="shared" si="24"/>
        <v>#REF!</v>
      </c>
      <c r="P59" s="75" t="e">
        <f t="shared" si="25"/>
        <v>#REF!</v>
      </c>
      <c r="Q59" s="129" t="e">
        <f t="shared" si="26"/>
        <v>#REF!</v>
      </c>
      <c r="R59" s="65" t="e">
        <f t="shared" si="27"/>
        <v>#REF!</v>
      </c>
      <c r="S59" s="101" t="e">
        <f t="shared" si="28"/>
        <v>#REF!</v>
      </c>
      <c r="T59" s="101" t="e">
        <f t="shared" si="29"/>
        <v>#REF!</v>
      </c>
      <c r="U59" s="50"/>
      <c r="V59" s="50"/>
    </row>
    <row r="60" spans="1:22" x14ac:dyDescent="0.2">
      <c r="B60" s="7">
        <v>1</v>
      </c>
      <c r="C60" t="s">
        <v>238</v>
      </c>
      <c r="D60" s="38" t="e">
        <f t="shared" si="15"/>
        <v>#REF!</v>
      </c>
      <c r="E60" s="38" t="e">
        <f t="shared" si="16"/>
        <v>#REF!</v>
      </c>
      <c r="F60" s="38" t="e">
        <f t="shared" si="17"/>
        <v>#REF!</v>
      </c>
      <c r="G60" s="38" t="e">
        <f t="shared" si="18"/>
        <v>#REF!</v>
      </c>
      <c r="H60" s="38" t="e">
        <f t="shared" si="19"/>
        <v>#REF!</v>
      </c>
      <c r="I60" s="38" t="e">
        <f t="shared" si="20"/>
        <v>#REF!</v>
      </c>
      <c r="J60" s="38" t="e">
        <f t="shared" si="21"/>
        <v>#REF!</v>
      </c>
      <c r="K60" s="38" t="e">
        <f t="shared" si="22"/>
        <v>#REF!</v>
      </c>
      <c r="L60" s="101" t="e">
        <f t="shared" si="23"/>
        <v>#REF!</v>
      </c>
      <c r="M60" s="101"/>
      <c r="N60" s="101"/>
      <c r="O60" s="101" t="e">
        <f t="shared" si="24"/>
        <v>#REF!</v>
      </c>
      <c r="P60" s="75" t="e">
        <f t="shared" si="25"/>
        <v>#REF!</v>
      </c>
      <c r="Q60" s="129" t="e">
        <f t="shared" si="26"/>
        <v>#REF!</v>
      </c>
      <c r="R60" s="65" t="e">
        <f t="shared" si="27"/>
        <v>#REF!</v>
      </c>
      <c r="S60" s="101" t="e">
        <f t="shared" si="28"/>
        <v>#REF!</v>
      </c>
      <c r="T60" s="101" t="e">
        <f t="shared" si="29"/>
        <v>#REF!</v>
      </c>
      <c r="U60" s="50"/>
      <c r="V60" s="50"/>
    </row>
    <row r="61" spans="1:22" x14ac:dyDescent="0.2">
      <c r="B61" s="7">
        <v>1</v>
      </c>
      <c r="C61" t="s">
        <v>227</v>
      </c>
      <c r="D61" s="38" t="e">
        <f t="shared" si="15"/>
        <v>#REF!</v>
      </c>
      <c r="E61" s="38" t="e">
        <f t="shared" si="16"/>
        <v>#REF!</v>
      </c>
      <c r="F61" s="38" t="e">
        <f t="shared" si="17"/>
        <v>#REF!</v>
      </c>
      <c r="G61" s="38" t="e">
        <f t="shared" si="18"/>
        <v>#REF!</v>
      </c>
      <c r="H61" s="38" t="e">
        <f t="shared" si="19"/>
        <v>#REF!</v>
      </c>
      <c r="I61" s="38" t="e">
        <f t="shared" si="20"/>
        <v>#REF!</v>
      </c>
      <c r="J61" s="38" t="e">
        <f t="shared" si="21"/>
        <v>#REF!</v>
      </c>
      <c r="K61" s="38" t="e">
        <f t="shared" si="22"/>
        <v>#REF!</v>
      </c>
      <c r="L61" s="101" t="e">
        <f t="shared" si="23"/>
        <v>#REF!</v>
      </c>
      <c r="M61" s="101"/>
      <c r="N61" s="101"/>
      <c r="O61" s="101" t="e">
        <f t="shared" si="24"/>
        <v>#REF!</v>
      </c>
      <c r="P61" s="75" t="e">
        <f t="shared" si="25"/>
        <v>#REF!</v>
      </c>
      <c r="Q61" s="129" t="e">
        <f t="shared" si="26"/>
        <v>#REF!</v>
      </c>
      <c r="R61" s="65" t="e">
        <f t="shared" si="27"/>
        <v>#REF!</v>
      </c>
      <c r="S61" s="101" t="e">
        <f t="shared" si="28"/>
        <v>#REF!</v>
      </c>
      <c r="T61" s="101" t="e">
        <f t="shared" si="29"/>
        <v>#REF!</v>
      </c>
      <c r="U61" s="50"/>
      <c r="V61" s="50"/>
    </row>
    <row r="62" spans="1:22" x14ac:dyDescent="0.2">
      <c r="B62" s="7">
        <v>1</v>
      </c>
      <c r="C62" t="s">
        <v>204</v>
      </c>
      <c r="D62" s="38" t="e">
        <f t="shared" si="15"/>
        <v>#REF!</v>
      </c>
      <c r="E62" s="38" t="e">
        <f t="shared" si="16"/>
        <v>#REF!</v>
      </c>
      <c r="F62" s="38" t="e">
        <f t="shared" si="17"/>
        <v>#REF!</v>
      </c>
      <c r="G62" s="38" t="e">
        <f t="shared" si="18"/>
        <v>#REF!</v>
      </c>
      <c r="H62" s="38" t="e">
        <f t="shared" si="19"/>
        <v>#REF!</v>
      </c>
      <c r="I62" s="38" t="e">
        <f t="shared" si="20"/>
        <v>#REF!</v>
      </c>
      <c r="J62" s="38" t="e">
        <f t="shared" si="21"/>
        <v>#REF!</v>
      </c>
      <c r="K62" s="38" t="e">
        <f t="shared" si="22"/>
        <v>#REF!</v>
      </c>
      <c r="L62" s="101" t="e">
        <f t="shared" si="23"/>
        <v>#REF!</v>
      </c>
      <c r="M62" s="101"/>
      <c r="N62" s="101"/>
      <c r="O62" s="101" t="e">
        <f t="shared" si="24"/>
        <v>#REF!</v>
      </c>
      <c r="P62" s="75" t="e">
        <f t="shared" si="25"/>
        <v>#REF!</v>
      </c>
      <c r="Q62" s="129" t="e">
        <f t="shared" si="26"/>
        <v>#REF!</v>
      </c>
      <c r="R62" s="65" t="e">
        <f t="shared" si="27"/>
        <v>#REF!</v>
      </c>
      <c r="S62" s="101" t="e">
        <f t="shared" si="28"/>
        <v>#REF!</v>
      </c>
      <c r="T62" s="101" t="e">
        <f t="shared" si="29"/>
        <v>#REF!</v>
      </c>
      <c r="U62" s="50"/>
      <c r="V62" s="50"/>
    </row>
    <row r="63" spans="1:22" x14ac:dyDescent="0.2">
      <c r="B63" s="7">
        <v>1</v>
      </c>
      <c r="C63" t="s">
        <v>169</v>
      </c>
      <c r="D63" s="38" t="e">
        <f t="shared" si="15"/>
        <v>#REF!</v>
      </c>
      <c r="E63" s="38" t="e">
        <f t="shared" si="16"/>
        <v>#REF!</v>
      </c>
      <c r="F63" s="38" t="e">
        <f t="shared" si="17"/>
        <v>#REF!</v>
      </c>
      <c r="G63" s="38" t="e">
        <f t="shared" si="18"/>
        <v>#REF!</v>
      </c>
      <c r="H63" s="38" t="e">
        <f t="shared" si="19"/>
        <v>#REF!</v>
      </c>
      <c r="I63" s="38" t="e">
        <f t="shared" si="20"/>
        <v>#REF!</v>
      </c>
      <c r="J63" s="38" t="e">
        <f t="shared" si="21"/>
        <v>#REF!</v>
      </c>
      <c r="K63" s="38" t="e">
        <f t="shared" si="22"/>
        <v>#REF!</v>
      </c>
      <c r="L63" s="101" t="e">
        <f t="shared" si="23"/>
        <v>#REF!</v>
      </c>
      <c r="M63" s="101"/>
      <c r="N63" s="101"/>
      <c r="O63" s="101" t="e">
        <f t="shared" si="24"/>
        <v>#REF!</v>
      </c>
      <c r="P63" s="75" t="e">
        <f t="shared" si="25"/>
        <v>#REF!</v>
      </c>
      <c r="Q63" s="129" t="e">
        <f t="shared" si="26"/>
        <v>#REF!</v>
      </c>
      <c r="R63" s="65" t="e">
        <f t="shared" si="27"/>
        <v>#REF!</v>
      </c>
      <c r="S63" s="101" t="e">
        <f t="shared" si="28"/>
        <v>#REF!</v>
      </c>
      <c r="T63" s="101" t="e">
        <f t="shared" si="29"/>
        <v>#REF!</v>
      </c>
      <c r="U63" s="50"/>
      <c r="V63" s="50"/>
    </row>
    <row r="64" spans="1:22" x14ac:dyDescent="0.2">
      <c r="D64" s="38"/>
      <c r="E64" s="38"/>
      <c r="F64" s="38"/>
      <c r="G64" s="38"/>
      <c r="H64" s="38"/>
      <c r="I64" s="38"/>
      <c r="J64" s="38"/>
      <c r="K64" s="38"/>
      <c r="L64" s="113" t="e">
        <f>SUM(L54:L63)</f>
        <v>#REF!</v>
      </c>
      <c r="M64" s="113"/>
      <c r="N64" s="113"/>
      <c r="O64" s="113" t="e">
        <f>SUM(O54:O59)</f>
        <v>#REF!</v>
      </c>
      <c r="P64" s="75"/>
      <c r="Q64" s="64"/>
      <c r="R64" s="65"/>
      <c r="S64" s="89"/>
      <c r="T64" s="89"/>
      <c r="V64" s="8"/>
    </row>
    <row r="65" spans="1:22" x14ac:dyDescent="0.2">
      <c r="A65" s="18"/>
      <c r="B65" s="18"/>
      <c r="C65" s="19"/>
      <c r="D65" s="19"/>
      <c r="E65" s="18"/>
      <c r="F65" s="19"/>
      <c r="G65" s="19"/>
      <c r="H65" s="19"/>
      <c r="I65" s="19"/>
      <c r="J65" s="19"/>
      <c r="K65" s="19"/>
      <c r="L65" s="18"/>
      <c r="M65" s="57"/>
      <c r="N65" s="57"/>
      <c r="O65" s="18"/>
      <c r="P65" s="79"/>
      <c r="Q65" s="20"/>
      <c r="R65" s="20"/>
      <c r="S65" s="94"/>
      <c r="T65" s="94"/>
      <c r="U65" s="47"/>
      <c r="V65" s="8"/>
    </row>
    <row r="66" spans="1:22" x14ac:dyDescent="0.2">
      <c r="A66" s="1" t="s">
        <v>163</v>
      </c>
      <c r="B66" s="1"/>
      <c r="C66" s="3"/>
      <c r="D66" s="3"/>
      <c r="E66" s="4"/>
      <c r="F66" s="3"/>
      <c r="G66" s="3"/>
      <c r="H66" s="3"/>
      <c r="I66" s="3"/>
      <c r="J66" s="3"/>
      <c r="K66" s="3"/>
      <c r="L66" s="52"/>
      <c r="M66" s="55"/>
      <c r="N66" s="55"/>
      <c r="O66" s="52"/>
      <c r="P66" s="72"/>
      <c r="Q66" s="5"/>
      <c r="R66" s="5"/>
      <c r="S66" s="87"/>
      <c r="T66" s="87"/>
      <c r="V66" s="47"/>
    </row>
    <row r="67" spans="1:22" x14ac:dyDescent="0.2">
      <c r="E67" s="7" t="s">
        <v>2</v>
      </c>
      <c r="F67" s="12" t="s">
        <v>145</v>
      </c>
      <c r="G67" s="12"/>
      <c r="H67" s="12"/>
      <c r="I67" s="12"/>
      <c r="J67" s="12"/>
      <c r="K67" s="12"/>
    </row>
    <row r="68" spans="1:22" x14ac:dyDescent="0.2">
      <c r="A68" s="10" t="s">
        <v>17</v>
      </c>
      <c r="B68" s="10"/>
      <c r="E68" s="46">
        <v>211357605</v>
      </c>
      <c r="F68" s="12" t="e">
        <f>E68-L73</f>
        <v>#REF!</v>
      </c>
      <c r="G68" s="121"/>
      <c r="H68" s="12"/>
      <c r="I68" s="12"/>
      <c r="J68" s="12"/>
      <c r="K68" s="12"/>
      <c r="L68" s="41"/>
      <c r="M68" s="56"/>
      <c r="N68" s="56"/>
      <c r="O68" s="41"/>
      <c r="V68" s="47"/>
    </row>
    <row r="69" spans="1:22" s="108" customFormat="1" x14ac:dyDescent="0.2">
      <c r="A69" s="109"/>
      <c r="B69" s="109"/>
      <c r="C69" s="108" t="s">
        <v>22</v>
      </c>
      <c r="D69" s="108" t="s">
        <v>137</v>
      </c>
      <c r="E69" s="108" t="s">
        <v>23</v>
      </c>
      <c r="F69" s="108" t="s">
        <v>4</v>
      </c>
      <c r="G69" s="108" t="s">
        <v>40</v>
      </c>
      <c r="H69" s="108" t="s">
        <v>0</v>
      </c>
      <c r="I69" s="108" t="s">
        <v>24</v>
      </c>
      <c r="J69" s="108" t="s">
        <v>5</v>
      </c>
      <c r="K69" s="108" t="s">
        <v>1</v>
      </c>
      <c r="L69" s="110" t="s">
        <v>138</v>
      </c>
      <c r="M69" s="110" t="s">
        <v>139</v>
      </c>
      <c r="N69" s="110" t="s">
        <v>140</v>
      </c>
      <c r="O69" s="110" t="s">
        <v>39</v>
      </c>
      <c r="P69" s="111" t="s">
        <v>36</v>
      </c>
      <c r="Q69" s="108" t="s">
        <v>146</v>
      </c>
      <c r="R69" s="108" t="s">
        <v>130</v>
      </c>
      <c r="S69" s="108" t="s">
        <v>141</v>
      </c>
      <c r="T69" s="108" t="s">
        <v>142</v>
      </c>
      <c r="V69" s="112"/>
    </row>
    <row r="70" spans="1:22" x14ac:dyDescent="0.2">
      <c r="B70" s="7">
        <v>1</v>
      </c>
      <c r="C70" t="s">
        <v>227</v>
      </c>
      <c r="D70" s="38" t="e">
        <f>VLOOKUP(C70,Round2,15,FALSE)</f>
        <v>#REF!</v>
      </c>
      <c r="E70" s="38" t="e">
        <f>VLOOKUP(C70,Round2,2,FALSE)</f>
        <v>#REF!</v>
      </c>
      <c r="F70" s="38" t="e">
        <f>VLOOKUP(C70,Round2,14,FALSE)</f>
        <v>#REF!</v>
      </c>
      <c r="G70" s="38" t="e">
        <f>VLOOKUP(C70,Round2,12,FALSE)</f>
        <v>#REF!</v>
      </c>
      <c r="H70" s="38" t="e">
        <f>VLOOKUP(C70,Round2,26,FALSE)</f>
        <v>#REF!</v>
      </c>
      <c r="I70" s="38" t="e">
        <f>VLOOKUP(C70,Round2,30,FALSE)</f>
        <v>#REF!</v>
      </c>
      <c r="J70" s="38" t="e">
        <f>VLOOKUP(C70,Round2,31,FALSE)</f>
        <v>#REF!</v>
      </c>
      <c r="K70" s="38" t="e">
        <f>VLOOKUP(C70,Round2,9,FALSE)</f>
        <v>#REF!</v>
      </c>
      <c r="L70" s="101" t="e">
        <f>VLOOKUP(C70,Round2,3,FALSE)</f>
        <v>#REF!</v>
      </c>
      <c r="M70" s="101"/>
      <c r="N70" s="101"/>
      <c r="O70" s="101" t="e">
        <f>L70+M70+N70</f>
        <v>#REF!</v>
      </c>
      <c r="P70" s="75" t="e">
        <f>VLOOKUP(C70,Round2,4,FALSE)</f>
        <v>#REF!</v>
      </c>
      <c r="Q70" s="129" t="e">
        <f>VLOOKUP(C70,Round2,5,FALSE)</f>
        <v>#REF!</v>
      </c>
      <c r="R70" s="65" t="e">
        <f>VLOOKUP(C70,Round2,10,FALSE)</f>
        <v>#REF!</v>
      </c>
      <c r="S70" s="101" t="e">
        <f>VLOOKUP(C70,Round2,19,FALSE)</f>
        <v>#REF!</v>
      </c>
      <c r="T70" s="101" t="e">
        <f>VLOOKUP(C70,Round2,18,FALSE)</f>
        <v>#REF!</v>
      </c>
      <c r="U70" s="50"/>
      <c r="V70" s="50"/>
    </row>
    <row r="71" spans="1:22" x14ac:dyDescent="0.2">
      <c r="B71" s="7">
        <v>1</v>
      </c>
      <c r="C71" t="s">
        <v>230</v>
      </c>
      <c r="D71" s="38" t="e">
        <f>VLOOKUP(C71,Round2,15,FALSE)</f>
        <v>#REF!</v>
      </c>
      <c r="E71" s="38" t="e">
        <f>VLOOKUP(C71,Round2,2,FALSE)</f>
        <v>#REF!</v>
      </c>
      <c r="F71" s="38" t="e">
        <f>VLOOKUP(C71,Round2,14,FALSE)</f>
        <v>#REF!</v>
      </c>
      <c r="G71" s="38" t="e">
        <f>VLOOKUP(C71,Round2,12,FALSE)</f>
        <v>#REF!</v>
      </c>
      <c r="H71" s="38" t="e">
        <f>VLOOKUP(C71,Round2,26,FALSE)</f>
        <v>#REF!</v>
      </c>
      <c r="I71" s="38" t="e">
        <f>VLOOKUP(C71,Round2,30,FALSE)</f>
        <v>#REF!</v>
      </c>
      <c r="J71" s="38" t="e">
        <f>VLOOKUP(C71,Round2,31,FALSE)</f>
        <v>#REF!</v>
      </c>
      <c r="K71" s="38" t="e">
        <f>VLOOKUP(C71,Round2,9,FALSE)</f>
        <v>#REF!</v>
      </c>
      <c r="L71" s="101" t="e">
        <f>VLOOKUP(C71,Round2,3,FALSE)</f>
        <v>#REF!</v>
      </c>
      <c r="M71" s="101"/>
      <c r="N71" s="101"/>
      <c r="O71" s="101" t="e">
        <f>L71+M71+N71</f>
        <v>#REF!</v>
      </c>
      <c r="P71" s="75" t="e">
        <f>VLOOKUP(C71,Round2,4,FALSE)</f>
        <v>#REF!</v>
      </c>
      <c r="Q71" s="129" t="e">
        <f>VLOOKUP(C71,Round2,5,FALSE)</f>
        <v>#REF!</v>
      </c>
      <c r="R71" s="65" t="e">
        <f>VLOOKUP(C71,Round2,10,FALSE)</f>
        <v>#REF!</v>
      </c>
      <c r="S71" s="101" t="e">
        <f>VLOOKUP(C71,Round2,19,FALSE)</f>
        <v>#REF!</v>
      </c>
      <c r="T71" s="101" t="e">
        <f>VLOOKUP(C71,Round2,18,FALSE)</f>
        <v>#REF!</v>
      </c>
      <c r="U71" s="50"/>
      <c r="V71" s="50"/>
    </row>
    <row r="72" spans="1:22" x14ac:dyDescent="0.2">
      <c r="B72" s="7">
        <v>1</v>
      </c>
      <c r="C72" t="s">
        <v>197</v>
      </c>
      <c r="D72" s="38" t="e">
        <f>VLOOKUP(C72,Round2,15,FALSE)</f>
        <v>#REF!</v>
      </c>
      <c r="E72" s="38" t="e">
        <f>VLOOKUP(C72,Round2,2,FALSE)</f>
        <v>#REF!</v>
      </c>
      <c r="F72" s="38" t="e">
        <f>VLOOKUP(C72,Round2,14,FALSE)</f>
        <v>#REF!</v>
      </c>
      <c r="G72" s="38" t="e">
        <f>VLOOKUP(C72,Round2,12,FALSE)</f>
        <v>#REF!</v>
      </c>
      <c r="H72" s="38" t="e">
        <f>VLOOKUP(C72,Round2,26,FALSE)</f>
        <v>#REF!</v>
      </c>
      <c r="I72" s="38" t="e">
        <f>VLOOKUP(C72,Round2,30,FALSE)</f>
        <v>#REF!</v>
      </c>
      <c r="J72" s="38" t="e">
        <f>VLOOKUP(C72,Round2,31,FALSE)</f>
        <v>#REF!</v>
      </c>
      <c r="K72" s="38" t="e">
        <f>VLOOKUP(C72,Round2,9,FALSE)</f>
        <v>#REF!</v>
      </c>
      <c r="L72" s="101" t="e">
        <f>VLOOKUP(C72,Round2,3,FALSE)</f>
        <v>#REF!</v>
      </c>
      <c r="M72" s="101"/>
      <c r="N72" s="101"/>
      <c r="O72" s="101" t="e">
        <f>L72+M72+N72</f>
        <v>#REF!</v>
      </c>
      <c r="P72" s="75" t="e">
        <f>VLOOKUP(C72,Round2,4,FALSE)</f>
        <v>#REF!</v>
      </c>
      <c r="Q72" s="129" t="e">
        <f>VLOOKUP(C72,Round2,5,FALSE)</f>
        <v>#REF!</v>
      </c>
      <c r="R72" s="65" t="e">
        <f>VLOOKUP(C72,Round2,10,FALSE)</f>
        <v>#REF!</v>
      </c>
      <c r="S72" s="101" t="e">
        <f>VLOOKUP(C72,Round2,19,FALSE)</f>
        <v>#REF!</v>
      </c>
      <c r="T72" s="101" t="e">
        <f>VLOOKUP(C72,Round2,18,FALSE)</f>
        <v>#REF!</v>
      </c>
      <c r="U72" s="50"/>
      <c r="V72" s="50"/>
    </row>
    <row r="73" spans="1:22" x14ac:dyDescent="0.2">
      <c r="L73" s="44" t="e">
        <f>SUM(L70:L72)</f>
        <v>#REF!</v>
      </c>
      <c r="O73" s="44" t="e">
        <f>SUM(#REF!)</f>
        <v>#REF!</v>
      </c>
      <c r="S73" s="124"/>
      <c r="U73" s="47"/>
      <c r="V73" s="47"/>
    </row>
    <row r="74" spans="1:22" x14ac:dyDescent="0.2">
      <c r="A74" s="18"/>
      <c r="B74" s="18"/>
      <c r="C74" s="19"/>
      <c r="D74" s="19"/>
      <c r="E74" s="18"/>
      <c r="F74" s="19"/>
      <c r="G74" s="19"/>
      <c r="H74" s="19"/>
      <c r="I74" s="19"/>
      <c r="J74" s="19"/>
      <c r="K74" s="19"/>
      <c r="L74" s="53"/>
      <c r="M74" s="57"/>
      <c r="N74" s="57"/>
      <c r="O74" s="53"/>
      <c r="P74" s="79"/>
      <c r="Q74" s="20"/>
      <c r="R74" s="20"/>
      <c r="S74" s="94"/>
      <c r="T74" s="94"/>
      <c r="U74" s="47"/>
      <c r="V74" s="47"/>
    </row>
    <row r="75" spans="1:22" x14ac:dyDescent="0.2">
      <c r="E75" s="7" t="s">
        <v>2</v>
      </c>
      <c r="F75" s="12" t="s">
        <v>145</v>
      </c>
      <c r="G75" s="12"/>
      <c r="H75" s="12"/>
      <c r="I75" s="12"/>
      <c r="J75" s="12"/>
      <c r="K75" s="12"/>
    </row>
    <row r="76" spans="1:22" x14ac:dyDescent="0.2">
      <c r="A76" s="10" t="s">
        <v>16</v>
      </c>
      <c r="B76" s="10"/>
      <c r="E76" s="46">
        <v>193125476</v>
      </c>
      <c r="F76" s="12" t="e">
        <f>E76-L84</f>
        <v>#REF!</v>
      </c>
      <c r="G76" s="121"/>
      <c r="H76" s="12"/>
      <c r="I76" s="12"/>
      <c r="J76" s="12"/>
      <c r="K76" s="12"/>
      <c r="L76" s="41"/>
      <c r="M76" s="56"/>
      <c r="N76" s="56"/>
      <c r="O76" s="41"/>
      <c r="U76" s="47"/>
      <c r="V76" s="47"/>
    </row>
    <row r="77" spans="1:22" s="108" customFormat="1" x14ac:dyDescent="0.2">
      <c r="A77" s="109"/>
      <c r="B77" s="109"/>
      <c r="C77" s="108" t="s">
        <v>22</v>
      </c>
      <c r="D77" s="108" t="s">
        <v>137</v>
      </c>
      <c r="E77" s="108" t="s">
        <v>23</v>
      </c>
      <c r="F77" s="108" t="s">
        <v>4</v>
      </c>
      <c r="G77" s="108" t="s">
        <v>40</v>
      </c>
      <c r="H77" s="108" t="s">
        <v>0</v>
      </c>
      <c r="I77" s="108" t="s">
        <v>24</v>
      </c>
      <c r="J77" s="108" t="s">
        <v>5</v>
      </c>
      <c r="K77" s="108" t="s">
        <v>1</v>
      </c>
      <c r="L77" s="110" t="s">
        <v>138</v>
      </c>
      <c r="M77" s="110" t="s">
        <v>139</v>
      </c>
      <c r="N77" s="110" t="s">
        <v>140</v>
      </c>
      <c r="O77" s="110" t="s">
        <v>39</v>
      </c>
      <c r="P77" s="111" t="s">
        <v>36</v>
      </c>
      <c r="Q77" s="108" t="s">
        <v>146</v>
      </c>
      <c r="R77" s="108" t="s">
        <v>130</v>
      </c>
      <c r="S77" s="108" t="s">
        <v>141</v>
      </c>
      <c r="T77" s="108" t="s">
        <v>142</v>
      </c>
      <c r="U77" s="112"/>
      <c r="V77" s="112"/>
    </row>
    <row r="78" spans="1:22" x14ac:dyDescent="0.2">
      <c r="B78" s="7">
        <v>1</v>
      </c>
      <c r="C78" t="s">
        <v>183</v>
      </c>
      <c r="D78" s="38" t="e">
        <f t="shared" ref="D78:D83" si="30">VLOOKUP(C78,Round2,15,FALSE)</f>
        <v>#REF!</v>
      </c>
      <c r="E78" s="38" t="e">
        <f t="shared" ref="E78:E83" si="31">VLOOKUP(C78,Round2,2,FALSE)</f>
        <v>#REF!</v>
      </c>
      <c r="F78" s="38" t="e">
        <f t="shared" ref="F78:F83" si="32">VLOOKUP(C78,Round2,14,FALSE)</f>
        <v>#REF!</v>
      </c>
      <c r="G78" s="38" t="e">
        <f t="shared" ref="G78:G83" si="33">VLOOKUP(C78,Round2,12,FALSE)</f>
        <v>#REF!</v>
      </c>
      <c r="H78" s="38" t="e">
        <f t="shared" ref="H78:H83" si="34">VLOOKUP(C78,Round2,26,FALSE)</f>
        <v>#REF!</v>
      </c>
      <c r="I78" s="38" t="e">
        <f t="shared" ref="I78:I83" si="35">VLOOKUP(C78,Round2,30,FALSE)</f>
        <v>#REF!</v>
      </c>
      <c r="J78" s="38" t="e">
        <f t="shared" ref="J78:J83" si="36">VLOOKUP(C78,Round2,31,FALSE)</f>
        <v>#REF!</v>
      </c>
      <c r="K78" s="38" t="e">
        <f t="shared" ref="K78:K83" si="37">VLOOKUP(C78,Round2,9,FALSE)</f>
        <v>#REF!</v>
      </c>
      <c r="L78" s="101" t="e">
        <f t="shared" ref="L78:L83" si="38">VLOOKUP(C78,Round2,3,FALSE)</f>
        <v>#REF!</v>
      </c>
      <c r="M78" s="101"/>
      <c r="N78" s="101"/>
      <c r="O78" s="101" t="e">
        <f t="shared" ref="O78:O83" si="39">L78+M78+N78</f>
        <v>#REF!</v>
      </c>
      <c r="P78" s="75" t="e">
        <f t="shared" ref="P78:P83" si="40">VLOOKUP(C78,Round2,4,FALSE)</f>
        <v>#REF!</v>
      </c>
      <c r="Q78" s="129" t="e">
        <f t="shared" ref="Q78:Q83" si="41">VLOOKUP(C78,Round2,5,FALSE)</f>
        <v>#REF!</v>
      </c>
      <c r="R78" s="65" t="e">
        <f t="shared" ref="R78:R83" si="42">VLOOKUP(C78,Round2,10,FALSE)</f>
        <v>#REF!</v>
      </c>
      <c r="S78" s="101" t="e">
        <f t="shared" ref="S78:S83" si="43">VLOOKUP(C78,Round2,19,FALSE)</f>
        <v>#REF!</v>
      </c>
      <c r="T78" s="101" t="e">
        <f t="shared" ref="T78:T83" si="44">VLOOKUP(C78,Round2,18,FALSE)</f>
        <v>#REF!</v>
      </c>
      <c r="U78" s="50"/>
      <c r="V78" s="50"/>
    </row>
    <row r="79" spans="1:22" x14ac:dyDescent="0.2">
      <c r="B79" s="7">
        <v>1</v>
      </c>
      <c r="C79" t="s">
        <v>167</v>
      </c>
      <c r="D79" s="38" t="e">
        <f t="shared" si="30"/>
        <v>#REF!</v>
      </c>
      <c r="E79" s="38" t="e">
        <f t="shared" si="31"/>
        <v>#REF!</v>
      </c>
      <c r="F79" s="38" t="e">
        <f t="shared" si="32"/>
        <v>#REF!</v>
      </c>
      <c r="G79" s="38" t="e">
        <f t="shared" si="33"/>
        <v>#REF!</v>
      </c>
      <c r="H79" s="38" t="e">
        <f t="shared" si="34"/>
        <v>#REF!</v>
      </c>
      <c r="I79" s="38" t="e">
        <f t="shared" si="35"/>
        <v>#REF!</v>
      </c>
      <c r="J79" s="38" t="e">
        <f t="shared" si="36"/>
        <v>#REF!</v>
      </c>
      <c r="K79" s="38" t="e">
        <f t="shared" si="37"/>
        <v>#REF!</v>
      </c>
      <c r="L79" s="101" t="e">
        <f t="shared" si="38"/>
        <v>#REF!</v>
      </c>
      <c r="M79" s="101"/>
      <c r="N79" s="101"/>
      <c r="O79" s="101" t="e">
        <f t="shared" si="39"/>
        <v>#REF!</v>
      </c>
      <c r="P79" s="75" t="e">
        <f t="shared" si="40"/>
        <v>#REF!</v>
      </c>
      <c r="Q79" s="129" t="e">
        <f t="shared" si="41"/>
        <v>#REF!</v>
      </c>
      <c r="R79" s="65" t="e">
        <f t="shared" si="42"/>
        <v>#REF!</v>
      </c>
      <c r="S79" s="101" t="e">
        <f t="shared" si="43"/>
        <v>#REF!</v>
      </c>
      <c r="T79" s="101" t="e">
        <f t="shared" si="44"/>
        <v>#REF!</v>
      </c>
      <c r="U79" s="50"/>
      <c r="V79" s="50"/>
    </row>
    <row r="80" spans="1:22" x14ac:dyDescent="0.2">
      <c r="B80" s="7">
        <v>1</v>
      </c>
      <c r="C80" t="s">
        <v>187</v>
      </c>
      <c r="D80" s="38" t="e">
        <f t="shared" si="30"/>
        <v>#REF!</v>
      </c>
      <c r="E80" s="38" t="e">
        <f t="shared" si="31"/>
        <v>#REF!</v>
      </c>
      <c r="F80" s="38" t="e">
        <f t="shared" si="32"/>
        <v>#REF!</v>
      </c>
      <c r="G80" s="38" t="e">
        <f t="shared" si="33"/>
        <v>#REF!</v>
      </c>
      <c r="H80" s="38" t="e">
        <f t="shared" si="34"/>
        <v>#REF!</v>
      </c>
      <c r="I80" s="38" t="e">
        <f t="shared" si="35"/>
        <v>#REF!</v>
      </c>
      <c r="J80" s="38" t="e">
        <f t="shared" si="36"/>
        <v>#REF!</v>
      </c>
      <c r="K80" s="38" t="e">
        <f t="shared" si="37"/>
        <v>#REF!</v>
      </c>
      <c r="L80" s="101" t="e">
        <f t="shared" si="38"/>
        <v>#REF!</v>
      </c>
      <c r="M80" s="101"/>
      <c r="N80" s="101"/>
      <c r="O80" s="101" t="e">
        <f t="shared" si="39"/>
        <v>#REF!</v>
      </c>
      <c r="P80" s="75" t="e">
        <f t="shared" si="40"/>
        <v>#REF!</v>
      </c>
      <c r="Q80" s="129" t="e">
        <f t="shared" si="41"/>
        <v>#REF!</v>
      </c>
      <c r="R80" s="65" t="e">
        <f t="shared" si="42"/>
        <v>#REF!</v>
      </c>
      <c r="S80" s="101" t="e">
        <f t="shared" si="43"/>
        <v>#REF!</v>
      </c>
      <c r="T80" s="101" t="e">
        <f t="shared" si="44"/>
        <v>#REF!</v>
      </c>
      <c r="U80" s="50"/>
      <c r="V80" s="50"/>
    </row>
    <row r="81" spans="1:22" x14ac:dyDescent="0.2">
      <c r="B81" s="7">
        <v>1</v>
      </c>
      <c r="C81" t="s">
        <v>212</v>
      </c>
      <c r="D81" s="38" t="e">
        <f t="shared" si="30"/>
        <v>#REF!</v>
      </c>
      <c r="E81" s="38" t="e">
        <f t="shared" si="31"/>
        <v>#REF!</v>
      </c>
      <c r="F81" s="38" t="e">
        <f t="shared" si="32"/>
        <v>#REF!</v>
      </c>
      <c r="G81" s="38" t="e">
        <f t="shared" si="33"/>
        <v>#REF!</v>
      </c>
      <c r="H81" s="38" t="e">
        <f t="shared" si="34"/>
        <v>#REF!</v>
      </c>
      <c r="I81" s="38" t="e">
        <f t="shared" si="35"/>
        <v>#REF!</v>
      </c>
      <c r="J81" s="38" t="e">
        <f t="shared" si="36"/>
        <v>#REF!</v>
      </c>
      <c r="K81" s="38" t="e">
        <f t="shared" si="37"/>
        <v>#REF!</v>
      </c>
      <c r="L81" s="101" t="e">
        <f t="shared" si="38"/>
        <v>#REF!</v>
      </c>
      <c r="M81" s="101"/>
      <c r="N81" s="101"/>
      <c r="O81" s="101" t="e">
        <f t="shared" si="39"/>
        <v>#REF!</v>
      </c>
      <c r="P81" s="75" t="e">
        <f t="shared" si="40"/>
        <v>#REF!</v>
      </c>
      <c r="Q81" s="129" t="e">
        <f t="shared" si="41"/>
        <v>#REF!</v>
      </c>
      <c r="R81" s="65" t="e">
        <f t="shared" si="42"/>
        <v>#REF!</v>
      </c>
      <c r="S81" s="101" t="e">
        <f t="shared" si="43"/>
        <v>#REF!</v>
      </c>
      <c r="T81" s="101" t="e">
        <f t="shared" si="44"/>
        <v>#REF!</v>
      </c>
      <c r="U81" s="50"/>
      <c r="V81" s="50"/>
    </row>
    <row r="82" spans="1:22" x14ac:dyDescent="0.2">
      <c r="B82" s="7">
        <v>1</v>
      </c>
      <c r="C82" t="s">
        <v>192</v>
      </c>
      <c r="D82" s="38" t="e">
        <f t="shared" si="30"/>
        <v>#REF!</v>
      </c>
      <c r="E82" s="38" t="e">
        <f t="shared" si="31"/>
        <v>#REF!</v>
      </c>
      <c r="F82" s="38" t="e">
        <f t="shared" si="32"/>
        <v>#REF!</v>
      </c>
      <c r="G82" s="38" t="e">
        <f t="shared" si="33"/>
        <v>#REF!</v>
      </c>
      <c r="H82" s="38" t="e">
        <f t="shared" si="34"/>
        <v>#REF!</v>
      </c>
      <c r="I82" s="38" t="e">
        <f t="shared" si="35"/>
        <v>#REF!</v>
      </c>
      <c r="J82" s="38" t="e">
        <f t="shared" si="36"/>
        <v>#REF!</v>
      </c>
      <c r="K82" s="38" t="e">
        <f t="shared" si="37"/>
        <v>#REF!</v>
      </c>
      <c r="L82" s="101" t="e">
        <f t="shared" si="38"/>
        <v>#REF!</v>
      </c>
      <c r="M82" s="101"/>
      <c r="N82" s="101"/>
      <c r="O82" s="101" t="e">
        <f t="shared" si="39"/>
        <v>#REF!</v>
      </c>
      <c r="P82" s="75" t="e">
        <f t="shared" si="40"/>
        <v>#REF!</v>
      </c>
      <c r="Q82" s="129" t="e">
        <f t="shared" si="41"/>
        <v>#REF!</v>
      </c>
      <c r="R82" s="65" t="e">
        <f t="shared" si="42"/>
        <v>#REF!</v>
      </c>
      <c r="S82" s="101" t="e">
        <f t="shared" si="43"/>
        <v>#REF!</v>
      </c>
      <c r="T82" s="101" t="e">
        <f t="shared" si="44"/>
        <v>#REF!</v>
      </c>
      <c r="U82" s="50"/>
      <c r="V82" s="50"/>
    </row>
    <row r="83" spans="1:22" x14ac:dyDescent="0.2">
      <c r="B83" s="7">
        <v>1</v>
      </c>
      <c r="C83" t="s">
        <v>189</v>
      </c>
      <c r="D83" s="38" t="e">
        <f t="shared" si="30"/>
        <v>#REF!</v>
      </c>
      <c r="E83" s="38" t="e">
        <f t="shared" si="31"/>
        <v>#REF!</v>
      </c>
      <c r="F83" s="38" t="e">
        <f t="shared" si="32"/>
        <v>#REF!</v>
      </c>
      <c r="G83" s="38" t="e">
        <f t="shared" si="33"/>
        <v>#REF!</v>
      </c>
      <c r="H83" s="38" t="e">
        <f t="shared" si="34"/>
        <v>#REF!</v>
      </c>
      <c r="I83" s="38" t="e">
        <f t="shared" si="35"/>
        <v>#REF!</v>
      </c>
      <c r="J83" s="38" t="e">
        <f t="shared" si="36"/>
        <v>#REF!</v>
      </c>
      <c r="K83" s="38" t="e">
        <f t="shared" si="37"/>
        <v>#REF!</v>
      </c>
      <c r="L83" s="101" t="e">
        <f t="shared" si="38"/>
        <v>#REF!</v>
      </c>
      <c r="M83" s="101"/>
      <c r="N83" s="101"/>
      <c r="O83" s="101" t="e">
        <f t="shared" si="39"/>
        <v>#REF!</v>
      </c>
      <c r="P83" s="75" t="e">
        <f t="shared" si="40"/>
        <v>#REF!</v>
      </c>
      <c r="Q83" s="129" t="e">
        <f t="shared" si="41"/>
        <v>#REF!</v>
      </c>
      <c r="R83" s="65" t="e">
        <f t="shared" si="42"/>
        <v>#REF!</v>
      </c>
      <c r="S83" s="101" t="e">
        <f t="shared" si="43"/>
        <v>#REF!</v>
      </c>
      <c r="T83" s="101" t="e">
        <f t="shared" si="44"/>
        <v>#REF!</v>
      </c>
      <c r="U83" s="50"/>
      <c r="V83" s="50"/>
    </row>
    <row r="84" spans="1:22" x14ac:dyDescent="0.2">
      <c r="L84" s="44" t="e">
        <f>SUM(L78:L83)</f>
        <v>#REF!</v>
      </c>
      <c r="O84" s="44" t="e">
        <f>SUM(O83:O83)</f>
        <v>#REF!</v>
      </c>
      <c r="S84" s="124"/>
      <c r="U84" s="47"/>
      <c r="V84" s="47"/>
    </row>
    <row r="85" spans="1:22" x14ac:dyDescent="0.2">
      <c r="A85" s="18"/>
      <c r="B85" s="18"/>
      <c r="C85" s="19"/>
      <c r="D85" s="19"/>
      <c r="E85" s="18"/>
      <c r="F85" s="19"/>
      <c r="G85" s="19"/>
      <c r="H85" s="19"/>
      <c r="I85" s="19"/>
      <c r="J85" s="19"/>
      <c r="K85" s="19"/>
      <c r="L85" s="53"/>
      <c r="M85" s="57"/>
      <c r="N85" s="57"/>
      <c r="O85" s="53"/>
      <c r="P85" s="79"/>
      <c r="Q85" s="20"/>
      <c r="R85" s="20"/>
      <c r="S85" s="94"/>
      <c r="T85" s="94"/>
      <c r="U85" s="47"/>
      <c r="V85" s="47"/>
    </row>
    <row r="86" spans="1:22" x14ac:dyDescent="0.2">
      <c r="E86" s="7" t="s">
        <v>2</v>
      </c>
      <c r="F86" s="12" t="s">
        <v>145</v>
      </c>
      <c r="G86" s="12"/>
      <c r="H86" s="12"/>
      <c r="I86" s="12"/>
      <c r="J86" s="12"/>
      <c r="K86" s="12"/>
    </row>
    <row r="87" spans="1:22" x14ac:dyDescent="0.2">
      <c r="A87" s="10" t="s">
        <v>6</v>
      </c>
      <c r="B87" s="10"/>
      <c r="E87" s="46">
        <v>182442238</v>
      </c>
      <c r="F87" s="12" t="e">
        <f>E87-L94</f>
        <v>#REF!</v>
      </c>
      <c r="G87" s="121"/>
      <c r="H87" s="12"/>
      <c r="I87" s="12"/>
      <c r="J87" s="12"/>
      <c r="K87" s="12"/>
      <c r="L87" s="41"/>
      <c r="M87" s="56"/>
      <c r="N87" s="56"/>
      <c r="O87" s="41"/>
      <c r="U87" s="47"/>
      <c r="V87" s="47"/>
    </row>
    <row r="88" spans="1:22" s="108" customFormat="1" x14ac:dyDescent="0.2">
      <c r="A88" s="109"/>
      <c r="B88" s="109"/>
      <c r="C88" s="108" t="s">
        <v>22</v>
      </c>
      <c r="D88" s="108" t="s">
        <v>137</v>
      </c>
      <c r="E88" s="108" t="s">
        <v>23</v>
      </c>
      <c r="F88" s="108" t="s">
        <v>4</v>
      </c>
      <c r="G88" s="108" t="s">
        <v>40</v>
      </c>
      <c r="H88" s="108" t="s">
        <v>0</v>
      </c>
      <c r="I88" s="108" t="s">
        <v>24</v>
      </c>
      <c r="J88" s="108" t="s">
        <v>5</v>
      </c>
      <c r="K88" s="108" t="s">
        <v>1</v>
      </c>
      <c r="L88" s="110" t="s">
        <v>138</v>
      </c>
      <c r="M88" s="110" t="s">
        <v>139</v>
      </c>
      <c r="N88" s="110" t="s">
        <v>140</v>
      </c>
      <c r="O88" s="110" t="s">
        <v>39</v>
      </c>
      <c r="P88" s="111" t="s">
        <v>36</v>
      </c>
      <c r="Q88" s="108" t="s">
        <v>146</v>
      </c>
      <c r="R88" s="108" t="s">
        <v>130</v>
      </c>
      <c r="S88" s="108" t="s">
        <v>141</v>
      </c>
      <c r="T88" s="108" t="s">
        <v>142</v>
      </c>
      <c r="V88" s="112"/>
    </row>
    <row r="89" spans="1:22" x14ac:dyDescent="0.2">
      <c r="B89" s="7">
        <v>1</v>
      </c>
      <c r="C89" t="s">
        <v>184</v>
      </c>
      <c r="D89" s="38" t="e">
        <f>VLOOKUP(C89,Round2,15,FALSE)</f>
        <v>#REF!</v>
      </c>
      <c r="E89" s="38" t="e">
        <f>VLOOKUP(C89,Round2,2,FALSE)</f>
        <v>#REF!</v>
      </c>
      <c r="F89" s="38" t="e">
        <f>VLOOKUP(C89,Round2,14,FALSE)</f>
        <v>#REF!</v>
      </c>
      <c r="G89" s="38" t="e">
        <f>VLOOKUP(C89,Round2,12,FALSE)</f>
        <v>#REF!</v>
      </c>
      <c r="H89" s="38" t="e">
        <f>VLOOKUP(C89,Round2,26,FALSE)</f>
        <v>#REF!</v>
      </c>
      <c r="I89" s="38" t="e">
        <f>VLOOKUP(C89,Round2,30,FALSE)</f>
        <v>#REF!</v>
      </c>
      <c r="J89" s="38" t="e">
        <f>VLOOKUP(C89,Round2,31,FALSE)</f>
        <v>#REF!</v>
      </c>
      <c r="K89" s="38" t="e">
        <f>VLOOKUP(C89,Round2,9,FALSE)</f>
        <v>#REF!</v>
      </c>
      <c r="L89" s="101" t="e">
        <f>VLOOKUP(C89,Round2,3,FALSE)</f>
        <v>#REF!</v>
      </c>
      <c r="M89" s="101"/>
      <c r="N89" s="101"/>
      <c r="O89" s="101" t="e">
        <f>L89+M89+N89</f>
        <v>#REF!</v>
      </c>
      <c r="P89" s="75" t="e">
        <f>VLOOKUP(C89,Round2,4,FALSE)</f>
        <v>#REF!</v>
      </c>
      <c r="Q89" s="129" t="e">
        <f>VLOOKUP(C89,Round2,5,FALSE)</f>
        <v>#REF!</v>
      </c>
      <c r="R89" s="65" t="e">
        <f>VLOOKUP(C89,Round2,10,FALSE)</f>
        <v>#REF!</v>
      </c>
      <c r="S89" s="101" t="e">
        <f>VLOOKUP(C89,Round2,19,FALSE)</f>
        <v>#REF!</v>
      </c>
      <c r="T89" s="101" t="e">
        <f>VLOOKUP(C89,Round2,18,FALSE)</f>
        <v>#REF!</v>
      </c>
      <c r="U89" s="50"/>
      <c r="V89" s="50"/>
    </row>
    <row r="90" spans="1:22" x14ac:dyDescent="0.2">
      <c r="B90" s="7">
        <v>1</v>
      </c>
      <c r="C90" t="s">
        <v>237</v>
      </c>
      <c r="D90" s="38" t="e">
        <f>VLOOKUP(C90,Round2,15,FALSE)</f>
        <v>#REF!</v>
      </c>
      <c r="E90" s="38" t="e">
        <f>VLOOKUP(C90,Round2,2,FALSE)</f>
        <v>#REF!</v>
      </c>
      <c r="F90" s="38" t="e">
        <f>VLOOKUP(C90,Round2,14,FALSE)</f>
        <v>#REF!</v>
      </c>
      <c r="G90" s="38" t="e">
        <f>VLOOKUP(C90,Round2,12,FALSE)</f>
        <v>#REF!</v>
      </c>
      <c r="H90" s="38" t="e">
        <f>VLOOKUP(C90,Round2,26,FALSE)</f>
        <v>#REF!</v>
      </c>
      <c r="I90" s="38" t="e">
        <f>VLOOKUP(C90,Round2,30,FALSE)</f>
        <v>#REF!</v>
      </c>
      <c r="J90" s="38" t="e">
        <f>VLOOKUP(C90,Round2,31,FALSE)</f>
        <v>#REF!</v>
      </c>
      <c r="K90" s="38" t="e">
        <f>VLOOKUP(C90,Round2,9,FALSE)</f>
        <v>#REF!</v>
      </c>
      <c r="L90" s="101" t="e">
        <f>VLOOKUP(C90,Round2,3,FALSE)</f>
        <v>#REF!</v>
      </c>
      <c r="M90" s="101"/>
      <c r="N90" s="101"/>
      <c r="O90" s="101" t="e">
        <f>L90+M90+N90</f>
        <v>#REF!</v>
      </c>
      <c r="P90" s="75" t="e">
        <f>VLOOKUP(C90,Round2,4,FALSE)</f>
        <v>#REF!</v>
      </c>
      <c r="Q90" s="129" t="e">
        <f>VLOOKUP(C90,Round2,5,FALSE)</f>
        <v>#REF!</v>
      </c>
      <c r="R90" s="65" t="e">
        <f>VLOOKUP(C90,Round2,10,FALSE)</f>
        <v>#REF!</v>
      </c>
      <c r="S90" s="101" t="e">
        <f>VLOOKUP(C90,Round2,19,FALSE)</f>
        <v>#REF!</v>
      </c>
      <c r="T90" s="101" t="e">
        <f>VLOOKUP(C90,Round2,18,FALSE)</f>
        <v>#REF!</v>
      </c>
      <c r="U90" s="50"/>
      <c r="V90" s="50"/>
    </row>
    <row r="91" spans="1:22" x14ac:dyDescent="0.2">
      <c r="B91" s="7">
        <v>1</v>
      </c>
      <c r="C91" t="s">
        <v>216</v>
      </c>
      <c r="D91" s="38" t="e">
        <f>VLOOKUP(C91,Round2,15,FALSE)</f>
        <v>#REF!</v>
      </c>
      <c r="E91" s="38" t="e">
        <f>VLOOKUP(C91,Round2,2,FALSE)</f>
        <v>#REF!</v>
      </c>
      <c r="F91" s="38" t="e">
        <f>VLOOKUP(C91,Round2,14,FALSE)</f>
        <v>#REF!</v>
      </c>
      <c r="G91" s="38" t="e">
        <f>VLOOKUP(C91,Round2,12,FALSE)</f>
        <v>#REF!</v>
      </c>
      <c r="H91" s="38" t="e">
        <f>VLOOKUP(C91,Round2,26,FALSE)</f>
        <v>#REF!</v>
      </c>
      <c r="I91" s="38" t="e">
        <f>VLOOKUP(C91,Round2,30,FALSE)</f>
        <v>#REF!</v>
      </c>
      <c r="J91" s="38" t="e">
        <f>VLOOKUP(C91,Round2,31,FALSE)</f>
        <v>#REF!</v>
      </c>
      <c r="K91" s="38" t="e">
        <f>VLOOKUP(C91,Round2,9,FALSE)</f>
        <v>#REF!</v>
      </c>
      <c r="L91" s="101" t="e">
        <f>VLOOKUP(C91,Round2,3,FALSE)</f>
        <v>#REF!</v>
      </c>
      <c r="M91" s="101"/>
      <c r="N91" s="101"/>
      <c r="O91" s="101" t="e">
        <f>L91+M91+N91</f>
        <v>#REF!</v>
      </c>
      <c r="P91" s="75" t="e">
        <f>VLOOKUP(C91,Round2,4,FALSE)</f>
        <v>#REF!</v>
      </c>
      <c r="Q91" s="129" t="e">
        <f>VLOOKUP(C91,Round2,5,FALSE)</f>
        <v>#REF!</v>
      </c>
      <c r="R91" s="65" t="e">
        <f>VLOOKUP(C91,Round2,10,FALSE)</f>
        <v>#REF!</v>
      </c>
      <c r="S91" s="101" t="e">
        <f>VLOOKUP(C91,Round2,19,FALSE)</f>
        <v>#REF!</v>
      </c>
      <c r="T91" s="101" t="e">
        <f>VLOOKUP(C91,Round2,18,FALSE)</f>
        <v>#REF!</v>
      </c>
      <c r="U91" s="50"/>
      <c r="V91" s="50"/>
    </row>
    <row r="92" spans="1:22" x14ac:dyDescent="0.2">
      <c r="B92" s="7">
        <v>1</v>
      </c>
      <c r="C92" t="s">
        <v>201</v>
      </c>
      <c r="D92" s="38" t="e">
        <f>VLOOKUP(C92,Round2,15,FALSE)</f>
        <v>#REF!</v>
      </c>
      <c r="E92" s="38" t="e">
        <f>VLOOKUP(C92,Round2,2,FALSE)</f>
        <v>#REF!</v>
      </c>
      <c r="F92" s="38" t="e">
        <f>VLOOKUP(C92,Round2,14,FALSE)</f>
        <v>#REF!</v>
      </c>
      <c r="G92" s="38" t="e">
        <f>VLOOKUP(C92,Round2,12,FALSE)</f>
        <v>#REF!</v>
      </c>
      <c r="H92" s="38" t="e">
        <f>VLOOKUP(C92,Round2,26,FALSE)</f>
        <v>#REF!</v>
      </c>
      <c r="I92" s="38" t="e">
        <f>VLOOKUP(C92,Round2,30,FALSE)</f>
        <v>#REF!</v>
      </c>
      <c r="J92" s="38" t="e">
        <f>VLOOKUP(C92,Round2,31,FALSE)</f>
        <v>#REF!</v>
      </c>
      <c r="K92" s="38" t="e">
        <f>VLOOKUP(C92,Round2,9,FALSE)</f>
        <v>#REF!</v>
      </c>
      <c r="L92" s="101" t="e">
        <f>VLOOKUP(C92,Round2,3,FALSE)</f>
        <v>#REF!</v>
      </c>
      <c r="M92" s="101"/>
      <c r="N92" s="101"/>
      <c r="O92" s="101" t="e">
        <f>L92+M92+N92</f>
        <v>#REF!</v>
      </c>
      <c r="P92" s="75" t="e">
        <f>VLOOKUP(C92,Round2,4,FALSE)</f>
        <v>#REF!</v>
      </c>
      <c r="Q92" s="129" t="e">
        <f>VLOOKUP(C92,Round2,5,FALSE)</f>
        <v>#REF!</v>
      </c>
      <c r="R92" s="65" t="e">
        <f>VLOOKUP(C92,Round2,10,FALSE)</f>
        <v>#REF!</v>
      </c>
      <c r="S92" s="101" t="e">
        <f>VLOOKUP(C92,Round2,19,FALSE)</f>
        <v>#REF!</v>
      </c>
      <c r="T92" s="101" t="e">
        <f>VLOOKUP(C92,Round2,18,FALSE)</f>
        <v>#REF!</v>
      </c>
      <c r="U92" s="50"/>
      <c r="V92" s="50"/>
    </row>
    <row r="93" spans="1:22" x14ac:dyDescent="0.2">
      <c r="B93" s="7">
        <v>1</v>
      </c>
      <c r="C93" t="s">
        <v>226</v>
      </c>
      <c r="D93" s="38" t="e">
        <f>VLOOKUP(C93,Round2,15,FALSE)</f>
        <v>#REF!</v>
      </c>
      <c r="E93" s="38" t="e">
        <f>VLOOKUP(C93,Round2,2,FALSE)</f>
        <v>#REF!</v>
      </c>
      <c r="F93" s="38" t="e">
        <f>VLOOKUP(C93,Round2,14,FALSE)</f>
        <v>#REF!</v>
      </c>
      <c r="G93" s="38" t="e">
        <f>VLOOKUP(C93,Round2,12,FALSE)</f>
        <v>#REF!</v>
      </c>
      <c r="H93" s="38" t="e">
        <f>VLOOKUP(C93,Round2,26,FALSE)</f>
        <v>#REF!</v>
      </c>
      <c r="I93" s="38" t="e">
        <f>VLOOKUP(C93,Round2,30,FALSE)</f>
        <v>#REF!</v>
      </c>
      <c r="J93" s="38" t="e">
        <f>VLOOKUP(C93,Round2,31,FALSE)</f>
        <v>#REF!</v>
      </c>
      <c r="K93" s="38" t="e">
        <f>VLOOKUP(C93,Round2,9,FALSE)</f>
        <v>#REF!</v>
      </c>
      <c r="L93" s="101" t="e">
        <f>VLOOKUP(C93,Round2,3,FALSE)</f>
        <v>#REF!</v>
      </c>
      <c r="M93" s="101"/>
      <c r="N93" s="101"/>
      <c r="O93" s="101" t="e">
        <f>L93+M93+N93</f>
        <v>#REF!</v>
      </c>
      <c r="P93" s="75" t="e">
        <f>VLOOKUP(C93,Round2,4,FALSE)</f>
        <v>#REF!</v>
      </c>
      <c r="Q93" s="129" t="e">
        <f>VLOOKUP(C93,Round2,5,FALSE)</f>
        <v>#REF!</v>
      </c>
      <c r="R93" s="65" t="e">
        <f>VLOOKUP(C93,Round2,10,FALSE)</f>
        <v>#REF!</v>
      </c>
      <c r="S93" s="101" t="e">
        <f>VLOOKUP(C93,Round2,19,FALSE)</f>
        <v>#REF!</v>
      </c>
      <c r="T93" s="101" t="e">
        <f>VLOOKUP(C93,Round2,18,FALSE)</f>
        <v>#REF!</v>
      </c>
      <c r="U93" s="50"/>
      <c r="V93" s="50"/>
    </row>
    <row r="94" spans="1:22" x14ac:dyDescent="0.2">
      <c r="L94" s="44" t="e">
        <f>SUM(L89:L93)</f>
        <v>#REF!</v>
      </c>
      <c r="O94" s="44" t="e">
        <f>SUM(#REF!)</f>
        <v>#REF!</v>
      </c>
      <c r="S94" s="124"/>
      <c r="V94" s="8"/>
    </row>
    <row r="95" spans="1:22" x14ac:dyDescent="0.2">
      <c r="A95" s="18"/>
      <c r="B95" s="18"/>
      <c r="C95" s="19"/>
      <c r="D95" s="19"/>
      <c r="E95" s="18"/>
      <c r="F95" s="19"/>
      <c r="G95" s="19"/>
      <c r="H95" s="19"/>
      <c r="I95" s="19"/>
      <c r="J95" s="19"/>
      <c r="K95" s="19"/>
      <c r="L95" s="53"/>
      <c r="M95" s="57"/>
      <c r="N95" s="57"/>
      <c r="O95" s="53"/>
      <c r="P95" s="79"/>
      <c r="Q95" s="20"/>
      <c r="R95" s="20"/>
      <c r="S95" s="94"/>
      <c r="T95" s="94"/>
      <c r="U95" s="15"/>
      <c r="V95" s="8"/>
    </row>
    <row r="96" spans="1:22" x14ac:dyDescent="0.2">
      <c r="E96" s="7" t="s">
        <v>2</v>
      </c>
      <c r="F96" s="12" t="s">
        <v>145</v>
      </c>
      <c r="G96" s="12"/>
      <c r="H96" s="12"/>
      <c r="I96" s="12"/>
      <c r="J96" s="12"/>
      <c r="K96" s="12"/>
      <c r="U96" s="15"/>
      <c r="V96" s="8"/>
    </row>
    <row r="97" spans="1:22" x14ac:dyDescent="0.2">
      <c r="A97" s="10" t="s">
        <v>7</v>
      </c>
      <c r="B97" s="10"/>
      <c r="E97" s="46">
        <v>167419129</v>
      </c>
      <c r="F97" s="12" t="e">
        <f>E97-L104</f>
        <v>#REF!</v>
      </c>
      <c r="G97" s="121"/>
      <c r="H97" s="12"/>
      <c r="I97" s="12"/>
      <c r="J97" s="12"/>
      <c r="K97" s="12"/>
      <c r="L97" s="41"/>
      <c r="M97" s="56"/>
      <c r="N97" s="56"/>
      <c r="O97" s="41"/>
      <c r="U97" s="15"/>
      <c r="V97" s="47"/>
    </row>
    <row r="98" spans="1:22" s="108" customFormat="1" x14ac:dyDescent="0.2">
      <c r="A98" s="109"/>
      <c r="B98" s="109"/>
      <c r="C98" s="108" t="s">
        <v>22</v>
      </c>
      <c r="D98" s="108" t="s">
        <v>137</v>
      </c>
      <c r="E98" s="108" t="s">
        <v>23</v>
      </c>
      <c r="F98" s="108" t="s">
        <v>4</v>
      </c>
      <c r="G98" s="108" t="s">
        <v>40</v>
      </c>
      <c r="H98" s="108" t="s">
        <v>0</v>
      </c>
      <c r="I98" s="108" t="s">
        <v>24</v>
      </c>
      <c r="J98" s="108" t="s">
        <v>5</v>
      </c>
      <c r="K98" s="108" t="s">
        <v>1</v>
      </c>
      <c r="L98" s="110" t="s">
        <v>138</v>
      </c>
      <c r="M98" s="110" t="s">
        <v>139</v>
      </c>
      <c r="N98" s="110" t="s">
        <v>140</v>
      </c>
      <c r="O98" s="110" t="s">
        <v>39</v>
      </c>
      <c r="P98" s="111" t="s">
        <v>36</v>
      </c>
      <c r="Q98" s="108" t="s">
        <v>146</v>
      </c>
      <c r="R98" s="108" t="s">
        <v>130</v>
      </c>
      <c r="S98" s="108" t="s">
        <v>141</v>
      </c>
      <c r="T98" s="108" t="s">
        <v>142</v>
      </c>
      <c r="U98" s="15"/>
      <c r="V98" s="112"/>
    </row>
    <row r="99" spans="1:22" x14ac:dyDescent="0.2">
      <c r="B99" s="7">
        <v>1</v>
      </c>
      <c r="C99" t="s">
        <v>214</v>
      </c>
      <c r="D99" s="38" t="e">
        <f>VLOOKUP(C99,Round2,15,FALSE)</f>
        <v>#REF!</v>
      </c>
      <c r="E99" s="38" t="e">
        <f>VLOOKUP(C99,Round2,2,FALSE)</f>
        <v>#REF!</v>
      </c>
      <c r="F99" s="38" t="e">
        <f>VLOOKUP(C99,Round2,14,FALSE)</f>
        <v>#REF!</v>
      </c>
      <c r="G99" s="38" t="e">
        <f>VLOOKUP(C99,Round2,12,FALSE)</f>
        <v>#REF!</v>
      </c>
      <c r="H99" s="38" t="e">
        <f>VLOOKUP(C99,Round2,26,FALSE)</f>
        <v>#REF!</v>
      </c>
      <c r="I99" s="38" t="e">
        <f>VLOOKUP(C99,Round2,30,FALSE)</f>
        <v>#REF!</v>
      </c>
      <c r="J99" s="38" t="e">
        <f>VLOOKUP(C99,Round2,31,FALSE)</f>
        <v>#REF!</v>
      </c>
      <c r="K99" s="38" t="e">
        <f>VLOOKUP(C99,Round2,9,FALSE)</f>
        <v>#REF!</v>
      </c>
      <c r="L99" s="101" t="e">
        <f>VLOOKUP(C99,Round2,3,FALSE)</f>
        <v>#REF!</v>
      </c>
      <c r="M99" s="101"/>
      <c r="N99" s="101"/>
      <c r="O99" s="101" t="e">
        <f>L99+M99+N99</f>
        <v>#REF!</v>
      </c>
      <c r="P99" s="75" t="e">
        <f>VLOOKUP(C99,Round2,4,FALSE)</f>
        <v>#REF!</v>
      </c>
      <c r="Q99" s="129" t="e">
        <f>VLOOKUP(C99,Round2,5,FALSE)</f>
        <v>#REF!</v>
      </c>
      <c r="R99" s="65" t="e">
        <f>VLOOKUP(C99,Round2,10,FALSE)</f>
        <v>#REF!</v>
      </c>
      <c r="S99" s="101" t="e">
        <f>VLOOKUP(C99,Round2,19,FALSE)</f>
        <v>#REF!</v>
      </c>
      <c r="T99" s="101" t="e">
        <f>VLOOKUP(C99,Round2,18,FALSE)</f>
        <v>#REF!</v>
      </c>
      <c r="U99" s="50"/>
      <c r="V99" s="50"/>
    </row>
    <row r="100" spans="1:22" x14ac:dyDescent="0.2">
      <c r="B100" s="7">
        <v>1</v>
      </c>
      <c r="C100" t="s">
        <v>225</v>
      </c>
      <c r="D100" s="38" t="e">
        <f>VLOOKUP(C100,Round2,15,FALSE)</f>
        <v>#REF!</v>
      </c>
      <c r="E100" s="38" t="e">
        <f>VLOOKUP(C100,Round2,2,FALSE)</f>
        <v>#REF!</v>
      </c>
      <c r="F100" s="38" t="e">
        <f>VLOOKUP(C100,Round2,14,FALSE)</f>
        <v>#REF!</v>
      </c>
      <c r="G100" s="38" t="e">
        <f>VLOOKUP(C100,Round2,12,FALSE)</f>
        <v>#REF!</v>
      </c>
      <c r="H100" s="38" t="e">
        <f>VLOOKUP(C100,Round2,26,FALSE)</f>
        <v>#REF!</v>
      </c>
      <c r="I100" s="38" t="e">
        <f>VLOOKUP(C100,Round2,30,FALSE)</f>
        <v>#REF!</v>
      </c>
      <c r="J100" s="38" t="e">
        <f>VLOOKUP(C100,Round2,31,FALSE)</f>
        <v>#REF!</v>
      </c>
      <c r="K100" s="38" t="e">
        <f>VLOOKUP(C100,Round2,9,FALSE)</f>
        <v>#REF!</v>
      </c>
      <c r="L100" s="101" t="e">
        <f>VLOOKUP(C100,Round2,3,FALSE)</f>
        <v>#REF!</v>
      </c>
      <c r="M100" s="101"/>
      <c r="N100" s="101"/>
      <c r="O100" s="101" t="e">
        <f>L100+M100+N100</f>
        <v>#REF!</v>
      </c>
      <c r="P100" s="75" t="e">
        <f>VLOOKUP(C100,Round2,4,FALSE)</f>
        <v>#REF!</v>
      </c>
      <c r="Q100" s="129" t="e">
        <f>VLOOKUP(C100,Round2,5,FALSE)</f>
        <v>#REF!</v>
      </c>
      <c r="R100" s="65" t="e">
        <f>VLOOKUP(C100,Round2,10,FALSE)</f>
        <v>#REF!</v>
      </c>
      <c r="S100" s="101" t="e">
        <f>VLOOKUP(C100,Round2,19,FALSE)</f>
        <v>#REF!</v>
      </c>
      <c r="T100" s="101" t="e">
        <f>VLOOKUP(C100,Round2,18,FALSE)</f>
        <v>#REF!</v>
      </c>
      <c r="U100" s="50"/>
      <c r="V100" s="50"/>
    </row>
    <row r="101" spans="1:22" x14ac:dyDescent="0.2">
      <c r="B101" s="7">
        <v>1</v>
      </c>
      <c r="C101" t="s">
        <v>217</v>
      </c>
      <c r="D101" s="38" t="e">
        <f>VLOOKUP(C101,Round2,15,FALSE)</f>
        <v>#REF!</v>
      </c>
      <c r="E101" s="38" t="e">
        <f>VLOOKUP(C101,Round2,2,FALSE)</f>
        <v>#REF!</v>
      </c>
      <c r="F101" s="38" t="e">
        <f>VLOOKUP(C101,Round2,14,FALSE)</f>
        <v>#REF!</v>
      </c>
      <c r="G101" s="38" t="e">
        <f>VLOOKUP(C101,Round2,12,FALSE)</f>
        <v>#REF!</v>
      </c>
      <c r="H101" s="38" t="e">
        <f>VLOOKUP(C101,Round2,26,FALSE)</f>
        <v>#REF!</v>
      </c>
      <c r="I101" s="38" t="e">
        <f>VLOOKUP(C101,Round2,30,FALSE)</f>
        <v>#REF!</v>
      </c>
      <c r="J101" s="38" t="e">
        <f>VLOOKUP(C101,Round2,31,FALSE)</f>
        <v>#REF!</v>
      </c>
      <c r="K101" s="38" t="e">
        <f>VLOOKUP(C101,Round2,9,FALSE)</f>
        <v>#REF!</v>
      </c>
      <c r="L101" s="101" t="e">
        <f>VLOOKUP(C101,Round2,3,FALSE)</f>
        <v>#REF!</v>
      </c>
      <c r="M101" s="101"/>
      <c r="N101" s="101"/>
      <c r="O101" s="101" t="e">
        <f>L101+M101+N101</f>
        <v>#REF!</v>
      </c>
      <c r="P101" s="75" t="e">
        <f>VLOOKUP(C101,Round2,4,FALSE)</f>
        <v>#REF!</v>
      </c>
      <c r="Q101" s="129" t="e">
        <f>VLOOKUP(C101,Round2,5,FALSE)</f>
        <v>#REF!</v>
      </c>
      <c r="R101" s="65" t="e">
        <f>VLOOKUP(C101,Round2,10,FALSE)</f>
        <v>#REF!</v>
      </c>
      <c r="S101" s="101" t="e">
        <f>VLOOKUP(C101,Round2,19,FALSE)</f>
        <v>#REF!</v>
      </c>
      <c r="T101" s="101" t="e">
        <f>VLOOKUP(C101,Round2,18,FALSE)</f>
        <v>#REF!</v>
      </c>
      <c r="U101" s="50"/>
      <c r="V101" s="50"/>
    </row>
    <row r="102" spans="1:22" x14ac:dyDescent="0.2">
      <c r="B102" s="7">
        <v>1</v>
      </c>
      <c r="C102" t="s">
        <v>232</v>
      </c>
      <c r="D102" s="38" t="e">
        <f>VLOOKUP(C102,Round2,15,FALSE)</f>
        <v>#REF!</v>
      </c>
      <c r="E102" s="38" t="e">
        <f>VLOOKUP(C102,Round2,2,FALSE)</f>
        <v>#REF!</v>
      </c>
      <c r="F102" s="38" t="e">
        <f>VLOOKUP(C102,Round2,14,FALSE)</f>
        <v>#REF!</v>
      </c>
      <c r="G102" s="38" t="e">
        <f>VLOOKUP(C102,Round2,12,FALSE)</f>
        <v>#REF!</v>
      </c>
      <c r="H102" s="38" t="e">
        <f>VLOOKUP(C102,Round2,26,FALSE)</f>
        <v>#REF!</v>
      </c>
      <c r="I102" s="38" t="e">
        <f>VLOOKUP(C102,Round2,30,FALSE)</f>
        <v>#REF!</v>
      </c>
      <c r="J102" s="38" t="e">
        <f>VLOOKUP(C102,Round2,31,FALSE)</f>
        <v>#REF!</v>
      </c>
      <c r="K102" s="38" t="e">
        <f>VLOOKUP(C102,Round2,9,FALSE)</f>
        <v>#REF!</v>
      </c>
      <c r="L102" s="101" t="e">
        <f>VLOOKUP(C102,Round2,3,FALSE)</f>
        <v>#REF!</v>
      </c>
      <c r="M102" s="101"/>
      <c r="N102" s="101"/>
      <c r="O102" s="101" t="e">
        <f>L102+M102+N102</f>
        <v>#REF!</v>
      </c>
      <c r="P102" s="75" t="e">
        <f>VLOOKUP(C102,Round2,4,FALSE)</f>
        <v>#REF!</v>
      </c>
      <c r="Q102" s="129" t="e">
        <f>VLOOKUP(C102,Round2,5,FALSE)</f>
        <v>#REF!</v>
      </c>
      <c r="R102" s="65" t="e">
        <f>VLOOKUP(C102,Round2,10,FALSE)</f>
        <v>#REF!</v>
      </c>
      <c r="S102" s="101" t="e">
        <f>VLOOKUP(C102,Round2,19,FALSE)</f>
        <v>#REF!</v>
      </c>
      <c r="T102" s="101" t="e">
        <f>VLOOKUP(C102,Round2,18,FALSE)</f>
        <v>#REF!</v>
      </c>
      <c r="U102" s="50"/>
      <c r="V102" s="50"/>
    </row>
    <row r="103" spans="1:22" x14ac:dyDescent="0.2">
      <c r="B103" s="7">
        <v>1</v>
      </c>
      <c r="C103" t="s">
        <v>172</v>
      </c>
      <c r="D103" s="38" t="e">
        <f>VLOOKUP(C103,Round2,15,FALSE)</f>
        <v>#REF!</v>
      </c>
      <c r="E103" s="38" t="e">
        <f>VLOOKUP(C103,Round2,2,FALSE)</f>
        <v>#REF!</v>
      </c>
      <c r="F103" s="38" t="e">
        <f>VLOOKUP(C103,Round2,14,FALSE)</f>
        <v>#REF!</v>
      </c>
      <c r="G103" s="38" t="e">
        <f>VLOOKUP(C103,Round2,12,FALSE)</f>
        <v>#REF!</v>
      </c>
      <c r="H103" s="38" t="e">
        <f>VLOOKUP(C103,Round2,26,FALSE)</f>
        <v>#REF!</v>
      </c>
      <c r="I103" s="38" t="e">
        <f>VLOOKUP(C103,Round2,30,FALSE)</f>
        <v>#REF!</v>
      </c>
      <c r="J103" s="38" t="e">
        <f>VLOOKUP(C103,Round2,31,FALSE)</f>
        <v>#REF!</v>
      </c>
      <c r="K103" s="38" t="e">
        <f>VLOOKUP(C103,Round2,9,FALSE)</f>
        <v>#REF!</v>
      </c>
      <c r="L103" s="101" t="e">
        <f>VLOOKUP(C103,Round2,3,FALSE)</f>
        <v>#REF!</v>
      </c>
      <c r="M103" s="101"/>
      <c r="N103" s="101"/>
      <c r="O103" s="101" t="e">
        <f>L103+M103+N103</f>
        <v>#REF!</v>
      </c>
      <c r="P103" s="75" t="e">
        <f>VLOOKUP(C103,Round2,4,FALSE)</f>
        <v>#REF!</v>
      </c>
      <c r="Q103" s="129" t="e">
        <f>VLOOKUP(C103,Round2,5,FALSE)</f>
        <v>#REF!</v>
      </c>
      <c r="R103" s="65" t="e">
        <f>VLOOKUP(C103,Round2,10,FALSE)</f>
        <v>#REF!</v>
      </c>
      <c r="S103" s="101" t="e">
        <f>VLOOKUP(C103,Round2,19,FALSE)</f>
        <v>#REF!</v>
      </c>
      <c r="T103" s="101" t="e">
        <f>VLOOKUP(C103,Round2,18,FALSE)</f>
        <v>#REF!</v>
      </c>
      <c r="U103" s="50"/>
      <c r="V103" s="50"/>
    </row>
    <row r="104" spans="1:22" x14ac:dyDescent="0.2">
      <c r="L104" s="44" t="e">
        <f>SUM(L99:L103)</f>
        <v>#REF!</v>
      </c>
      <c r="O104" s="44" t="e">
        <f>SUM(#REF!)</f>
        <v>#REF!</v>
      </c>
      <c r="S104" s="124"/>
      <c r="U104" s="47"/>
      <c r="V104" s="8"/>
    </row>
    <row r="105" spans="1:22" x14ac:dyDescent="0.2">
      <c r="A105" s="18"/>
      <c r="B105" s="18"/>
      <c r="C105" s="19"/>
      <c r="D105" s="19"/>
      <c r="E105" s="18"/>
      <c r="F105" s="19"/>
      <c r="G105" s="19"/>
      <c r="H105" s="19"/>
      <c r="I105" s="19"/>
      <c r="J105" s="19"/>
      <c r="K105" s="19"/>
      <c r="L105" s="53"/>
      <c r="M105" s="57"/>
      <c r="N105" s="57"/>
      <c r="O105" s="53"/>
      <c r="P105" s="79"/>
      <c r="Q105" s="20"/>
      <c r="R105" s="20"/>
      <c r="S105" s="94"/>
      <c r="T105" s="94"/>
      <c r="U105" s="47"/>
      <c r="V105" s="8"/>
    </row>
    <row r="106" spans="1:22" x14ac:dyDescent="0.2">
      <c r="E106" s="7" t="s">
        <v>2</v>
      </c>
      <c r="F106" s="12" t="s">
        <v>145</v>
      </c>
      <c r="G106" s="12"/>
      <c r="H106" s="12"/>
      <c r="I106" s="12"/>
      <c r="J106" s="12"/>
      <c r="K106" s="12"/>
      <c r="V106" s="8"/>
    </row>
    <row r="107" spans="1:22" x14ac:dyDescent="0.2">
      <c r="A107" s="10" t="s">
        <v>18</v>
      </c>
      <c r="B107" s="10"/>
      <c r="E107" s="11">
        <v>156018514</v>
      </c>
      <c r="F107" s="12" t="e">
        <f>E107-L116</f>
        <v>#REF!</v>
      </c>
      <c r="G107" s="121"/>
      <c r="H107" s="12"/>
      <c r="I107" s="12"/>
      <c r="J107" s="12"/>
      <c r="K107" s="12"/>
      <c r="L107" s="41"/>
      <c r="M107" s="56"/>
      <c r="N107" s="56"/>
      <c r="O107" s="41"/>
      <c r="U107" s="47"/>
      <c r="V107" s="8"/>
    </row>
    <row r="108" spans="1:22" s="108" customFormat="1" x14ac:dyDescent="0.2">
      <c r="A108" s="109"/>
      <c r="B108" s="109"/>
      <c r="C108" s="108" t="s">
        <v>22</v>
      </c>
      <c r="D108" s="108" t="s">
        <v>137</v>
      </c>
      <c r="E108" s="108" t="s">
        <v>23</v>
      </c>
      <c r="F108" s="108" t="s">
        <v>4</v>
      </c>
      <c r="G108" s="108" t="s">
        <v>40</v>
      </c>
      <c r="H108" s="108" t="s">
        <v>0</v>
      </c>
      <c r="I108" s="108" t="s">
        <v>24</v>
      </c>
      <c r="J108" s="108" t="s">
        <v>5</v>
      </c>
      <c r="K108" s="108" t="s">
        <v>1</v>
      </c>
      <c r="L108" s="110" t="s">
        <v>138</v>
      </c>
      <c r="M108" s="110" t="s">
        <v>139</v>
      </c>
      <c r="N108" s="110" t="s">
        <v>140</v>
      </c>
      <c r="O108" s="110" t="s">
        <v>39</v>
      </c>
      <c r="P108" s="111" t="s">
        <v>36</v>
      </c>
      <c r="Q108" s="108" t="s">
        <v>146</v>
      </c>
      <c r="R108" s="108" t="s">
        <v>130</v>
      </c>
      <c r="S108" s="108" t="s">
        <v>141</v>
      </c>
      <c r="T108" s="108" t="s">
        <v>142</v>
      </c>
      <c r="U108" s="112"/>
      <c r="V108" s="8"/>
    </row>
    <row r="109" spans="1:22" x14ac:dyDescent="0.2">
      <c r="B109" s="7">
        <v>1</v>
      </c>
      <c r="C109" t="s">
        <v>221</v>
      </c>
      <c r="D109" s="38" t="e">
        <f t="shared" ref="D109:D115" si="45">VLOOKUP(C109,Round2,15,FALSE)</f>
        <v>#REF!</v>
      </c>
      <c r="E109" s="38" t="e">
        <f t="shared" ref="E109:E115" si="46">VLOOKUP(C109,Round2,2,FALSE)</f>
        <v>#REF!</v>
      </c>
      <c r="F109" s="38" t="e">
        <f t="shared" ref="F109:F115" si="47">VLOOKUP(C109,Round2,14,FALSE)</f>
        <v>#REF!</v>
      </c>
      <c r="G109" s="38" t="e">
        <f t="shared" ref="G109:G115" si="48">VLOOKUP(C109,Round2,12,FALSE)</f>
        <v>#REF!</v>
      </c>
      <c r="H109" s="38" t="e">
        <f t="shared" ref="H109:H115" si="49">VLOOKUP(C109,Round2,26,FALSE)</f>
        <v>#REF!</v>
      </c>
      <c r="I109" s="38" t="e">
        <f t="shared" ref="I109:I115" si="50">VLOOKUP(C109,Round2,30,FALSE)</f>
        <v>#REF!</v>
      </c>
      <c r="J109" s="38" t="e">
        <f t="shared" ref="J109:J115" si="51">VLOOKUP(C109,Round2,31,FALSE)</f>
        <v>#REF!</v>
      </c>
      <c r="K109" s="38" t="e">
        <f t="shared" ref="K109:K115" si="52">VLOOKUP(C109,Round2,9,FALSE)</f>
        <v>#REF!</v>
      </c>
      <c r="L109" s="101" t="e">
        <f t="shared" ref="L109:L115" si="53">VLOOKUP(C109,Round2,3,FALSE)</f>
        <v>#REF!</v>
      </c>
      <c r="M109" s="101"/>
      <c r="N109" s="101"/>
      <c r="O109" s="101" t="e">
        <f t="shared" ref="O109:O114" si="54">L109+M109+N109</f>
        <v>#REF!</v>
      </c>
      <c r="P109" s="75" t="e">
        <f t="shared" ref="P109:P115" si="55">VLOOKUP(C109,Round2,4,FALSE)</f>
        <v>#REF!</v>
      </c>
      <c r="Q109" s="129" t="e">
        <f t="shared" ref="Q109:Q115" si="56">VLOOKUP(C109,Round2,5,FALSE)</f>
        <v>#REF!</v>
      </c>
      <c r="R109" s="65" t="e">
        <f t="shared" ref="R109:R115" si="57">VLOOKUP(C109,Round2,10,FALSE)</f>
        <v>#REF!</v>
      </c>
      <c r="S109" s="101" t="e">
        <f t="shared" ref="S109:S115" si="58">VLOOKUP(C109,Round2,19,FALSE)</f>
        <v>#REF!</v>
      </c>
      <c r="T109" s="101" t="e">
        <f t="shared" ref="T109:T115" si="59">VLOOKUP(C109,Round2,18,FALSE)</f>
        <v>#REF!</v>
      </c>
      <c r="U109" s="50"/>
      <c r="V109" s="50"/>
    </row>
    <row r="110" spans="1:22" x14ac:dyDescent="0.2">
      <c r="B110" s="7">
        <v>1</v>
      </c>
      <c r="C110" t="s">
        <v>220</v>
      </c>
      <c r="D110" s="38" t="e">
        <f t="shared" si="45"/>
        <v>#REF!</v>
      </c>
      <c r="E110" s="38" t="e">
        <f t="shared" si="46"/>
        <v>#REF!</v>
      </c>
      <c r="F110" s="38" t="e">
        <f t="shared" si="47"/>
        <v>#REF!</v>
      </c>
      <c r="G110" s="38" t="e">
        <f t="shared" si="48"/>
        <v>#REF!</v>
      </c>
      <c r="H110" s="38" t="e">
        <f t="shared" si="49"/>
        <v>#REF!</v>
      </c>
      <c r="I110" s="38" t="e">
        <f t="shared" si="50"/>
        <v>#REF!</v>
      </c>
      <c r="J110" s="38" t="e">
        <f t="shared" si="51"/>
        <v>#REF!</v>
      </c>
      <c r="K110" s="38" t="e">
        <f t="shared" si="52"/>
        <v>#REF!</v>
      </c>
      <c r="L110" s="101" t="e">
        <f t="shared" si="53"/>
        <v>#REF!</v>
      </c>
      <c r="M110" s="101"/>
      <c r="N110" s="101"/>
      <c r="O110" s="101" t="e">
        <f t="shared" si="54"/>
        <v>#REF!</v>
      </c>
      <c r="P110" s="75" t="e">
        <f t="shared" si="55"/>
        <v>#REF!</v>
      </c>
      <c r="Q110" s="129" t="e">
        <f t="shared" si="56"/>
        <v>#REF!</v>
      </c>
      <c r="R110" s="65" t="e">
        <f t="shared" si="57"/>
        <v>#REF!</v>
      </c>
      <c r="S110" s="101" t="e">
        <f t="shared" si="58"/>
        <v>#REF!</v>
      </c>
      <c r="T110" s="101" t="e">
        <f t="shared" si="59"/>
        <v>#REF!</v>
      </c>
      <c r="U110" s="50"/>
      <c r="V110" s="50"/>
    </row>
    <row r="111" spans="1:22" x14ac:dyDescent="0.2">
      <c r="B111" s="7">
        <v>1</v>
      </c>
      <c r="C111" t="s">
        <v>238</v>
      </c>
      <c r="D111" s="38" t="e">
        <f t="shared" si="45"/>
        <v>#REF!</v>
      </c>
      <c r="E111" s="38" t="e">
        <f t="shared" si="46"/>
        <v>#REF!</v>
      </c>
      <c r="F111" s="38" t="e">
        <f t="shared" si="47"/>
        <v>#REF!</v>
      </c>
      <c r="G111" s="38" t="e">
        <f t="shared" si="48"/>
        <v>#REF!</v>
      </c>
      <c r="H111" s="38" t="e">
        <f t="shared" si="49"/>
        <v>#REF!</v>
      </c>
      <c r="I111" s="38" t="e">
        <f t="shared" si="50"/>
        <v>#REF!</v>
      </c>
      <c r="J111" s="38" t="e">
        <f t="shared" si="51"/>
        <v>#REF!</v>
      </c>
      <c r="K111" s="38" t="e">
        <f t="shared" si="52"/>
        <v>#REF!</v>
      </c>
      <c r="L111" s="101" t="e">
        <f t="shared" si="53"/>
        <v>#REF!</v>
      </c>
      <c r="M111" s="101"/>
      <c r="N111" s="101"/>
      <c r="O111" s="101" t="e">
        <f t="shared" si="54"/>
        <v>#REF!</v>
      </c>
      <c r="P111" s="75" t="e">
        <f t="shared" si="55"/>
        <v>#REF!</v>
      </c>
      <c r="Q111" s="129" t="e">
        <f t="shared" si="56"/>
        <v>#REF!</v>
      </c>
      <c r="R111" s="65" t="e">
        <f t="shared" si="57"/>
        <v>#REF!</v>
      </c>
      <c r="S111" s="101" t="e">
        <f t="shared" si="58"/>
        <v>#REF!</v>
      </c>
      <c r="T111" s="101" t="e">
        <f t="shared" si="59"/>
        <v>#REF!</v>
      </c>
      <c r="U111" s="50"/>
      <c r="V111" s="50"/>
    </row>
    <row r="112" spans="1:22" x14ac:dyDescent="0.2">
      <c r="B112" s="7">
        <v>1</v>
      </c>
      <c r="C112" t="s">
        <v>207</v>
      </c>
      <c r="D112" s="38" t="e">
        <f t="shared" si="45"/>
        <v>#REF!</v>
      </c>
      <c r="E112" s="38" t="e">
        <f t="shared" si="46"/>
        <v>#REF!</v>
      </c>
      <c r="F112" s="38" t="e">
        <f t="shared" si="47"/>
        <v>#REF!</v>
      </c>
      <c r="G112" s="38" t="e">
        <f t="shared" si="48"/>
        <v>#REF!</v>
      </c>
      <c r="H112" s="38" t="e">
        <f t="shared" si="49"/>
        <v>#REF!</v>
      </c>
      <c r="I112" s="38" t="e">
        <f t="shared" si="50"/>
        <v>#REF!</v>
      </c>
      <c r="J112" s="38" t="e">
        <f t="shared" si="51"/>
        <v>#REF!</v>
      </c>
      <c r="K112" s="38" t="e">
        <f t="shared" si="52"/>
        <v>#REF!</v>
      </c>
      <c r="L112" s="101" t="e">
        <f t="shared" si="53"/>
        <v>#REF!</v>
      </c>
      <c r="M112" s="101"/>
      <c r="N112" s="101"/>
      <c r="O112" s="101" t="e">
        <f t="shared" si="54"/>
        <v>#REF!</v>
      </c>
      <c r="P112" s="75" t="e">
        <f t="shared" si="55"/>
        <v>#REF!</v>
      </c>
      <c r="Q112" s="129" t="e">
        <f t="shared" si="56"/>
        <v>#REF!</v>
      </c>
      <c r="R112" s="65" t="e">
        <f t="shared" si="57"/>
        <v>#REF!</v>
      </c>
      <c r="S112" s="101" t="e">
        <f t="shared" si="58"/>
        <v>#REF!</v>
      </c>
      <c r="T112" s="101" t="e">
        <f t="shared" si="59"/>
        <v>#REF!</v>
      </c>
      <c r="U112" s="50"/>
      <c r="V112" s="50"/>
    </row>
    <row r="113" spans="1:22" x14ac:dyDescent="0.2">
      <c r="B113" s="7">
        <v>1</v>
      </c>
      <c r="C113" t="s">
        <v>175</v>
      </c>
      <c r="D113" s="38" t="e">
        <f t="shared" si="45"/>
        <v>#REF!</v>
      </c>
      <c r="E113" s="38" t="e">
        <f t="shared" si="46"/>
        <v>#REF!</v>
      </c>
      <c r="F113" s="38" t="e">
        <f t="shared" si="47"/>
        <v>#REF!</v>
      </c>
      <c r="G113" s="38" t="e">
        <f t="shared" si="48"/>
        <v>#REF!</v>
      </c>
      <c r="H113" s="38" t="e">
        <f t="shared" si="49"/>
        <v>#REF!</v>
      </c>
      <c r="I113" s="38" t="e">
        <f t="shared" si="50"/>
        <v>#REF!</v>
      </c>
      <c r="J113" s="38" t="e">
        <f t="shared" si="51"/>
        <v>#REF!</v>
      </c>
      <c r="K113" s="38" t="e">
        <f t="shared" si="52"/>
        <v>#REF!</v>
      </c>
      <c r="L113" s="101" t="e">
        <f t="shared" si="53"/>
        <v>#REF!</v>
      </c>
      <c r="M113" s="101"/>
      <c r="N113" s="101"/>
      <c r="O113" s="101" t="e">
        <f t="shared" si="54"/>
        <v>#REF!</v>
      </c>
      <c r="P113" s="75" t="e">
        <f t="shared" si="55"/>
        <v>#REF!</v>
      </c>
      <c r="Q113" s="129" t="e">
        <f t="shared" si="56"/>
        <v>#REF!</v>
      </c>
      <c r="R113" s="65" t="e">
        <f t="shared" si="57"/>
        <v>#REF!</v>
      </c>
      <c r="S113" s="101" t="e">
        <f t="shared" si="58"/>
        <v>#REF!</v>
      </c>
      <c r="T113" s="101" t="e">
        <f t="shared" si="59"/>
        <v>#REF!</v>
      </c>
      <c r="U113" s="50"/>
      <c r="V113" s="50"/>
    </row>
    <row r="114" spans="1:22" x14ac:dyDescent="0.2">
      <c r="B114" s="7">
        <v>1</v>
      </c>
      <c r="C114" t="s">
        <v>196</v>
      </c>
      <c r="D114" s="38" t="e">
        <f t="shared" si="45"/>
        <v>#REF!</v>
      </c>
      <c r="E114" s="38" t="e">
        <f t="shared" si="46"/>
        <v>#REF!</v>
      </c>
      <c r="F114" s="38" t="e">
        <f t="shared" si="47"/>
        <v>#REF!</v>
      </c>
      <c r="G114" s="38" t="e">
        <f t="shared" si="48"/>
        <v>#REF!</v>
      </c>
      <c r="H114" s="38" t="e">
        <f t="shared" si="49"/>
        <v>#REF!</v>
      </c>
      <c r="I114" s="38" t="e">
        <f t="shared" si="50"/>
        <v>#REF!</v>
      </c>
      <c r="J114" s="38" t="e">
        <f t="shared" si="51"/>
        <v>#REF!</v>
      </c>
      <c r="K114" s="38" t="e">
        <f t="shared" si="52"/>
        <v>#REF!</v>
      </c>
      <c r="L114" s="101" t="e">
        <f t="shared" si="53"/>
        <v>#REF!</v>
      </c>
      <c r="M114" s="101"/>
      <c r="N114" s="101"/>
      <c r="O114" s="101" t="e">
        <f t="shared" si="54"/>
        <v>#REF!</v>
      </c>
      <c r="P114" s="75" t="e">
        <f t="shared" si="55"/>
        <v>#REF!</v>
      </c>
      <c r="Q114" s="129" t="e">
        <f t="shared" si="56"/>
        <v>#REF!</v>
      </c>
      <c r="R114" s="65" t="e">
        <f t="shared" si="57"/>
        <v>#REF!</v>
      </c>
      <c r="S114" s="101" t="e">
        <f t="shared" si="58"/>
        <v>#REF!</v>
      </c>
      <c r="T114" s="101" t="e">
        <f t="shared" si="59"/>
        <v>#REF!</v>
      </c>
      <c r="U114" s="50"/>
      <c r="V114" s="50"/>
    </row>
    <row r="115" spans="1:22" x14ac:dyDescent="0.2">
      <c r="B115" s="7">
        <v>1</v>
      </c>
      <c r="C115" t="s">
        <v>199</v>
      </c>
      <c r="D115" s="38" t="e">
        <f t="shared" si="45"/>
        <v>#REF!</v>
      </c>
      <c r="E115" s="38" t="e">
        <f t="shared" si="46"/>
        <v>#REF!</v>
      </c>
      <c r="F115" s="38" t="e">
        <f t="shared" si="47"/>
        <v>#REF!</v>
      </c>
      <c r="G115" s="38" t="e">
        <f t="shared" si="48"/>
        <v>#REF!</v>
      </c>
      <c r="H115" s="38" t="e">
        <f t="shared" si="49"/>
        <v>#REF!</v>
      </c>
      <c r="I115" s="38" t="e">
        <f t="shared" si="50"/>
        <v>#REF!</v>
      </c>
      <c r="J115" s="38" t="e">
        <f t="shared" si="51"/>
        <v>#REF!</v>
      </c>
      <c r="K115" s="38" t="e">
        <f t="shared" si="52"/>
        <v>#REF!</v>
      </c>
      <c r="L115" s="101" t="e">
        <f t="shared" si="53"/>
        <v>#REF!</v>
      </c>
      <c r="M115" s="101"/>
      <c r="N115" s="101"/>
      <c r="O115" s="101" t="e">
        <f>L115+M115+N115</f>
        <v>#REF!</v>
      </c>
      <c r="P115" s="75" t="e">
        <f t="shared" si="55"/>
        <v>#REF!</v>
      </c>
      <c r="Q115" s="129" t="e">
        <f t="shared" si="56"/>
        <v>#REF!</v>
      </c>
      <c r="R115" s="65" t="e">
        <f t="shared" si="57"/>
        <v>#REF!</v>
      </c>
      <c r="S115" s="101" t="e">
        <f t="shared" si="58"/>
        <v>#REF!</v>
      </c>
      <c r="T115" s="101" t="e">
        <f t="shared" si="59"/>
        <v>#REF!</v>
      </c>
      <c r="U115" s="50"/>
      <c r="V115" s="50"/>
    </row>
    <row r="116" spans="1:22" x14ac:dyDescent="0.2">
      <c r="L116" s="44" t="e">
        <f>SUM(L109:L115)</f>
        <v>#REF!</v>
      </c>
      <c r="O116" s="44" t="e">
        <f>SUM(#REF!)</f>
        <v>#REF!</v>
      </c>
      <c r="S116" s="124"/>
      <c r="U116" s="47"/>
      <c r="V116" s="8"/>
    </row>
    <row r="117" spans="1:22" x14ac:dyDescent="0.2">
      <c r="A117" s="18"/>
      <c r="B117" s="18"/>
      <c r="C117" s="19"/>
      <c r="D117" s="19"/>
      <c r="E117" s="18"/>
      <c r="F117" s="19"/>
      <c r="G117" s="19"/>
      <c r="H117" s="19"/>
      <c r="I117" s="19"/>
      <c r="J117" s="19"/>
      <c r="K117" s="19"/>
      <c r="L117" s="53"/>
      <c r="M117" s="57"/>
      <c r="N117" s="57"/>
      <c r="O117" s="53"/>
      <c r="P117" s="79"/>
      <c r="Q117" s="20"/>
      <c r="R117" s="20"/>
      <c r="S117" s="94"/>
      <c r="T117" s="94"/>
      <c r="U117" s="47"/>
      <c r="V117" s="8"/>
    </row>
    <row r="118" spans="1:22" x14ac:dyDescent="0.2">
      <c r="E118" s="7" t="s">
        <v>2</v>
      </c>
      <c r="F118" s="12" t="s">
        <v>145</v>
      </c>
      <c r="G118" s="12"/>
      <c r="H118" s="12"/>
      <c r="I118" s="12"/>
      <c r="J118" s="12"/>
      <c r="K118" s="12"/>
    </row>
    <row r="119" spans="1:22" x14ac:dyDescent="0.2">
      <c r="A119" s="10" t="s">
        <v>10</v>
      </c>
      <c r="B119" s="10"/>
      <c r="E119" s="11">
        <v>142946478</v>
      </c>
      <c r="F119" s="12" t="e">
        <f>E119-L125</f>
        <v>#REF!</v>
      </c>
      <c r="G119" s="121"/>
      <c r="H119" s="12"/>
      <c r="I119" s="12"/>
      <c r="J119" s="12"/>
      <c r="K119" s="12"/>
      <c r="L119" s="41"/>
      <c r="M119" s="56"/>
      <c r="N119" s="56"/>
      <c r="O119" s="41"/>
      <c r="U119" s="47"/>
      <c r="V119" s="47"/>
    </row>
    <row r="120" spans="1:22" s="108" customFormat="1" x14ac:dyDescent="0.2">
      <c r="A120" s="109"/>
      <c r="B120" s="109"/>
      <c r="C120" s="108" t="s">
        <v>22</v>
      </c>
      <c r="D120" s="108" t="s">
        <v>137</v>
      </c>
      <c r="E120" s="108" t="s">
        <v>23</v>
      </c>
      <c r="F120" s="108" t="s">
        <v>4</v>
      </c>
      <c r="G120" s="108" t="s">
        <v>40</v>
      </c>
      <c r="H120" s="108" t="s">
        <v>0</v>
      </c>
      <c r="I120" s="108" t="s">
        <v>24</v>
      </c>
      <c r="J120" s="108" t="s">
        <v>5</v>
      </c>
      <c r="K120" s="108" t="s">
        <v>1</v>
      </c>
      <c r="L120" s="110" t="s">
        <v>138</v>
      </c>
      <c r="M120" s="110" t="s">
        <v>139</v>
      </c>
      <c r="N120" s="110" t="s">
        <v>140</v>
      </c>
      <c r="O120" s="110" t="s">
        <v>39</v>
      </c>
      <c r="P120" s="111" t="s">
        <v>36</v>
      </c>
      <c r="Q120" s="108" t="s">
        <v>146</v>
      </c>
      <c r="R120" s="108" t="s">
        <v>130</v>
      </c>
      <c r="S120" s="108" t="s">
        <v>141</v>
      </c>
      <c r="T120" s="108" t="s">
        <v>142</v>
      </c>
      <c r="U120" s="112"/>
      <c r="V120" s="112"/>
    </row>
    <row r="121" spans="1:22" x14ac:dyDescent="0.2">
      <c r="B121" s="7">
        <v>1</v>
      </c>
      <c r="C121" t="s">
        <v>218</v>
      </c>
      <c r="D121" s="38" t="e">
        <f>VLOOKUP(C121,Round2,15,FALSE)</f>
        <v>#REF!</v>
      </c>
      <c r="E121" s="38" t="e">
        <f>VLOOKUP(C121,Round2,2,FALSE)</f>
        <v>#REF!</v>
      </c>
      <c r="F121" s="38" t="e">
        <f>VLOOKUP(C121,Round2,14,FALSE)</f>
        <v>#REF!</v>
      </c>
      <c r="G121" s="38" t="e">
        <f>VLOOKUP(C121,Round2,12,FALSE)</f>
        <v>#REF!</v>
      </c>
      <c r="H121" s="38" t="e">
        <f>VLOOKUP(C121,Round2,26,FALSE)</f>
        <v>#REF!</v>
      </c>
      <c r="I121" s="38" t="e">
        <f>VLOOKUP(C121,Round2,30,FALSE)</f>
        <v>#REF!</v>
      </c>
      <c r="J121" s="38" t="e">
        <f>VLOOKUP(C121,Round2,31,FALSE)</f>
        <v>#REF!</v>
      </c>
      <c r="K121" s="38" t="e">
        <f>VLOOKUP(C121,Round2,9,FALSE)</f>
        <v>#REF!</v>
      </c>
      <c r="L121" s="101" t="e">
        <f>VLOOKUP(C121,Round2,3,FALSE)</f>
        <v>#REF!</v>
      </c>
      <c r="M121" s="101"/>
      <c r="N121" s="101"/>
      <c r="O121" s="101" t="e">
        <f>L121+M121+N121</f>
        <v>#REF!</v>
      </c>
      <c r="P121" s="75" t="e">
        <f>VLOOKUP(C121,Round2,4,FALSE)</f>
        <v>#REF!</v>
      </c>
      <c r="Q121" s="129" t="e">
        <f>VLOOKUP(C121,Round2,5,FALSE)</f>
        <v>#REF!</v>
      </c>
      <c r="R121" s="65" t="e">
        <f>VLOOKUP(C121,Round2,10,FALSE)</f>
        <v>#REF!</v>
      </c>
      <c r="S121" s="101" t="e">
        <f>VLOOKUP(C121,Round2,19,FALSE)</f>
        <v>#REF!</v>
      </c>
      <c r="T121" s="101" t="e">
        <f>VLOOKUP(C121,Round2,18,FALSE)</f>
        <v>#REF!</v>
      </c>
      <c r="U121" s="50"/>
      <c r="V121" s="50"/>
    </row>
    <row r="122" spans="1:22" x14ac:dyDescent="0.2">
      <c r="B122" s="7">
        <v>1</v>
      </c>
      <c r="C122" t="s">
        <v>209</v>
      </c>
      <c r="D122" s="38" t="e">
        <f>VLOOKUP(C122,Round2,15,FALSE)</f>
        <v>#REF!</v>
      </c>
      <c r="E122" s="38" t="e">
        <f>VLOOKUP(C122,Round2,2,FALSE)</f>
        <v>#REF!</v>
      </c>
      <c r="F122" s="38" t="e">
        <f>VLOOKUP(C122,Round2,14,FALSE)</f>
        <v>#REF!</v>
      </c>
      <c r="G122" s="38" t="e">
        <f>VLOOKUP(C122,Round2,12,FALSE)</f>
        <v>#REF!</v>
      </c>
      <c r="H122" s="38" t="e">
        <f>VLOOKUP(C122,Round2,26,FALSE)</f>
        <v>#REF!</v>
      </c>
      <c r="I122" s="38" t="e">
        <f>VLOOKUP(C122,Round2,30,FALSE)</f>
        <v>#REF!</v>
      </c>
      <c r="J122" s="38" t="e">
        <f>VLOOKUP(C122,Round2,31,FALSE)</f>
        <v>#REF!</v>
      </c>
      <c r="K122" s="38" t="e">
        <f>VLOOKUP(C122,Round2,9,FALSE)</f>
        <v>#REF!</v>
      </c>
      <c r="L122" s="101" t="e">
        <f>VLOOKUP(C122,Round2,3,FALSE)</f>
        <v>#REF!</v>
      </c>
      <c r="M122" s="101"/>
      <c r="N122" s="101"/>
      <c r="O122" s="101" t="e">
        <f>L122+M122+N122</f>
        <v>#REF!</v>
      </c>
      <c r="P122" s="75" t="e">
        <f>VLOOKUP(C122,Round2,4,FALSE)</f>
        <v>#REF!</v>
      </c>
      <c r="Q122" s="129" t="e">
        <f>VLOOKUP(C122,Round2,5,FALSE)</f>
        <v>#REF!</v>
      </c>
      <c r="R122" s="65" t="e">
        <f>VLOOKUP(C122,Round2,10,FALSE)</f>
        <v>#REF!</v>
      </c>
      <c r="S122" s="101" t="e">
        <f>VLOOKUP(C122,Round2,19,FALSE)</f>
        <v>#REF!</v>
      </c>
      <c r="T122" s="101" t="e">
        <f>VLOOKUP(C122,Round2,18,FALSE)</f>
        <v>#REF!</v>
      </c>
      <c r="U122" s="50"/>
      <c r="V122" s="50"/>
    </row>
    <row r="123" spans="1:22" x14ac:dyDescent="0.2">
      <c r="B123" s="7">
        <v>1</v>
      </c>
      <c r="C123" t="s">
        <v>233</v>
      </c>
      <c r="D123" s="38" t="e">
        <f>VLOOKUP(C123,Round2,15,FALSE)</f>
        <v>#REF!</v>
      </c>
      <c r="E123" s="38" t="e">
        <f>VLOOKUP(C123,Round2,2,FALSE)</f>
        <v>#REF!</v>
      </c>
      <c r="F123" s="38" t="e">
        <f>VLOOKUP(C123,Round2,14,FALSE)</f>
        <v>#REF!</v>
      </c>
      <c r="G123" s="38" t="e">
        <f>VLOOKUP(C123,Round2,12,FALSE)</f>
        <v>#REF!</v>
      </c>
      <c r="H123" s="38" t="e">
        <f>VLOOKUP(C123,Round2,26,FALSE)</f>
        <v>#REF!</v>
      </c>
      <c r="I123" s="38" t="e">
        <f>VLOOKUP(C123,Round2,30,FALSE)</f>
        <v>#REF!</v>
      </c>
      <c r="J123" s="38" t="e">
        <f>VLOOKUP(C123,Round2,31,FALSE)</f>
        <v>#REF!</v>
      </c>
      <c r="K123" s="38" t="e">
        <f>VLOOKUP(C123,Round2,9,FALSE)</f>
        <v>#REF!</v>
      </c>
      <c r="L123" s="101" t="e">
        <f>VLOOKUP(C123,Round2,3,FALSE)</f>
        <v>#REF!</v>
      </c>
      <c r="M123" s="101"/>
      <c r="N123" s="101"/>
      <c r="O123" s="101" t="e">
        <f>L123+M123+N123</f>
        <v>#REF!</v>
      </c>
      <c r="P123" s="75" t="e">
        <f>VLOOKUP(C123,Round2,4,FALSE)</f>
        <v>#REF!</v>
      </c>
      <c r="Q123" s="129" t="e">
        <f>VLOOKUP(C123,Round2,5,FALSE)</f>
        <v>#REF!</v>
      </c>
      <c r="R123" s="65" t="e">
        <f>VLOOKUP(C123,Round2,10,FALSE)</f>
        <v>#REF!</v>
      </c>
      <c r="S123" s="101" t="e">
        <f>VLOOKUP(C123,Round2,19,FALSE)</f>
        <v>#REF!</v>
      </c>
      <c r="T123" s="101" t="e">
        <f>VLOOKUP(C123,Round2,18,FALSE)</f>
        <v>#REF!</v>
      </c>
      <c r="U123" s="50"/>
      <c r="V123" s="50"/>
    </row>
    <row r="124" spans="1:22" x14ac:dyDescent="0.2">
      <c r="B124" s="7">
        <v>1</v>
      </c>
      <c r="C124" t="s">
        <v>171</v>
      </c>
      <c r="D124" s="38" t="e">
        <f>VLOOKUP(C124,Round2,15,FALSE)</f>
        <v>#REF!</v>
      </c>
      <c r="E124" s="38" t="e">
        <f>VLOOKUP(C124,Round2,2,FALSE)</f>
        <v>#REF!</v>
      </c>
      <c r="F124" s="38" t="e">
        <f>VLOOKUP(C124,Round2,14,FALSE)</f>
        <v>#REF!</v>
      </c>
      <c r="G124" s="38" t="e">
        <f>VLOOKUP(C124,Round2,12,FALSE)</f>
        <v>#REF!</v>
      </c>
      <c r="H124" s="38" t="e">
        <f>VLOOKUP(C124,Round2,26,FALSE)</f>
        <v>#REF!</v>
      </c>
      <c r="I124" s="38" t="e">
        <f>VLOOKUP(C124,Round2,30,FALSE)</f>
        <v>#REF!</v>
      </c>
      <c r="J124" s="38" t="e">
        <f>VLOOKUP(C124,Round2,31,FALSE)</f>
        <v>#REF!</v>
      </c>
      <c r="K124" s="38" t="e">
        <f>VLOOKUP(C124,Round2,9,FALSE)</f>
        <v>#REF!</v>
      </c>
      <c r="L124" s="101" t="e">
        <f>VLOOKUP(C124,Round2,3,FALSE)</f>
        <v>#REF!</v>
      </c>
      <c r="M124" s="101"/>
      <c r="N124" s="101"/>
      <c r="O124" s="101" t="e">
        <f>L124+M124+N124</f>
        <v>#REF!</v>
      </c>
      <c r="P124" s="75" t="e">
        <f>VLOOKUP(C124,Round2,4,FALSE)</f>
        <v>#REF!</v>
      </c>
      <c r="Q124" s="129" t="e">
        <f>VLOOKUP(C124,Round2,5,FALSE)</f>
        <v>#REF!</v>
      </c>
      <c r="R124" s="65" t="e">
        <f>VLOOKUP(C124,Round2,10,FALSE)</f>
        <v>#REF!</v>
      </c>
      <c r="S124" s="101" t="e">
        <f>VLOOKUP(C124,Round2,19,FALSE)</f>
        <v>#REF!</v>
      </c>
      <c r="T124" s="101" t="e">
        <f>VLOOKUP(C124,Round2,18,FALSE)</f>
        <v>#REF!</v>
      </c>
      <c r="U124" s="50"/>
      <c r="V124" s="50"/>
    </row>
    <row r="125" spans="1:22" x14ac:dyDescent="0.2">
      <c r="L125" s="44" t="e">
        <f>SUM(L121:L124)</f>
        <v>#REF!</v>
      </c>
      <c r="O125" s="44" t="e">
        <f>SUM(O121:O121)</f>
        <v>#REF!</v>
      </c>
      <c r="S125" s="124"/>
    </row>
    <row r="126" spans="1:22" s="4" customFormat="1" x14ac:dyDescent="0.2">
      <c r="A126" s="1" t="s">
        <v>243</v>
      </c>
      <c r="B126" s="3"/>
      <c r="D126" s="3"/>
      <c r="E126" s="3"/>
      <c r="F126" s="3"/>
      <c r="G126" s="3"/>
      <c r="H126" s="3"/>
      <c r="I126" s="52"/>
      <c r="J126" s="55"/>
      <c r="K126" s="55"/>
      <c r="L126" s="52"/>
      <c r="M126" s="5"/>
      <c r="N126" s="5"/>
      <c r="O126" s="5"/>
      <c r="P126" s="5"/>
      <c r="Q126" s="48"/>
    </row>
    <row r="127" spans="1:22" x14ac:dyDescent="0.2">
      <c r="B127" s="8"/>
      <c r="C127" s="7"/>
      <c r="E127" s="7" t="s">
        <v>2</v>
      </c>
      <c r="F127" s="12" t="s">
        <v>145</v>
      </c>
      <c r="I127" s="44"/>
      <c r="J127" s="26"/>
      <c r="K127" s="26"/>
      <c r="M127" s="9"/>
      <c r="N127" s="9"/>
      <c r="O127" s="9"/>
      <c r="P127" s="9"/>
      <c r="Q127" s="6"/>
      <c r="R127" s="7"/>
      <c r="S127" s="7"/>
      <c r="T127" s="7"/>
      <c r="U127" s="7"/>
      <c r="V127" s="7"/>
    </row>
    <row r="128" spans="1:22" x14ac:dyDescent="0.2">
      <c r="A128" s="10" t="s">
        <v>244</v>
      </c>
      <c r="B128" s="8"/>
      <c r="C128" s="123"/>
      <c r="D128" s="12"/>
      <c r="E128" s="11" t="e">
        <f>F119+F107+F87+F97+F68+F76+F52+F37+F28+F21+F11+F4</f>
        <v>#REF!</v>
      </c>
      <c r="F128" s="12" t="e">
        <f>E128-L135</f>
        <v>#REF!</v>
      </c>
      <c r="G128" s="12"/>
      <c r="H128" s="12"/>
      <c r="I128" s="41"/>
      <c r="J128" s="56"/>
      <c r="K128" s="56"/>
      <c r="L128" s="41"/>
      <c r="M128" s="9"/>
      <c r="N128" s="9"/>
      <c r="O128" s="9"/>
      <c r="P128" s="9"/>
      <c r="Q128" s="47"/>
      <c r="R128" s="7"/>
      <c r="S128" s="7"/>
      <c r="T128" s="7"/>
      <c r="U128" s="7"/>
      <c r="V128" s="7"/>
    </row>
    <row r="129" spans="2:22" x14ac:dyDescent="0.2">
      <c r="B129" s="7">
        <v>1</v>
      </c>
      <c r="C129" t="s">
        <v>170</v>
      </c>
      <c r="D129" s="38" t="e">
        <f t="shared" ref="D129:D134" si="60">VLOOKUP(C129,Round2,15,FALSE)</f>
        <v>#REF!</v>
      </c>
      <c r="E129" s="130" t="e">
        <f t="shared" ref="E129:E134" si="61">VLOOKUP(C129,Round2,2,FALSE)</f>
        <v>#REF!</v>
      </c>
      <c r="F129" s="38" t="e">
        <f t="shared" ref="F129:F134" si="62">VLOOKUP(C129,Round2,14,FALSE)</f>
        <v>#REF!</v>
      </c>
      <c r="G129" s="38" t="e">
        <f t="shared" ref="G129:G134" si="63">VLOOKUP(C129,Round2,12,FALSE)</f>
        <v>#REF!</v>
      </c>
      <c r="H129" s="38" t="e">
        <f t="shared" ref="H129:H134" si="64">VLOOKUP(C129,Round2,26,FALSE)</f>
        <v>#REF!</v>
      </c>
      <c r="I129" s="38" t="e">
        <f t="shared" ref="I129:I134" si="65">VLOOKUP(C129,Round2,30,FALSE)</f>
        <v>#REF!</v>
      </c>
      <c r="J129" s="38" t="e">
        <f t="shared" ref="J129:J134" si="66">VLOOKUP(C129,Round2,31,FALSE)</f>
        <v>#REF!</v>
      </c>
      <c r="K129" s="38" t="e">
        <f t="shared" ref="K129:K134" si="67">VLOOKUP(C129,Round2,9,FALSE)</f>
        <v>#REF!</v>
      </c>
      <c r="L129" s="101" t="e">
        <f t="shared" ref="L129:L134" si="68">VLOOKUP(C129,Round2,3,FALSE)</f>
        <v>#REF!</v>
      </c>
      <c r="M129" s="101"/>
      <c r="N129" s="101"/>
      <c r="O129" s="101" t="e">
        <f t="shared" ref="O129:O135" si="69">L129+M129+N129</f>
        <v>#REF!</v>
      </c>
      <c r="P129" s="75" t="e">
        <f t="shared" ref="P129:P134" si="70">VLOOKUP(C129,Round2,4,FALSE)</f>
        <v>#REF!</v>
      </c>
      <c r="Q129" s="129" t="e">
        <f t="shared" ref="Q129:Q134" si="71">VLOOKUP(C129,Round2,5,FALSE)</f>
        <v>#REF!</v>
      </c>
      <c r="R129" s="65" t="e">
        <f t="shared" ref="R129:R134" si="72">VLOOKUP(C129,Round2,10,FALSE)</f>
        <v>#REF!</v>
      </c>
      <c r="S129" s="101" t="e">
        <f t="shared" ref="S129:S134" si="73">VLOOKUP(C129,Round2,19,FALSE)</f>
        <v>#REF!</v>
      </c>
      <c r="T129" s="101" t="e">
        <f t="shared" ref="T129:T134" si="74">VLOOKUP(C129,Round2,18,FALSE)</f>
        <v>#REF!</v>
      </c>
      <c r="U129" s="50"/>
      <c r="V129" s="50"/>
    </row>
    <row r="130" spans="2:22" x14ac:dyDescent="0.2">
      <c r="B130" s="7">
        <v>1</v>
      </c>
      <c r="C130" t="s">
        <v>182</v>
      </c>
      <c r="D130" s="38" t="e">
        <f t="shared" si="60"/>
        <v>#REF!</v>
      </c>
      <c r="E130" s="130" t="e">
        <f t="shared" si="61"/>
        <v>#REF!</v>
      </c>
      <c r="F130" s="38" t="e">
        <f t="shared" si="62"/>
        <v>#REF!</v>
      </c>
      <c r="G130" s="38" t="e">
        <f t="shared" si="63"/>
        <v>#REF!</v>
      </c>
      <c r="H130" s="38" t="e">
        <f t="shared" si="64"/>
        <v>#REF!</v>
      </c>
      <c r="I130" s="38" t="e">
        <f t="shared" si="65"/>
        <v>#REF!</v>
      </c>
      <c r="J130" s="38" t="e">
        <f t="shared" si="66"/>
        <v>#REF!</v>
      </c>
      <c r="K130" s="38" t="e">
        <f t="shared" si="67"/>
        <v>#REF!</v>
      </c>
      <c r="L130" s="101" t="e">
        <f t="shared" si="68"/>
        <v>#REF!</v>
      </c>
      <c r="M130" s="101"/>
      <c r="N130" s="101"/>
      <c r="O130" s="101" t="e">
        <f t="shared" si="69"/>
        <v>#REF!</v>
      </c>
      <c r="P130" s="75" t="e">
        <f t="shared" si="70"/>
        <v>#REF!</v>
      </c>
      <c r="Q130" s="129" t="e">
        <f t="shared" si="71"/>
        <v>#REF!</v>
      </c>
      <c r="R130" s="65" t="e">
        <f t="shared" si="72"/>
        <v>#REF!</v>
      </c>
      <c r="S130" s="101" t="e">
        <f t="shared" si="73"/>
        <v>#REF!</v>
      </c>
      <c r="T130" s="101" t="e">
        <f t="shared" si="74"/>
        <v>#REF!</v>
      </c>
      <c r="U130" s="50"/>
      <c r="V130" s="50"/>
    </row>
    <row r="131" spans="2:22" x14ac:dyDescent="0.2">
      <c r="B131" s="7">
        <v>1</v>
      </c>
      <c r="C131" t="s">
        <v>185</v>
      </c>
      <c r="D131" s="38" t="e">
        <f t="shared" si="60"/>
        <v>#REF!</v>
      </c>
      <c r="E131" s="130" t="e">
        <f t="shared" si="61"/>
        <v>#REF!</v>
      </c>
      <c r="F131" s="38" t="e">
        <f t="shared" si="62"/>
        <v>#REF!</v>
      </c>
      <c r="G131" s="38" t="e">
        <f t="shared" si="63"/>
        <v>#REF!</v>
      </c>
      <c r="H131" s="38" t="e">
        <f t="shared" si="64"/>
        <v>#REF!</v>
      </c>
      <c r="I131" s="38" t="e">
        <f t="shared" si="65"/>
        <v>#REF!</v>
      </c>
      <c r="J131" s="38" t="e">
        <f t="shared" si="66"/>
        <v>#REF!</v>
      </c>
      <c r="K131" s="38" t="e">
        <f t="shared" si="67"/>
        <v>#REF!</v>
      </c>
      <c r="L131" s="101" t="e">
        <f t="shared" si="68"/>
        <v>#REF!</v>
      </c>
      <c r="M131" s="101"/>
      <c r="N131" s="101"/>
      <c r="O131" s="101" t="e">
        <f t="shared" si="69"/>
        <v>#REF!</v>
      </c>
      <c r="P131" s="75" t="e">
        <f t="shared" si="70"/>
        <v>#REF!</v>
      </c>
      <c r="Q131" s="129" t="e">
        <f t="shared" si="71"/>
        <v>#REF!</v>
      </c>
      <c r="R131" s="65" t="e">
        <f t="shared" si="72"/>
        <v>#REF!</v>
      </c>
      <c r="S131" s="101" t="e">
        <f t="shared" si="73"/>
        <v>#REF!</v>
      </c>
      <c r="T131" s="101" t="e">
        <f t="shared" si="74"/>
        <v>#REF!</v>
      </c>
      <c r="U131" s="50"/>
      <c r="V131" s="50"/>
    </row>
    <row r="132" spans="2:22" x14ac:dyDescent="0.2">
      <c r="B132" s="7">
        <v>1</v>
      </c>
      <c r="C132" t="s">
        <v>191</v>
      </c>
      <c r="D132" s="38" t="e">
        <f t="shared" si="60"/>
        <v>#REF!</v>
      </c>
      <c r="E132" s="130" t="e">
        <f t="shared" si="61"/>
        <v>#REF!</v>
      </c>
      <c r="F132" s="38" t="e">
        <f t="shared" si="62"/>
        <v>#REF!</v>
      </c>
      <c r="G132" s="38" t="e">
        <f t="shared" si="63"/>
        <v>#REF!</v>
      </c>
      <c r="H132" s="38" t="e">
        <f t="shared" si="64"/>
        <v>#REF!</v>
      </c>
      <c r="I132" s="38" t="e">
        <f t="shared" si="65"/>
        <v>#REF!</v>
      </c>
      <c r="J132" s="38" t="e">
        <f t="shared" si="66"/>
        <v>#REF!</v>
      </c>
      <c r="K132" s="38" t="e">
        <f t="shared" si="67"/>
        <v>#REF!</v>
      </c>
      <c r="L132" s="101" t="e">
        <f t="shared" si="68"/>
        <v>#REF!</v>
      </c>
      <c r="M132" s="101"/>
      <c r="N132" s="101"/>
      <c r="O132" s="101" t="e">
        <f t="shared" si="69"/>
        <v>#REF!</v>
      </c>
      <c r="P132" s="75" t="e">
        <f t="shared" si="70"/>
        <v>#REF!</v>
      </c>
      <c r="Q132" s="129" t="e">
        <f t="shared" si="71"/>
        <v>#REF!</v>
      </c>
      <c r="R132" s="65" t="e">
        <f t="shared" si="72"/>
        <v>#REF!</v>
      </c>
      <c r="S132" s="101" t="e">
        <f t="shared" si="73"/>
        <v>#REF!</v>
      </c>
      <c r="T132" s="101" t="e">
        <f t="shared" si="74"/>
        <v>#REF!</v>
      </c>
      <c r="U132" s="50"/>
      <c r="V132" s="50"/>
    </row>
    <row r="133" spans="2:22" x14ac:dyDescent="0.2">
      <c r="B133" s="7">
        <v>1</v>
      </c>
      <c r="C133" t="s">
        <v>203</v>
      </c>
      <c r="D133" s="38" t="e">
        <f t="shared" si="60"/>
        <v>#REF!</v>
      </c>
      <c r="E133" s="130" t="e">
        <f t="shared" si="61"/>
        <v>#REF!</v>
      </c>
      <c r="F133" s="38" t="e">
        <f t="shared" si="62"/>
        <v>#REF!</v>
      </c>
      <c r="G133" s="38" t="e">
        <f t="shared" si="63"/>
        <v>#REF!</v>
      </c>
      <c r="H133" s="38" t="e">
        <f t="shared" si="64"/>
        <v>#REF!</v>
      </c>
      <c r="I133" s="38" t="e">
        <f t="shared" si="65"/>
        <v>#REF!</v>
      </c>
      <c r="J133" s="38" t="e">
        <f t="shared" si="66"/>
        <v>#REF!</v>
      </c>
      <c r="K133" s="38" t="e">
        <f t="shared" si="67"/>
        <v>#REF!</v>
      </c>
      <c r="L133" s="101" t="e">
        <f t="shared" si="68"/>
        <v>#REF!</v>
      </c>
      <c r="M133" s="101"/>
      <c r="N133" s="101"/>
      <c r="O133" s="101" t="e">
        <f t="shared" si="69"/>
        <v>#REF!</v>
      </c>
      <c r="P133" s="75" t="e">
        <f t="shared" si="70"/>
        <v>#REF!</v>
      </c>
      <c r="Q133" s="129" t="e">
        <f t="shared" si="71"/>
        <v>#REF!</v>
      </c>
      <c r="R133" s="65" t="e">
        <f t="shared" si="72"/>
        <v>#REF!</v>
      </c>
      <c r="S133" s="101" t="e">
        <f t="shared" si="73"/>
        <v>#REF!</v>
      </c>
      <c r="T133" s="101" t="e">
        <f t="shared" si="74"/>
        <v>#REF!</v>
      </c>
      <c r="U133" s="50"/>
      <c r="V133" s="50"/>
    </row>
    <row r="134" spans="2:22" x14ac:dyDescent="0.2">
      <c r="B134" s="7">
        <v>1</v>
      </c>
      <c r="C134" t="s">
        <v>206</v>
      </c>
      <c r="D134" s="38" t="e">
        <f t="shared" si="60"/>
        <v>#REF!</v>
      </c>
      <c r="E134" s="130" t="e">
        <f t="shared" si="61"/>
        <v>#REF!</v>
      </c>
      <c r="F134" s="38" t="e">
        <f t="shared" si="62"/>
        <v>#REF!</v>
      </c>
      <c r="G134" s="38" t="e">
        <f t="shared" si="63"/>
        <v>#REF!</v>
      </c>
      <c r="H134" s="38" t="e">
        <f t="shared" si="64"/>
        <v>#REF!</v>
      </c>
      <c r="I134" s="38" t="e">
        <f t="shared" si="65"/>
        <v>#REF!</v>
      </c>
      <c r="J134" s="38" t="e">
        <f t="shared" si="66"/>
        <v>#REF!</v>
      </c>
      <c r="K134" s="38" t="e">
        <f t="shared" si="67"/>
        <v>#REF!</v>
      </c>
      <c r="L134" s="101" t="e">
        <f t="shared" si="68"/>
        <v>#REF!</v>
      </c>
      <c r="M134" s="101"/>
      <c r="N134" s="101"/>
      <c r="O134" s="101" t="e">
        <f t="shared" si="69"/>
        <v>#REF!</v>
      </c>
      <c r="P134" s="75" t="e">
        <f t="shared" si="70"/>
        <v>#REF!</v>
      </c>
      <c r="Q134" s="129" t="e">
        <f t="shared" si="71"/>
        <v>#REF!</v>
      </c>
      <c r="R134" s="65" t="e">
        <f t="shared" si="72"/>
        <v>#REF!</v>
      </c>
      <c r="S134" s="101" t="e">
        <f t="shared" si="73"/>
        <v>#REF!</v>
      </c>
      <c r="T134" s="101" t="e">
        <f t="shared" si="74"/>
        <v>#REF!</v>
      </c>
      <c r="U134" s="50"/>
      <c r="V134" s="50"/>
    </row>
    <row r="135" spans="2:22" x14ac:dyDescent="0.2">
      <c r="L135" s="44" t="e">
        <f>SUM(L129:L134)</f>
        <v>#REF!</v>
      </c>
      <c r="O135" s="44" t="e">
        <f t="shared" si="69"/>
        <v>#REF!</v>
      </c>
    </row>
    <row r="136" spans="2:22" x14ac:dyDescent="0.2">
      <c r="C136" s="122" t="s">
        <v>160</v>
      </c>
    </row>
    <row r="137" spans="2:22" x14ac:dyDescent="0.2">
      <c r="C137" s="8" t="s">
        <v>161</v>
      </c>
      <c r="D137" s="7">
        <f>SUM(B8:B121)</f>
        <v>57</v>
      </c>
      <c r="L137" s="26"/>
      <c r="O137" s="26"/>
    </row>
    <row r="138" spans="2:22" x14ac:dyDescent="0.2">
      <c r="C138" s="7" t="s">
        <v>149</v>
      </c>
      <c r="D138" s="26" t="e">
        <f>E119+E107+E97+E87+E76+E68+#REF!+E52+E37+E28+E21+E11+E4</f>
        <v>#REF!</v>
      </c>
      <c r="L138" s="7"/>
      <c r="M138" s="7"/>
      <c r="N138" s="7"/>
      <c r="O138" s="7"/>
      <c r="R138" s="88"/>
    </row>
    <row r="139" spans="2:22" x14ac:dyDescent="0.2">
      <c r="C139" s="7" t="s">
        <v>150</v>
      </c>
      <c r="D139" s="26" t="e">
        <f>L125+L116+L104+L94+L84+L73+#REF!+L64+L49+L33+L25+L18+L8</f>
        <v>#REF!</v>
      </c>
      <c r="G139" s="101"/>
      <c r="L139" s="26"/>
      <c r="O139" s="26"/>
      <c r="R139" s="124"/>
    </row>
    <row r="140" spans="2:22" x14ac:dyDescent="0.2">
      <c r="C140" s="7" t="s">
        <v>151</v>
      </c>
      <c r="D140" s="26">
        <f>SUM(M8:M125)</f>
        <v>0</v>
      </c>
      <c r="L140" s="26"/>
      <c r="O140" s="26"/>
      <c r="R140" s="126"/>
    </row>
    <row r="141" spans="2:22" x14ac:dyDescent="0.2">
      <c r="C141" s="7" t="s">
        <v>152</v>
      </c>
      <c r="D141" s="26">
        <f>SUM(N8:N125)</f>
        <v>0</v>
      </c>
      <c r="L141" s="26"/>
      <c r="O141" s="26"/>
    </row>
    <row r="142" spans="2:22" x14ac:dyDescent="0.2">
      <c r="C142" s="7" t="s">
        <v>153</v>
      </c>
      <c r="D142" s="26" t="e">
        <f>O125+O116+O104+O94+O84+O73+#REF!+O64+O49+O33+O25+O18+O8</f>
        <v>#REF!</v>
      </c>
      <c r="G142" s="123"/>
      <c r="L142" s="26"/>
      <c r="O142" s="26"/>
    </row>
    <row r="143" spans="2:22" x14ac:dyDescent="0.2">
      <c r="C143" s="7" t="s">
        <v>159</v>
      </c>
      <c r="D143" s="15" t="e">
        <f>SUM(#REF!)</f>
        <v>#REF!</v>
      </c>
      <c r="I143" s="7"/>
      <c r="L143" s="26"/>
      <c r="O143" s="26"/>
    </row>
    <row r="144" spans="2:22" x14ac:dyDescent="0.2">
      <c r="C144" s="7" t="s">
        <v>164</v>
      </c>
      <c r="D144" s="15" t="e">
        <f>D145-D143</f>
        <v>#REF!</v>
      </c>
      <c r="I144" s="7"/>
      <c r="L144" s="26"/>
      <c r="O144" s="26"/>
    </row>
    <row r="145" spans="1:22" x14ac:dyDescent="0.2">
      <c r="C145" s="7" t="s">
        <v>162</v>
      </c>
      <c r="D145" s="101" t="e">
        <f>SUM(S5:S135)</f>
        <v>#REF!</v>
      </c>
      <c r="I145" s="124"/>
      <c r="L145" s="26"/>
      <c r="O145" s="26"/>
    </row>
    <row r="147" spans="1:22" x14ac:dyDescent="0.2">
      <c r="C147" s="122" t="s">
        <v>154</v>
      </c>
      <c r="D147" s="122" t="s">
        <v>155</v>
      </c>
      <c r="E147" s="122" t="s">
        <v>156</v>
      </c>
      <c r="F147" s="122" t="s">
        <v>157</v>
      </c>
    </row>
    <row r="148" spans="1:22" x14ac:dyDescent="0.2">
      <c r="C148" s="8" t="s">
        <v>125</v>
      </c>
      <c r="D148" s="26">
        <f>21185246+19524394+21857430</f>
        <v>62567070</v>
      </c>
      <c r="E148" s="26" t="e">
        <f>#REF!+#REF!</f>
        <v>#REF!</v>
      </c>
      <c r="F148" s="101" t="e">
        <f t="shared" ref="F148:F153" si="75">D148-E148</f>
        <v>#REF!</v>
      </c>
      <c r="M148" s="44"/>
      <c r="N148" s="44"/>
      <c r="U148" s="36"/>
      <c r="V148" s="36"/>
    </row>
    <row r="149" spans="1:22" x14ac:dyDescent="0.2">
      <c r="C149" s="8" t="s">
        <v>126</v>
      </c>
      <c r="D149" s="26">
        <f>21185246+34270000+9191759</f>
        <v>64647005</v>
      </c>
      <c r="E149" s="26" t="e">
        <f>#REF!+M83+#REF!+#REF!+#REF!</f>
        <v>#REF!</v>
      </c>
      <c r="F149" s="101" t="e">
        <f t="shared" si="75"/>
        <v>#REF!</v>
      </c>
    </row>
    <row r="150" spans="1:22" x14ac:dyDescent="0.2">
      <c r="C150" s="8" t="s">
        <v>127</v>
      </c>
      <c r="D150" s="26">
        <f>21185245</f>
        <v>21185245</v>
      </c>
      <c r="E150" s="26" t="e">
        <f>#REF!+#REF!+#REF!+#REF!+#REF!+#REF!</f>
        <v>#REF!</v>
      </c>
      <c r="F150" s="101" t="e">
        <f t="shared" si="75"/>
        <v>#REF!</v>
      </c>
    </row>
    <row r="151" spans="1:22" x14ac:dyDescent="0.2">
      <c r="C151" s="8" t="s">
        <v>128</v>
      </c>
      <c r="D151" s="26">
        <f>18000000+853+500000</f>
        <v>18500853</v>
      </c>
      <c r="E151" s="26" t="e">
        <f>M54+#REF!+#REF!</f>
        <v>#REF!</v>
      </c>
      <c r="F151" s="101" t="e">
        <f t="shared" si="75"/>
        <v>#REF!</v>
      </c>
    </row>
    <row r="152" spans="1:22" x14ac:dyDescent="0.2">
      <c r="C152" s="8" t="s">
        <v>57</v>
      </c>
      <c r="D152" s="26">
        <v>64160884</v>
      </c>
      <c r="E152" s="26"/>
      <c r="F152" s="101">
        <f t="shared" si="75"/>
        <v>64160884</v>
      </c>
    </row>
    <row r="153" spans="1:22" x14ac:dyDescent="0.2">
      <c r="C153" s="8" t="s">
        <v>129</v>
      </c>
      <c r="D153" s="57">
        <v>268.07</v>
      </c>
      <c r="E153" s="102">
        <v>0</v>
      </c>
      <c r="F153" s="102">
        <f t="shared" si="75"/>
        <v>268.07</v>
      </c>
    </row>
    <row r="154" spans="1:22" x14ac:dyDescent="0.2">
      <c r="D154" s="50">
        <f>SUM(D148:D153)</f>
        <v>231061325.06999999</v>
      </c>
      <c r="E154" s="50" t="e">
        <f>SUM(E148:E153)</f>
        <v>#REF!</v>
      </c>
      <c r="F154" s="50" t="e">
        <f>SUM(F148:F153)</f>
        <v>#REF!</v>
      </c>
    </row>
    <row r="155" spans="1:22" x14ac:dyDescent="0.2">
      <c r="D155" s="123"/>
      <c r="E155" s="26"/>
    </row>
    <row r="156" spans="1:22" x14ac:dyDescent="0.2">
      <c r="C156" s="122" t="s">
        <v>158</v>
      </c>
    </row>
    <row r="157" spans="1:22" s="8" customFormat="1" x14ac:dyDescent="0.2">
      <c r="A157" s="70"/>
      <c r="B157" s="70"/>
      <c r="C157" s="71"/>
      <c r="E157" s="7"/>
      <c r="L157" s="44"/>
      <c r="M157" s="26"/>
      <c r="N157" s="26"/>
      <c r="O157" s="44"/>
      <c r="P157" s="73"/>
      <c r="Q157" s="9"/>
      <c r="R157" s="9"/>
      <c r="S157" s="88"/>
      <c r="T157" s="88"/>
      <c r="U157" s="6"/>
      <c r="V157" s="6"/>
    </row>
    <row r="158" spans="1:22" s="8" customFormat="1" x14ac:dyDescent="0.2">
      <c r="A158" s="7"/>
      <c r="B158" s="7"/>
      <c r="C158" s="71"/>
      <c r="E158" s="7"/>
      <c r="L158" s="44"/>
      <c r="M158" s="26"/>
      <c r="N158" s="26"/>
      <c r="O158" s="44"/>
      <c r="P158" s="73"/>
      <c r="Q158" s="9"/>
      <c r="R158" s="9"/>
      <c r="S158" s="88"/>
      <c r="T158" s="88"/>
      <c r="U158" s="6"/>
      <c r="V158" s="6"/>
    </row>
    <row r="159" spans="1:22" s="8" customFormat="1" x14ac:dyDescent="0.2">
      <c r="A159" s="7"/>
      <c r="B159" s="7"/>
      <c r="C159" s="71"/>
      <c r="E159" s="7"/>
      <c r="L159" s="44"/>
      <c r="M159" s="26"/>
      <c r="N159" s="26"/>
      <c r="O159" s="44"/>
      <c r="P159" s="73"/>
      <c r="Q159" s="9"/>
      <c r="R159" s="9"/>
      <c r="S159" s="88"/>
      <c r="T159" s="88"/>
      <c r="U159" s="6"/>
      <c r="V159" s="6"/>
    </row>
    <row r="160" spans="1:22" s="8" customFormat="1" x14ac:dyDescent="0.2">
      <c r="A160" s="7"/>
      <c r="B160" s="7"/>
      <c r="C160" s="71"/>
      <c r="E160" s="7"/>
      <c r="L160" s="44"/>
      <c r="M160" s="26"/>
      <c r="N160" s="26"/>
      <c r="O160" s="44"/>
      <c r="P160" s="73"/>
      <c r="Q160" s="9"/>
      <c r="R160" s="9"/>
      <c r="S160" s="88"/>
      <c r="T160" s="88"/>
      <c r="U160" s="6"/>
      <c r="V160" s="6"/>
    </row>
    <row r="161" spans="1:22" s="8" customFormat="1" x14ac:dyDescent="0.2">
      <c r="A161" s="7"/>
      <c r="B161" s="7"/>
      <c r="C161" s="71"/>
      <c r="E161" s="7"/>
      <c r="L161" s="44"/>
      <c r="M161" s="26"/>
      <c r="N161" s="26"/>
      <c r="O161" s="44"/>
      <c r="P161" s="73"/>
      <c r="Q161" s="9"/>
      <c r="R161" s="9"/>
      <c r="S161" s="88"/>
      <c r="T161" s="88"/>
      <c r="U161" s="6"/>
      <c r="V161" s="6"/>
    </row>
    <row r="162" spans="1:22" s="8" customFormat="1" x14ac:dyDescent="0.2">
      <c r="A162" s="7"/>
      <c r="B162" s="7"/>
      <c r="C162" s="71"/>
      <c r="E162" s="7"/>
      <c r="L162" s="44"/>
      <c r="M162" s="26"/>
      <c r="N162" s="26"/>
      <c r="O162" s="44"/>
      <c r="P162" s="73"/>
      <c r="Q162" s="9"/>
      <c r="R162" s="9"/>
      <c r="S162" s="88"/>
      <c r="T162" s="88"/>
      <c r="U162" s="6"/>
      <c r="V162" s="6"/>
    </row>
    <row r="163" spans="1:22" s="8" customFormat="1" x14ac:dyDescent="0.2">
      <c r="A163" s="7"/>
      <c r="B163" s="7"/>
      <c r="C163" s="71"/>
      <c r="E163" s="7"/>
      <c r="L163" s="44"/>
      <c r="M163" s="26"/>
      <c r="N163" s="26"/>
      <c r="O163" s="44"/>
      <c r="P163" s="73"/>
      <c r="Q163" s="9"/>
      <c r="R163" s="9"/>
      <c r="S163" s="88"/>
      <c r="T163" s="88"/>
      <c r="U163" s="6"/>
      <c r="V163" s="6"/>
    </row>
    <row r="164" spans="1:22" s="8" customFormat="1" x14ac:dyDescent="0.2">
      <c r="A164" s="7"/>
      <c r="B164" s="7"/>
      <c r="C164" s="71"/>
      <c r="E164" s="7"/>
      <c r="L164" s="44"/>
      <c r="M164" s="26"/>
      <c r="N164" s="26"/>
      <c r="O164" s="44"/>
      <c r="P164" s="73"/>
      <c r="Q164" s="9"/>
      <c r="R164" s="9"/>
      <c r="S164" s="88"/>
      <c r="T164" s="88"/>
      <c r="U164" s="6"/>
      <c r="V164" s="6"/>
    </row>
  </sheetData>
  <mergeCells count="1">
    <mergeCell ref="S4:T4"/>
  </mergeCells>
  <printOptions horizontalCentered="1"/>
  <pageMargins left="0.75" right="0.75" top="1" bottom="1" header="0.5" footer="0.5"/>
  <pageSetup scale="85" fitToHeight="4" orientation="landscape" copies="2" r:id="rId1"/>
  <headerFooter alignWithMargins="0">
    <oddHeader>&amp;C9% SORT
Second Round 2017</oddHeader>
    <oddFooter>&amp;RUpdated &amp;D</oddFooter>
  </headerFooter>
  <rowBreaks count="2" manualBreakCount="2">
    <brk id="75" max="17" man="1"/>
    <brk id="118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0"/>
  <sheetViews>
    <sheetView workbookViewId="0"/>
  </sheetViews>
  <sheetFormatPr defaultColWidth="10.85546875" defaultRowHeight="12.75" x14ac:dyDescent="0.2"/>
  <cols>
    <col min="1" max="1" width="18.42578125" style="8" bestFit="1" customWidth="1"/>
    <col min="2" max="2" width="8.85546875" customWidth="1"/>
    <col min="3" max="3" width="18.42578125" style="8" bestFit="1" customWidth="1"/>
    <col min="4" max="256" width="8.85546875" customWidth="1"/>
  </cols>
  <sheetData>
    <row r="1" spans="1:3" x14ac:dyDescent="0.2">
      <c r="A1" s="131" t="s">
        <v>165</v>
      </c>
      <c r="C1" s="131" t="s">
        <v>165</v>
      </c>
    </row>
    <row r="2" spans="1:3" x14ac:dyDescent="0.2">
      <c r="A2" s="131" t="s">
        <v>166</v>
      </c>
      <c r="C2" s="131" t="s">
        <v>166</v>
      </c>
    </row>
    <row r="3" spans="1:3" x14ac:dyDescent="0.2">
      <c r="A3"/>
      <c r="C3" t="s">
        <v>167</v>
      </c>
    </row>
    <row r="4" spans="1:3" ht="15" x14ac:dyDescent="0.25">
      <c r="A4" s="127" t="s">
        <v>168</v>
      </c>
      <c r="C4"/>
    </row>
    <row r="5" spans="1:3" x14ac:dyDescent="0.2">
      <c r="A5" s="131" t="s">
        <v>169</v>
      </c>
      <c r="C5" s="131" t="s">
        <v>169</v>
      </c>
    </row>
    <row r="6" spans="1:3" x14ac:dyDescent="0.2">
      <c r="A6"/>
      <c r="C6" t="s">
        <v>170</v>
      </c>
    </row>
    <row r="7" spans="1:3" ht="15" customHeight="1" x14ac:dyDescent="0.2">
      <c r="A7"/>
      <c r="C7" t="s">
        <v>171</v>
      </c>
    </row>
    <row r="8" spans="1:3" x14ac:dyDescent="0.2">
      <c r="A8"/>
      <c r="C8" t="s">
        <v>172</v>
      </c>
    </row>
    <row r="9" spans="1:3" x14ac:dyDescent="0.2">
      <c r="A9" s="132" t="s">
        <v>173</v>
      </c>
      <c r="C9" s="132" t="s">
        <v>173</v>
      </c>
    </row>
    <row r="10" spans="1:3" x14ac:dyDescent="0.2">
      <c r="A10" s="132" t="s">
        <v>174</v>
      </c>
      <c r="C10"/>
    </row>
    <row r="11" spans="1:3" x14ac:dyDescent="0.2">
      <c r="A11" t="s">
        <v>175</v>
      </c>
      <c r="C11" t="s">
        <v>175</v>
      </c>
    </row>
    <row r="12" spans="1:3" x14ac:dyDescent="0.2">
      <c r="A12" t="s">
        <v>176</v>
      </c>
      <c r="C12" t="s">
        <v>176</v>
      </c>
    </row>
    <row r="13" spans="1:3" x14ac:dyDescent="0.2">
      <c r="A13" t="s">
        <v>177</v>
      </c>
      <c r="C13" t="s">
        <v>179</v>
      </c>
    </row>
    <row r="14" spans="1:3" x14ac:dyDescent="0.2">
      <c r="A14" t="s">
        <v>178</v>
      </c>
      <c r="C14" t="s">
        <v>180</v>
      </c>
    </row>
    <row r="15" spans="1:3" x14ac:dyDescent="0.2">
      <c r="A15" t="s">
        <v>179</v>
      </c>
      <c r="C15" t="s">
        <v>182</v>
      </c>
    </row>
    <row r="16" spans="1:3" ht="15" x14ac:dyDescent="0.25">
      <c r="A16" s="37" t="s">
        <v>180</v>
      </c>
      <c r="C16" s="127" t="s">
        <v>183</v>
      </c>
    </row>
    <row r="17" spans="1:3" x14ac:dyDescent="0.2">
      <c r="A17" t="s">
        <v>181</v>
      </c>
      <c r="C17" t="s">
        <v>183</v>
      </c>
    </row>
    <row r="18" spans="1:3" x14ac:dyDescent="0.2">
      <c r="A18" t="s">
        <v>183</v>
      </c>
      <c r="C18" t="s">
        <v>184</v>
      </c>
    </row>
    <row r="19" spans="1:3" x14ac:dyDescent="0.2">
      <c r="A19" t="s">
        <v>183</v>
      </c>
      <c r="C19" t="s">
        <v>185</v>
      </c>
    </row>
    <row r="20" spans="1:3" x14ac:dyDescent="0.2">
      <c r="A20" t="s">
        <v>186</v>
      </c>
      <c r="C20" t="s">
        <v>186</v>
      </c>
    </row>
    <row r="21" spans="1:3" x14ac:dyDescent="0.2">
      <c r="A21" t="s">
        <v>187</v>
      </c>
      <c r="C21" t="s">
        <v>187</v>
      </c>
    </row>
    <row r="22" spans="1:3" x14ac:dyDescent="0.2">
      <c r="A22" t="s">
        <v>188</v>
      </c>
      <c r="C22" t="s">
        <v>188</v>
      </c>
    </row>
    <row r="23" spans="1:3" x14ac:dyDescent="0.2">
      <c r="A23" t="s">
        <v>189</v>
      </c>
      <c r="C23" t="s">
        <v>189</v>
      </c>
    </row>
    <row r="24" spans="1:3" x14ac:dyDescent="0.2">
      <c r="A24" t="s">
        <v>190</v>
      </c>
      <c r="C24" t="s">
        <v>190</v>
      </c>
    </row>
    <row r="25" spans="1:3" x14ac:dyDescent="0.2">
      <c r="A25" t="s">
        <v>191</v>
      </c>
      <c r="C25" t="s">
        <v>191</v>
      </c>
    </row>
    <row r="26" spans="1:3" x14ac:dyDescent="0.2">
      <c r="A26" t="s">
        <v>192</v>
      </c>
      <c r="C26" t="s">
        <v>192</v>
      </c>
    </row>
    <row r="27" spans="1:3" x14ac:dyDescent="0.2">
      <c r="A27" t="s">
        <v>193</v>
      </c>
      <c r="C27" t="s">
        <v>194</v>
      </c>
    </row>
    <row r="28" spans="1:3" x14ac:dyDescent="0.2">
      <c r="A28" s="37" t="s">
        <v>194</v>
      </c>
      <c r="C28" t="s">
        <v>195</v>
      </c>
    </row>
    <row r="29" spans="1:3" x14ac:dyDescent="0.2">
      <c r="A29" t="s">
        <v>195</v>
      </c>
      <c r="C29" t="s">
        <v>196</v>
      </c>
    </row>
    <row r="30" spans="1:3" x14ac:dyDescent="0.2">
      <c r="A30" t="s">
        <v>197</v>
      </c>
      <c r="C30" t="s">
        <v>197</v>
      </c>
    </row>
    <row r="31" spans="1:3" x14ac:dyDescent="0.2">
      <c r="A31" t="s">
        <v>198</v>
      </c>
      <c r="C31" t="s">
        <v>198</v>
      </c>
    </row>
    <row r="32" spans="1:3" x14ac:dyDescent="0.2">
      <c r="A32" t="s">
        <v>201</v>
      </c>
      <c r="C32" t="s">
        <v>199</v>
      </c>
    </row>
    <row r="33" spans="1:3" x14ac:dyDescent="0.2">
      <c r="A33" t="s">
        <v>202</v>
      </c>
      <c r="C33" t="s">
        <v>200</v>
      </c>
    </row>
    <row r="34" spans="1:3" x14ac:dyDescent="0.2">
      <c r="A34" t="s">
        <v>203</v>
      </c>
      <c r="C34" t="s">
        <v>201</v>
      </c>
    </row>
    <row r="35" spans="1:3" ht="15" x14ac:dyDescent="0.25">
      <c r="A35" s="127" t="s">
        <v>204</v>
      </c>
      <c r="C35" t="s">
        <v>203</v>
      </c>
    </row>
    <row r="36" spans="1:3" x14ac:dyDescent="0.2">
      <c r="A36" t="s">
        <v>205</v>
      </c>
      <c r="C36" t="s">
        <v>204</v>
      </c>
    </row>
    <row r="37" spans="1:3" ht="15" x14ac:dyDescent="0.25">
      <c r="A37" s="127" t="s">
        <v>207</v>
      </c>
      <c r="C37" t="s">
        <v>206</v>
      </c>
    </row>
    <row r="38" spans="1:3" ht="15" x14ac:dyDescent="0.25">
      <c r="A38" s="127" t="s">
        <v>208</v>
      </c>
      <c r="C38" t="s">
        <v>207</v>
      </c>
    </row>
    <row r="39" spans="1:3" ht="15" x14ac:dyDescent="0.25">
      <c r="A39" s="127" t="s">
        <v>210</v>
      </c>
      <c r="C39" t="s">
        <v>209</v>
      </c>
    </row>
    <row r="40" spans="1:3" x14ac:dyDescent="0.2">
      <c r="A40" s="37" t="s">
        <v>211</v>
      </c>
      <c r="C40" t="s">
        <v>210</v>
      </c>
    </row>
    <row r="41" spans="1:3" x14ac:dyDescent="0.2">
      <c r="A41" t="s">
        <v>212</v>
      </c>
      <c r="C41" s="37" t="s">
        <v>211</v>
      </c>
    </row>
    <row r="42" spans="1:3" x14ac:dyDescent="0.2">
      <c r="A42" t="s">
        <v>213</v>
      </c>
      <c r="C42" t="s">
        <v>212</v>
      </c>
    </row>
    <row r="43" spans="1:3" x14ac:dyDescent="0.2">
      <c r="A43" t="s">
        <v>215</v>
      </c>
      <c r="C43" t="s">
        <v>213</v>
      </c>
    </row>
    <row r="44" spans="1:3" x14ac:dyDescent="0.2">
      <c r="A44" t="s">
        <v>216</v>
      </c>
      <c r="C44" t="s">
        <v>214</v>
      </c>
    </row>
    <row r="45" spans="1:3" x14ac:dyDescent="0.2">
      <c r="A45" t="s">
        <v>222</v>
      </c>
      <c r="C45" t="s">
        <v>215</v>
      </c>
    </row>
    <row r="46" spans="1:3" x14ac:dyDescent="0.2">
      <c r="A46" s="37" t="s">
        <v>223</v>
      </c>
      <c r="C46" t="s">
        <v>216</v>
      </c>
    </row>
    <row r="47" spans="1:3" x14ac:dyDescent="0.2">
      <c r="A47" t="s">
        <v>224</v>
      </c>
      <c r="C47" t="s">
        <v>217</v>
      </c>
    </row>
    <row r="48" spans="1:3" x14ac:dyDescent="0.2">
      <c r="A48" t="s">
        <v>225</v>
      </c>
      <c r="C48" t="s">
        <v>218</v>
      </c>
    </row>
    <row r="49" spans="1:3" x14ac:dyDescent="0.2">
      <c r="A49" t="s">
        <v>227</v>
      </c>
      <c r="C49" t="s">
        <v>219</v>
      </c>
    </row>
    <row r="50" spans="1:3" x14ac:dyDescent="0.2">
      <c r="A50" t="s">
        <v>228</v>
      </c>
      <c r="C50" t="s">
        <v>220</v>
      </c>
    </row>
    <row r="51" spans="1:3" x14ac:dyDescent="0.2">
      <c r="A51" t="s">
        <v>229</v>
      </c>
      <c r="C51" t="s">
        <v>221</v>
      </c>
    </row>
    <row r="52" spans="1:3" x14ac:dyDescent="0.2">
      <c r="A52" t="s">
        <v>230</v>
      </c>
      <c r="C52" t="s">
        <v>222</v>
      </c>
    </row>
    <row r="53" spans="1:3" x14ac:dyDescent="0.2">
      <c r="A53" t="s">
        <v>231</v>
      </c>
      <c r="C53" s="37" t="s">
        <v>223</v>
      </c>
    </row>
    <row r="54" spans="1:3" x14ac:dyDescent="0.2">
      <c r="A54" t="s">
        <v>234</v>
      </c>
      <c r="C54" t="s">
        <v>224</v>
      </c>
    </row>
    <row r="55" spans="1:3" x14ac:dyDescent="0.2">
      <c r="A55" t="s">
        <v>235</v>
      </c>
      <c r="C55" t="s">
        <v>225</v>
      </c>
    </row>
    <row r="56" spans="1:3" x14ac:dyDescent="0.2">
      <c r="A56" t="s">
        <v>236</v>
      </c>
      <c r="C56" t="s">
        <v>226</v>
      </c>
    </row>
    <row r="57" spans="1:3" x14ac:dyDescent="0.2">
      <c r="A57" t="s">
        <v>237</v>
      </c>
      <c r="C57" t="s">
        <v>227</v>
      </c>
    </row>
    <row r="58" spans="1:3" x14ac:dyDescent="0.2">
      <c r="C58" t="s">
        <v>227</v>
      </c>
    </row>
    <row r="59" spans="1:3" x14ac:dyDescent="0.2">
      <c r="C59" t="s">
        <v>228</v>
      </c>
    </row>
    <row r="60" spans="1:3" x14ac:dyDescent="0.2">
      <c r="C60" t="s">
        <v>229</v>
      </c>
    </row>
    <row r="61" spans="1:3" x14ac:dyDescent="0.2">
      <c r="C61" t="s">
        <v>230</v>
      </c>
    </row>
    <row r="62" spans="1:3" x14ac:dyDescent="0.2">
      <c r="C62" t="s">
        <v>231</v>
      </c>
    </row>
    <row r="63" spans="1:3" x14ac:dyDescent="0.2">
      <c r="C63" t="s">
        <v>232</v>
      </c>
    </row>
    <row r="64" spans="1:3" x14ac:dyDescent="0.2">
      <c r="C64" t="s">
        <v>233</v>
      </c>
    </row>
    <row r="65" spans="3:3" x14ac:dyDescent="0.2">
      <c r="C65" t="s">
        <v>234</v>
      </c>
    </row>
    <row r="66" spans="3:3" x14ac:dyDescent="0.2">
      <c r="C66" t="s">
        <v>235</v>
      </c>
    </row>
    <row r="67" spans="3:3" x14ac:dyDescent="0.2">
      <c r="C67" t="s">
        <v>236</v>
      </c>
    </row>
    <row r="68" spans="3:3" x14ac:dyDescent="0.2">
      <c r="C68" t="s">
        <v>237</v>
      </c>
    </row>
    <row r="69" spans="3:3" x14ac:dyDescent="0.2">
      <c r="C69" t="s">
        <v>238</v>
      </c>
    </row>
    <row r="70" spans="3:3" x14ac:dyDescent="0.2">
      <c r="C70" t="s">
        <v>238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7817E-FF9B-4378-BFAF-FFBE6E5FCC36}">
  <dimension ref="A1:AP142"/>
  <sheetViews>
    <sheetView tabSelected="1"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8.28515625" defaultRowHeight="12.75" x14ac:dyDescent="0.2"/>
  <cols>
    <col min="1" max="1" width="17.28515625" style="141" customWidth="1"/>
    <col min="2" max="2" width="47.42578125" style="141" bestFit="1" customWidth="1"/>
    <col min="3" max="3" width="24.140625" style="141" customWidth="1"/>
    <col min="4" max="4" width="14.42578125" style="141" customWidth="1"/>
    <col min="5" max="5" width="22" style="141" customWidth="1"/>
    <col min="6" max="6" width="13.140625" style="141" customWidth="1"/>
    <col min="7" max="7" width="11.7109375" style="141" customWidth="1"/>
    <col min="8" max="8" width="19.42578125" style="141" customWidth="1"/>
    <col min="9" max="9" width="18.85546875" style="141" customWidth="1"/>
    <col min="10" max="10" width="27.5703125" style="150" customWidth="1"/>
    <col min="11" max="11" width="21.85546875" style="143" customWidth="1"/>
    <col min="12" max="12" width="16.28515625" style="143" customWidth="1"/>
    <col min="13" max="13" width="14.140625" style="143" customWidth="1"/>
    <col min="14" max="14" width="24" style="141" customWidth="1"/>
    <col min="15" max="15" width="18.7109375" style="141" customWidth="1"/>
    <col min="16" max="16" width="27.7109375" style="141" customWidth="1"/>
    <col min="17" max="17" width="13.5703125" style="141" customWidth="1"/>
    <col min="18" max="18" width="22.85546875" style="141" customWidth="1"/>
    <col min="19" max="19" width="22.140625" style="141" customWidth="1"/>
    <col min="20" max="20" width="17" style="141" customWidth="1"/>
    <col min="21" max="21" width="16.5703125" style="141" customWidth="1"/>
    <col min="22" max="22" width="14.7109375" style="141" customWidth="1"/>
    <col min="23" max="23" width="15" style="141" customWidth="1"/>
    <col min="24" max="24" width="13.7109375" style="141" customWidth="1"/>
    <col min="25" max="25" width="13.85546875" style="141" customWidth="1"/>
    <col min="26" max="26" width="16.5703125" style="141" customWidth="1"/>
    <col min="27" max="27" width="13" style="141" customWidth="1"/>
    <col min="28" max="28" width="17.140625" style="141" customWidth="1"/>
    <col min="29" max="29" width="16.7109375" style="141" customWidth="1"/>
    <col min="30" max="30" width="14.7109375" style="143" customWidth="1"/>
    <col min="31" max="31" width="15" style="138" bestFit="1" customWidth="1"/>
    <col min="32" max="32" width="49.140625" style="141" customWidth="1"/>
    <col min="33" max="33" width="76.28515625" style="141" customWidth="1"/>
    <col min="34" max="34" width="70" style="141" customWidth="1"/>
    <col min="35" max="35" width="25.42578125" style="141" customWidth="1"/>
    <col min="36" max="36" width="41.140625" style="141" customWidth="1"/>
    <col min="37" max="37" width="50.42578125" style="141" customWidth="1"/>
    <col min="38" max="38" width="20.5703125" style="141" customWidth="1"/>
    <col min="39" max="39" width="39.42578125" style="141" customWidth="1"/>
    <col min="40" max="40" width="42.140625" style="141" bestFit="1" customWidth="1"/>
    <col min="41" max="41" width="22.140625" style="141" customWidth="1"/>
    <col min="42" max="42" width="40.7109375" style="141" customWidth="1"/>
    <col min="43" max="195" width="8.28515625" style="137"/>
    <col min="196" max="196" width="10.140625" style="137" customWidth="1"/>
    <col min="197" max="197" width="45.28515625" style="137" customWidth="1"/>
    <col min="198" max="198" width="17.42578125" style="137" customWidth="1"/>
    <col min="199" max="202" width="15.7109375" style="137" customWidth="1"/>
    <col min="203" max="213" width="0" style="137" hidden="1" customWidth="1"/>
    <col min="214" max="214" width="15.7109375" style="137" customWidth="1"/>
    <col min="215" max="216" width="16.7109375" style="137" customWidth="1"/>
    <col min="217" max="217" width="11.5703125" style="137" bestFit="1" customWidth="1"/>
    <col min="218" max="218" width="76.5703125" style="137" bestFit="1" customWidth="1"/>
    <col min="219" max="222" width="0" style="137" hidden="1" customWidth="1"/>
    <col min="223" max="225" width="10.7109375" style="137" customWidth="1"/>
    <col min="226" max="226" width="11" style="137" bestFit="1" customWidth="1"/>
    <col min="227" max="228" width="10.28515625" style="137" bestFit="1" customWidth="1"/>
    <col min="229" max="229" width="14" style="137" customWidth="1"/>
    <col min="230" max="230" width="65.42578125" style="137" bestFit="1" customWidth="1"/>
    <col min="231" max="231" width="15.42578125" style="137" bestFit="1" customWidth="1"/>
    <col min="232" max="232" width="15.42578125" style="137" customWidth="1"/>
    <col min="233" max="233" width="20.85546875" style="137" bestFit="1" customWidth="1"/>
    <col min="234" max="234" width="20.7109375" style="137" bestFit="1" customWidth="1"/>
    <col min="235" max="235" width="20.7109375" style="137" customWidth="1"/>
    <col min="236" max="243" width="0" style="137" hidden="1" customWidth="1"/>
    <col min="244" max="245" width="17.7109375" style="137" customWidth="1"/>
    <col min="246" max="246" width="21.28515625" style="137" customWidth="1"/>
    <col min="247" max="247" width="0" style="137" hidden="1" customWidth="1"/>
    <col min="248" max="248" width="13.42578125" style="137" customWidth="1"/>
    <col min="249" max="273" width="0" style="137" hidden="1" customWidth="1"/>
    <col min="274" max="451" width="8.28515625" style="137"/>
    <col min="452" max="452" width="10.140625" style="137" customWidth="1"/>
    <col min="453" max="453" width="45.28515625" style="137" customWidth="1"/>
    <col min="454" max="454" width="17.42578125" style="137" customWidth="1"/>
    <col min="455" max="458" width="15.7109375" style="137" customWidth="1"/>
    <col min="459" max="469" width="0" style="137" hidden="1" customWidth="1"/>
    <col min="470" max="470" width="15.7109375" style="137" customWidth="1"/>
    <col min="471" max="472" width="16.7109375" style="137" customWidth="1"/>
    <col min="473" max="473" width="11.5703125" style="137" bestFit="1" customWidth="1"/>
    <col min="474" max="474" width="76.5703125" style="137" bestFit="1" customWidth="1"/>
    <col min="475" max="478" width="0" style="137" hidden="1" customWidth="1"/>
    <col min="479" max="481" width="10.7109375" style="137" customWidth="1"/>
    <col min="482" max="482" width="11" style="137" bestFit="1" customWidth="1"/>
    <col min="483" max="484" width="10.28515625" style="137" bestFit="1" customWidth="1"/>
    <col min="485" max="485" width="14" style="137" customWidth="1"/>
    <col min="486" max="486" width="65.42578125" style="137" bestFit="1" customWidth="1"/>
    <col min="487" max="487" width="15.42578125" style="137" bestFit="1" customWidth="1"/>
    <col min="488" max="488" width="15.42578125" style="137" customWidth="1"/>
    <col min="489" max="489" width="20.85546875" style="137" bestFit="1" customWidth="1"/>
    <col min="490" max="490" width="20.7109375" style="137" bestFit="1" customWidth="1"/>
    <col min="491" max="491" width="20.7109375" style="137" customWidth="1"/>
    <col min="492" max="499" width="0" style="137" hidden="1" customWidth="1"/>
    <col min="500" max="501" width="17.7109375" style="137" customWidth="1"/>
    <col min="502" max="502" width="21.28515625" style="137" customWidth="1"/>
    <col min="503" max="503" width="0" style="137" hidden="1" customWidth="1"/>
    <col min="504" max="504" width="13.42578125" style="137" customWidth="1"/>
    <col min="505" max="529" width="0" style="137" hidden="1" customWidth="1"/>
    <col min="530" max="707" width="8.28515625" style="137"/>
    <col min="708" max="708" width="10.140625" style="137" customWidth="1"/>
    <col min="709" max="709" width="45.28515625" style="137" customWidth="1"/>
    <col min="710" max="710" width="17.42578125" style="137" customWidth="1"/>
    <col min="711" max="714" width="15.7109375" style="137" customWidth="1"/>
    <col min="715" max="725" width="0" style="137" hidden="1" customWidth="1"/>
    <col min="726" max="726" width="15.7109375" style="137" customWidth="1"/>
    <col min="727" max="728" width="16.7109375" style="137" customWidth="1"/>
    <col min="729" max="729" width="11.5703125" style="137" bestFit="1" customWidth="1"/>
    <col min="730" max="730" width="76.5703125" style="137" bestFit="1" customWidth="1"/>
    <col min="731" max="734" width="0" style="137" hidden="1" customWidth="1"/>
    <col min="735" max="737" width="10.7109375" style="137" customWidth="1"/>
    <col min="738" max="738" width="11" style="137" bestFit="1" customWidth="1"/>
    <col min="739" max="740" width="10.28515625" style="137" bestFit="1" customWidth="1"/>
    <col min="741" max="741" width="14" style="137" customWidth="1"/>
    <col min="742" max="742" width="65.42578125" style="137" bestFit="1" customWidth="1"/>
    <col min="743" max="743" width="15.42578125" style="137" bestFit="1" customWidth="1"/>
    <col min="744" max="744" width="15.42578125" style="137" customWidth="1"/>
    <col min="745" max="745" width="20.85546875" style="137" bestFit="1" customWidth="1"/>
    <col min="746" max="746" width="20.7109375" style="137" bestFit="1" customWidth="1"/>
    <col min="747" max="747" width="20.7109375" style="137" customWidth="1"/>
    <col min="748" max="755" width="0" style="137" hidden="1" customWidth="1"/>
    <col min="756" max="757" width="17.7109375" style="137" customWidth="1"/>
    <col min="758" max="758" width="21.28515625" style="137" customWidth="1"/>
    <col min="759" max="759" width="0" style="137" hidden="1" customWidth="1"/>
    <col min="760" max="760" width="13.42578125" style="137" customWidth="1"/>
    <col min="761" max="785" width="0" style="137" hidden="1" customWidth="1"/>
    <col min="786" max="963" width="8.28515625" style="137"/>
    <col min="964" max="964" width="10.140625" style="137" customWidth="1"/>
    <col min="965" max="965" width="45.28515625" style="137" customWidth="1"/>
    <col min="966" max="966" width="17.42578125" style="137" customWidth="1"/>
    <col min="967" max="970" width="15.7109375" style="137" customWidth="1"/>
    <col min="971" max="981" width="0" style="137" hidden="1" customWidth="1"/>
    <col min="982" max="982" width="15.7109375" style="137" customWidth="1"/>
    <col min="983" max="984" width="16.7109375" style="137" customWidth="1"/>
    <col min="985" max="985" width="11.5703125" style="137" bestFit="1" customWidth="1"/>
    <col min="986" max="986" width="76.5703125" style="137" bestFit="1" customWidth="1"/>
    <col min="987" max="990" width="0" style="137" hidden="1" customWidth="1"/>
    <col min="991" max="993" width="10.7109375" style="137" customWidth="1"/>
    <col min="994" max="994" width="11" style="137" bestFit="1" customWidth="1"/>
    <col min="995" max="996" width="10.28515625" style="137" bestFit="1" customWidth="1"/>
    <col min="997" max="997" width="14" style="137" customWidth="1"/>
    <col min="998" max="998" width="65.42578125" style="137" bestFit="1" customWidth="1"/>
    <col min="999" max="999" width="15.42578125" style="137" bestFit="1" customWidth="1"/>
    <col min="1000" max="1000" width="15.42578125" style="137" customWidth="1"/>
    <col min="1001" max="1001" width="20.85546875" style="137" bestFit="1" customWidth="1"/>
    <col min="1002" max="1002" width="20.7109375" style="137" bestFit="1" customWidth="1"/>
    <col min="1003" max="1003" width="20.7109375" style="137" customWidth="1"/>
    <col min="1004" max="1011" width="0" style="137" hidden="1" customWidth="1"/>
    <col min="1012" max="1013" width="17.7109375" style="137" customWidth="1"/>
    <col min="1014" max="1014" width="21.28515625" style="137" customWidth="1"/>
    <col min="1015" max="1015" width="0" style="137" hidden="1" customWidth="1"/>
    <col min="1016" max="1016" width="13.42578125" style="137" customWidth="1"/>
    <col min="1017" max="1041" width="0" style="137" hidden="1" customWidth="1"/>
    <col min="1042" max="1219" width="8.28515625" style="137"/>
    <col min="1220" max="1220" width="10.140625" style="137" customWidth="1"/>
    <col min="1221" max="1221" width="45.28515625" style="137" customWidth="1"/>
    <col min="1222" max="1222" width="17.42578125" style="137" customWidth="1"/>
    <col min="1223" max="1226" width="15.7109375" style="137" customWidth="1"/>
    <col min="1227" max="1237" width="0" style="137" hidden="1" customWidth="1"/>
    <col min="1238" max="1238" width="15.7109375" style="137" customWidth="1"/>
    <col min="1239" max="1240" width="16.7109375" style="137" customWidth="1"/>
    <col min="1241" max="1241" width="11.5703125" style="137" bestFit="1" customWidth="1"/>
    <col min="1242" max="1242" width="76.5703125" style="137" bestFit="1" customWidth="1"/>
    <col min="1243" max="1246" width="0" style="137" hidden="1" customWidth="1"/>
    <col min="1247" max="1249" width="10.7109375" style="137" customWidth="1"/>
    <col min="1250" max="1250" width="11" style="137" bestFit="1" customWidth="1"/>
    <col min="1251" max="1252" width="10.28515625" style="137" bestFit="1" customWidth="1"/>
    <col min="1253" max="1253" width="14" style="137" customWidth="1"/>
    <col min="1254" max="1254" width="65.42578125" style="137" bestFit="1" customWidth="1"/>
    <col min="1255" max="1255" width="15.42578125" style="137" bestFit="1" customWidth="1"/>
    <col min="1256" max="1256" width="15.42578125" style="137" customWidth="1"/>
    <col min="1257" max="1257" width="20.85546875" style="137" bestFit="1" customWidth="1"/>
    <col min="1258" max="1258" width="20.7109375" style="137" bestFit="1" customWidth="1"/>
    <col min="1259" max="1259" width="20.7109375" style="137" customWidth="1"/>
    <col min="1260" max="1267" width="0" style="137" hidden="1" customWidth="1"/>
    <col min="1268" max="1269" width="17.7109375" style="137" customWidth="1"/>
    <col min="1270" max="1270" width="21.28515625" style="137" customWidth="1"/>
    <col min="1271" max="1271" width="0" style="137" hidden="1" customWidth="1"/>
    <col min="1272" max="1272" width="13.42578125" style="137" customWidth="1"/>
    <col min="1273" max="1297" width="0" style="137" hidden="1" customWidth="1"/>
    <col min="1298" max="1475" width="8.28515625" style="137"/>
    <col min="1476" max="1476" width="10.140625" style="137" customWidth="1"/>
    <col min="1477" max="1477" width="45.28515625" style="137" customWidth="1"/>
    <col min="1478" max="1478" width="17.42578125" style="137" customWidth="1"/>
    <col min="1479" max="1482" width="15.7109375" style="137" customWidth="1"/>
    <col min="1483" max="1493" width="0" style="137" hidden="1" customWidth="1"/>
    <col min="1494" max="1494" width="15.7109375" style="137" customWidth="1"/>
    <col min="1495" max="1496" width="16.7109375" style="137" customWidth="1"/>
    <col min="1497" max="1497" width="11.5703125" style="137" bestFit="1" customWidth="1"/>
    <col min="1498" max="1498" width="76.5703125" style="137" bestFit="1" customWidth="1"/>
    <col min="1499" max="1502" width="0" style="137" hidden="1" customWidth="1"/>
    <col min="1503" max="1505" width="10.7109375" style="137" customWidth="1"/>
    <col min="1506" max="1506" width="11" style="137" bestFit="1" customWidth="1"/>
    <col min="1507" max="1508" width="10.28515625" style="137" bestFit="1" customWidth="1"/>
    <col min="1509" max="1509" width="14" style="137" customWidth="1"/>
    <col min="1510" max="1510" width="65.42578125" style="137" bestFit="1" customWidth="1"/>
    <col min="1511" max="1511" width="15.42578125" style="137" bestFit="1" customWidth="1"/>
    <col min="1512" max="1512" width="15.42578125" style="137" customWidth="1"/>
    <col min="1513" max="1513" width="20.85546875" style="137" bestFit="1" customWidth="1"/>
    <col min="1514" max="1514" width="20.7109375" style="137" bestFit="1" customWidth="1"/>
    <col min="1515" max="1515" width="20.7109375" style="137" customWidth="1"/>
    <col min="1516" max="1523" width="0" style="137" hidden="1" customWidth="1"/>
    <col min="1524" max="1525" width="17.7109375" style="137" customWidth="1"/>
    <col min="1526" max="1526" width="21.28515625" style="137" customWidth="1"/>
    <col min="1527" max="1527" width="0" style="137" hidden="1" customWidth="1"/>
    <col min="1528" max="1528" width="13.42578125" style="137" customWidth="1"/>
    <col min="1529" max="1553" width="0" style="137" hidden="1" customWidth="1"/>
    <col min="1554" max="1731" width="8.28515625" style="137"/>
    <col min="1732" max="1732" width="10.140625" style="137" customWidth="1"/>
    <col min="1733" max="1733" width="45.28515625" style="137" customWidth="1"/>
    <col min="1734" max="1734" width="17.42578125" style="137" customWidth="1"/>
    <col min="1735" max="1738" width="15.7109375" style="137" customWidth="1"/>
    <col min="1739" max="1749" width="0" style="137" hidden="1" customWidth="1"/>
    <col min="1750" max="1750" width="15.7109375" style="137" customWidth="1"/>
    <col min="1751" max="1752" width="16.7109375" style="137" customWidth="1"/>
    <col min="1753" max="1753" width="11.5703125" style="137" bestFit="1" customWidth="1"/>
    <col min="1754" max="1754" width="76.5703125" style="137" bestFit="1" customWidth="1"/>
    <col min="1755" max="1758" width="0" style="137" hidden="1" customWidth="1"/>
    <col min="1759" max="1761" width="10.7109375" style="137" customWidth="1"/>
    <col min="1762" max="1762" width="11" style="137" bestFit="1" customWidth="1"/>
    <col min="1763" max="1764" width="10.28515625" style="137" bestFit="1" customWidth="1"/>
    <col min="1765" max="1765" width="14" style="137" customWidth="1"/>
    <col min="1766" max="1766" width="65.42578125" style="137" bestFit="1" customWidth="1"/>
    <col min="1767" max="1767" width="15.42578125" style="137" bestFit="1" customWidth="1"/>
    <col min="1768" max="1768" width="15.42578125" style="137" customWidth="1"/>
    <col min="1769" max="1769" width="20.85546875" style="137" bestFit="1" customWidth="1"/>
    <col min="1770" max="1770" width="20.7109375" style="137" bestFit="1" customWidth="1"/>
    <col min="1771" max="1771" width="20.7109375" style="137" customWidth="1"/>
    <col min="1772" max="1779" width="0" style="137" hidden="1" customWidth="1"/>
    <col min="1780" max="1781" width="17.7109375" style="137" customWidth="1"/>
    <col min="1782" max="1782" width="21.28515625" style="137" customWidth="1"/>
    <col min="1783" max="1783" width="0" style="137" hidden="1" customWidth="1"/>
    <col min="1784" max="1784" width="13.42578125" style="137" customWidth="1"/>
    <col min="1785" max="1809" width="0" style="137" hidden="1" customWidth="1"/>
    <col min="1810" max="1987" width="8.28515625" style="137"/>
    <col min="1988" max="1988" width="10.140625" style="137" customWidth="1"/>
    <col min="1989" max="1989" width="45.28515625" style="137" customWidth="1"/>
    <col min="1990" max="1990" width="17.42578125" style="137" customWidth="1"/>
    <col min="1991" max="1994" width="15.7109375" style="137" customWidth="1"/>
    <col min="1995" max="2005" width="0" style="137" hidden="1" customWidth="1"/>
    <col min="2006" max="2006" width="15.7109375" style="137" customWidth="1"/>
    <col min="2007" max="2008" width="16.7109375" style="137" customWidth="1"/>
    <col min="2009" max="2009" width="11.5703125" style="137" bestFit="1" customWidth="1"/>
    <col min="2010" max="2010" width="76.5703125" style="137" bestFit="1" customWidth="1"/>
    <col min="2011" max="2014" width="0" style="137" hidden="1" customWidth="1"/>
    <col min="2015" max="2017" width="10.7109375" style="137" customWidth="1"/>
    <col min="2018" max="2018" width="11" style="137" bestFit="1" customWidth="1"/>
    <col min="2019" max="2020" width="10.28515625" style="137" bestFit="1" customWidth="1"/>
    <col min="2021" max="2021" width="14" style="137" customWidth="1"/>
    <col min="2022" max="2022" width="65.42578125" style="137" bestFit="1" customWidth="1"/>
    <col min="2023" max="2023" width="15.42578125" style="137" bestFit="1" customWidth="1"/>
    <col min="2024" max="2024" width="15.42578125" style="137" customWidth="1"/>
    <col min="2025" max="2025" width="20.85546875" style="137" bestFit="1" customWidth="1"/>
    <col min="2026" max="2026" width="20.7109375" style="137" bestFit="1" customWidth="1"/>
    <col min="2027" max="2027" width="20.7109375" style="137" customWidth="1"/>
    <col min="2028" max="2035" width="0" style="137" hidden="1" customWidth="1"/>
    <col min="2036" max="2037" width="17.7109375" style="137" customWidth="1"/>
    <col min="2038" max="2038" width="21.28515625" style="137" customWidth="1"/>
    <col min="2039" max="2039" width="0" style="137" hidden="1" customWidth="1"/>
    <col min="2040" max="2040" width="13.42578125" style="137" customWidth="1"/>
    <col min="2041" max="2065" width="0" style="137" hidden="1" customWidth="1"/>
    <col min="2066" max="2243" width="8.28515625" style="137"/>
    <col min="2244" max="2244" width="10.140625" style="137" customWidth="1"/>
    <col min="2245" max="2245" width="45.28515625" style="137" customWidth="1"/>
    <col min="2246" max="2246" width="17.42578125" style="137" customWidth="1"/>
    <col min="2247" max="2250" width="15.7109375" style="137" customWidth="1"/>
    <col min="2251" max="2261" width="0" style="137" hidden="1" customWidth="1"/>
    <col min="2262" max="2262" width="15.7109375" style="137" customWidth="1"/>
    <col min="2263" max="2264" width="16.7109375" style="137" customWidth="1"/>
    <col min="2265" max="2265" width="11.5703125" style="137" bestFit="1" customWidth="1"/>
    <col min="2266" max="2266" width="76.5703125" style="137" bestFit="1" customWidth="1"/>
    <col min="2267" max="2270" width="0" style="137" hidden="1" customWidth="1"/>
    <col min="2271" max="2273" width="10.7109375" style="137" customWidth="1"/>
    <col min="2274" max="2274" width="11" style="137" bestFit="1" customWidth="1"/>
    <col min="2275" max="2276" width="10.28515625" style="137" bestFit="1" customWidth="1"/>
    <col min="2277" max="2277" width="14" style="137" customWidth="1"/>
    <col min="2278" max="2278" width="65.42578125" style="137" bestFit="1" customWidth="1"/>
    <col min="2279" max="2279" width="15.42578125" style="137" bestFit="1" customWidth="1"/>
    <col min="2280" max="2280" width="15.42578125" style="137" customWidth="1"/>
    <col min="2281" max="2281" width="20.85546875" style="137" bestFit="1" customWidth="1"/>
    <col min="2282" max="2282" width="20.7109375" style="137" bestFit="1" customWidth="1"/>
    <col min="2283" max="2283" width="20.7109375" style="137" customWidth="1"/>
    <col min="2284" max="2291" width="0" style="137" hidden="1" customWidth="1"/>
    <col min="2292" max="2293" width="17.7109375" style="137" customWidth="1"/>
    <col min="2294" max="2294" width="21.28515625" style="137" customWidth="1"/>
    <col min="2295" max="2295" width="0" style="137" hidden="1" customWidth="1"/>
    <col min="2296" max="2296" width="13.42578125" style="137" customWidth="1"/>
    <col min="2297" max="2321" width="0" style="137" hidden="1" customWidth="1"/>
    <col min="2322" max="2499" width="8.28515625" style="137"/>
    <col min="2500" max="2500" width="10.140625" style="137" customWidth="1"/>
    <col min="2501" max="2501" width="45.28515625" style="137" customWidth="1"/>
    <col min="2502" max="2502" width="17.42578125" style="137" customWidth="1"/>
    <col min="2503" max="2506" width="15.7109375" style="137" customWidth="1"/>
    <col min="2507" max="2517" width="0" style="137" hidden="1" customWidth="1"/>
    <col min="2518" max="2518" width="15.7109375" style="137" customWidth="1"/>
    <col min="2519" max="2520" width="16.7109375" style="137" customWidth="1"/>
    <col min="2521" max="2521" width="11.5703125" style="137" bestFit="1" customWidth="1"/>
    <col min="2522" max="2522" width="76.5703125" style="137" bestFit="1" customWidth="1"/>
    <col min="2523" max="2526" width="0" style="137" hidden="1" customWidth="1"/>
    <col min="2527" max="2529" width="10.7109375" style="137" customWidth="1"/>
    <col min="2530" max="2530" width="11" style="137" bestFit="1" customWidth="1"/>
    <col min="2531" max="2532" width="10.28515625" style="137" bestFit="1" customWidth="1"/>
    <col min="2533" max="2533" width="14" style="137" customWidth="1"/>
    <col min="2534" max="2534" width="65.42578125" style="137" bestFit="1" customWidth="1"/>
    <col min="2535" max="2535" width="15.42578125" style="137" bestFit="1" customWidth="1"/>
    <col min="2536" max="2536" width="15.42578125" style="137" customWidth="1"/>
    <col min="2537" max="2537" width="20.85546875" style="137" bestFit="1" customWidth="1"/>
    <col min="2538" max="2538" width="20.7109375" style="137" bestFit="1" customWidth="1"/>
    <col min="2539" max="2539" width="20.7109375" style="137" customWidth="1"/>
    <col min="2540" max="2547" width="0" style="137" hidden="1" customWidth="1"/>
    <col min="2548" max="2549" width="17.7109375" style="137" customWidth="1"/>
    <col min="2550" max="2550" width="21.28515625" style="137" customWidth="1"/>
    <col min="2551" max="2551" width="0" style="137" hidden="1" customWidth="1"/>
    <col min="2552" max="2552" width="13.42578125" style="137" customWidth="1"/>
    <col min="2553" max="2577" width="0" style="137" hidden="1" customWidth="1"/>
    <col min="2578" max="2755" width="8.28515625" style="137"/>
    <col min="2756" max="2756" width="10.140625" style="137" customWidth="1"/>
    <col min="2757" max="2757" width="45.28515625" style="137" customWidth="1"/>
    <col min="2758" max="2758" width="17.42578125" style="137" customWidth="1"/>
    <col min="2759" max="2762" width="15.7109375" style="137" customWidth="1"/>
    <col min="2763" max="2773" width="0" style="137" hidden="1" customWidth="1"/>
    <col min="2774" max="2774" width="15.7109375" style="137" customWidth="1"/>
    <col min="2775" max="2776" width="16.7109375" style="137" customWidth="1"/>
    <col min="2777" max="2777" width="11.5703125" style="137" bestFit="1" customWidth="1"/>
    <col min="2778" max="2778" width="76.5703125" style="137" bestFit="1" customWidth="1"/>
    <col min="2779" max="2782" width="0" style="137" hidden="1" customWidth="1"/>
    <col min="2783" max="2785" width="10.7109375" style="137" customWidth="1"/>
    <col min="2786" max="2786" width="11" style="137" bestFit="1" customWidth="1"/>
    <col min="2787" max="2788" width="10.28515625" style="137" bestFit="1" customWidth="1"/>
    <col min="2789" max="2789" width="14" style="137" customWidth="1"/>
    <col min="2790" max="2790" width="65.42578125" style="137" bestFit="1" customWidth="1"/>
    <col min="2791" max="2791" width="15.42578125" style="137" bestFit="1" customWidth="1"/>
    <col min="2792" max="2792" width="15.42578125" style="137" customWidth="1"/>
    <col min="2793" max="2793" width="20.85546875" style="137" bestFit="1" customWidth="1"/>
    <col min="2794" max="2794" width="20.7109375" style="137" bestFit="1" customWidth="1"/>
    <col min="2795" max="2795" width="20.7109375" style="137" customWidth="1"/>
    <col min="2796" max="2803" width="0" style="137" hidden="1" customWidth="1"/>
    <col min="2804" max="2805" width="17.7109375" style="137" customWidth="1"/>
    <col min="2806" max="2806" width="21.28515625" style="137" customWidth="1"/>
    <col min="2807" max="2807" width="0" style="137" hidden="1" customWidth="1"/>
    <col min="2808" max="2808" width="13.42578125" style="137" customWidth="1"/>
    <col min="2809" max="2833" width="0" style="137" hidden="1" customWidth="1"/>
    <col min="2834" max="3011" width="8.28515625" style="137"/>
    <col min="3012" max="3012" width="10.140625" style="137" customWidth="1"/>
    <col min="3013" max="3013" width="45.28515625" style="137" customWidth="1"/>
    <col min="3014" max="3014" width="17.42578125" style="137" customWidth="1"/>
    <col min="3015" max="3018" width="15.7109375" style="137" customWidth="1"/>
    <col min="3019" max="3029" width="0" style="137" hidden="1" customWidth="1"/>
    <col min="3030" max="3030" width="15.7109375" style="137" customWidth="1"/>
    <col min="3031" max="3032" width="16.7109375" style="137" customWidth="1"/>
    <col min="3033" max="3033" width="11.5703125" style="137" bestFit="1" customWidth="1"/>
    <col min="3034" max="3034" width="76.5703125" style="137" bestFit="1" customWidth="1"/>
    <col min="3035" max="3038" width="0" style="137" hidden="1" customWidth="1"/>
    <col min="3039" max="3041" width="10.7109375" style="137" customWidth="1"/>
    <col min="3042" max="3042" width="11" style="137" bestFit="1" customWidth="1"/>
    <col min="3043" max="3044" width="10.28515625" style="137" bestFit="1" customWidth="1"/>
    <col min="3045" max="3045" width="14" style="137" customWidth="1"/>
    <col min="3046" max="3046" width="65.42578125" style="137" bestFit="1" customWidth="1"/>
    <col min="3047" max="3047" width="15.42578125" style="137" bestFit="1" customWidth="1"/>
    <col min="3048" max="3048" width="15.42578125" style="137" customWidth="1"/>
    <col min="3049" max="3049" width="20.85546875" style="137" bestFit="1" customWidth="1"/>
    <col min="3050" max="3050" width="20.7109375" style="137" bestFit="1" customWidth="1"/>
    <col min="3051" max="3051" width="20.7109375" style="137" customWidth="1"/>
    <col min="3052" max="3059" width="0" style="137" hidden="1" customWidth="1"/>
    <col min="3060" max="3061" width="17.7109375" style="137" customWidth="1"/>
    <col min="3062" max="3062" width="21.28515625" style="137" customWidth="1"/>
    <col min="3063" max="3063" width="0" style="137" hidden="1" customWidth="1"/>
    <col min="3064" max="3064" width="13.42578125" style="137" customWidth="1"/>
    <col min="3065" max="3089" width="0" style="137" hidden="1" customWidth="1"/>
    <col min="3090" max="3267" width="8.28515625" style="137"/>
    <col min="3268" max="3268" width="10.140625" style="137" customWidth="1"/>
    <col min="3269" max="3269" width="45.28515625" style="137" customWidth="1"/>
    <col min="3270" max="3270" width="17.42578125" style="137" customWidth="1"/>
    <col min="3271" max="3274" width="15.7109375" style="137" customWidth="1"/>
    <col min="3275" max="3285" width="0" style="137" hidden="1" customWidth="1"/>
    <col min="3286" max="3286" width="15.7109375" style="137" customWidth="1"/>
    <col min="3287" max="3288" width="16.7109375" style="137" customWidth="1"/>
    <col min="3289" max="3289" width="11.5703125" style="137" bestFit="1" customWidth="1"/>
    <col min="3290" max="3290" width="76.5703125" style="137" bestFit="1" customWidth="1"/>
    <col min="3291" max="3294" width="0" style="137" hidden="1" customWidth="1"/>
    <col min="3295" max="3297" width="10.7109375" style="137" customWidth="1"/>
    <col min="3298" max="3298" width="11" style="137" bestFit="1" customWidth="1"/>
    <col min="3299" max="3300" width="10.28515625" style="137" bestFit="1" customWidth="1"/>
    <col min="3301" max="3301" width="14" style="137" customWidth="1"/>
    <col min="3302" max="3302" width="65.42578125" style="137" bestFit="1" customWidth="1"/>
    <col min="3303" max="3303" width="15.42578125" style="137" bestFit="1" customWidth="1"/>
    <col min="3304" max="3304" width="15.42578125" style="137" customWidth="1"/>
    <col min="3305" max="3305" width="20.85546875" style="137" bestFit="1" customWidth="1"/>
    <col min="3306" max="3306" width="20.7109375" style="137" bestFit="1" customWidth="1"/>
    <col min="3307" max="3307" width="20.7109375" style="137" customWidth="1"/>
    <col min="3308" max="3315" width="0" style="137" hidden="1" customWidth="1"/>
    <col min="3316" max="3317" width="17.7109375" style="137" customWidth="1"/>
    <col min="3318" max="3318" width="21.28515625" style="137" customWidth="1"/>
    <col min="3319" max="3319" width="0" style="137" hidden="1" customWidth="1"/>
    <col min="3320" max="3320" width="13.42578125" style="137" customWidth="1"/>
    <col min="3321" max="3345" width="0" style="137" hidden="1" customWidth="1"/>
    <col min="3346" max="3523" width="8.28515625" style="137"/>
    <col min="3524" max="3524" width="10.140625" style="137" customWidth="1"/>
    <col min="3525" max="3525" width="45.28515625" style="137" customWidth="1"/>
    <col min="3526" max="3526" width="17.42578125" style="137" customWidth="1"/>
    <col min="3527" max="3530" width="15.7109375" style="137" customWidth="1"/>
    <col min="3531" max="3541" width="0" style="137" hidden="1" customWidth="1"/>
    <col min="3542" max="3542" width="15.7109375" style="137" customWidth="1"/>
    <col min="3543" max="3544" width="16.7109375" style="137" customWidth="1"/>
    <col min="3545" max="3545" width="11.5703125" style="137" bestFit="1" customWidth="1"/>
    <col min="3546" max="3546" width="76.5703125" style="137" bestFit="1" customWidth="1"/>
    <col min="3547" max="3550" width="0" style="137" hidden="1" customWidth="1"/>
    <col min="3551" max="3553" width="10.7109375" style="137" customWidth="1"/>
    <col min="3554" max="3554" width="11" style="137" bestFit="1" customWidth="1"/>
    <col min="3555" max="3556" width="10.28515625" style="137" bestFit="1" customWidth="1"/>
    <col min="3557" max="3557" width="14" style="137" customWidth="1"/>
    <col min="3558" max="3558" width="65.42578125" style="137" bestFit="1" customWidth="1"/>
    <col min="3559" max="3559" width="15.42578125" style="137" bestFit="1" customWidth="1"/>
    <col min="3560" max="3560" width="15.42578125" style="137" customWidth="1"/>
    <col min="3561" max="3561" width="20.85546875" style="137" bestFit="1" customWidth="1"/>
    <col min="3562" max="3562" width="20.7109375" style="137" bestFit="1" customWidth="1"/>
    <col min="3563" max="3563" width="20.7109375" style="137" customWidth="1"/>
    <col min="3564" max="3571" width="0" style="137" hidden="1" customWidth="1"/>
    <col min="3572" max="3573" width="17.7109375" style="137" customWidth="1"/>
    <col min="3574" max="3574" width="21.28515625" style="137" customWidth="1"/>
    <col min="3575" max="3575" width="0" style="137" hidden="1" customWidth="1"/>
    <col min="3576" max="3576" width="13.42578125" style="137" customWidth="1"/>
    <col min="3577" max="3601" width="0" style="137" hidden="1" customWidth="1"/>
    <col min="3602" max="3779" width="8.28515625" style="137"/>
    <col min="3780" max="3780" width="10.140625" style="137" customWidth="1"/>
    <col min="3781" max="3781" width="45.28515625" style="137" customWidth="1"/>
    <col min="3782" max="3782" width="17.42578125" style="137" customWidth="1"/>
    <col min="3783" max="3786" width="15.7109375" style="137" customWidth="1"/>
    <col min="3787" max="3797" width="0" style="137" hidden="1" customWidth="1"/>
    <col min="3798" max="3798" width="15.7109375" style="137" customWidth="1"/>
    <col min="3799" max="3800" width="16.7109375" style="137" customWidth="1"/>
    <col min="3801" max="3801" width="11.5703125" style="137" bestFit="1" customWidth="1"/>
    <col min="3802" max="3802" width="76.5703125" style="137" bestFit="1" customWidth="1"/>
    <col min="3803" max="3806" width="0" style="137" hidden="1" customWidth="1"/>
    <col min="3807" max="3809" width="10.7109375" style="137" customWidth="1"/>
    <col min="3810" max="3810" width="11" style="137" bestFit="1" customWidth="1"/>
    <col min="3811" max="3812" width="10.28515625" style="137" bestFit="1" customWidth="1"/>
    <col min="3813" max="3813" width="14" style="137" customWidth="1"/>
    <col min="3814" max="3814" width="65.42578125" style="137" bestFit="1" customWidth="1"/>
    <col min="3815" max="3815" width="15.42578125" style="137" bestFit="1" customWidth="1"/>
    <col min="3816" max="3816" width="15.42578125" style="137" customWidth="1"/>
    <col min="3817" max="3817" width="20.85546875" style="137" bestFit="1" customWidth="1"/>
    <col min="3818" max="3818" width="20.7109375" style="137" bestFit="1" customWidth="1"/>
    <col min="3819" max="3819" width="20.7109375" style="137" customWidth="1"/>
    <col min="3820" max="3827" width="0" style="137" hidden="1" customWidth="1"/>
    <col min="3828" max="3829" width="17.7109375" style="137" customWidth="1"/>
    <col min="3830" max="3830" width="21.28515625" style="137" customWidth="1"/>
    <col min="3831" max="3831" width="0" style="137" hidden="1" customWidth="1"/>
    <col min="3832" max="3832" width="13.42578125" style="137" customWidth="1"/>
    <col min="3833" max="3857" width="0" style="137" hidden="1" customWidth="1"/>
    <col min="3858" max="4035" width="8.28515625" style="137"/>
    <col min="4036" max="4036" width="10.140625" style="137" customWidth="1"/>
    <col min="4037" max="4037" width="45.28515625" style="137" customWidth="1"/>
    <col min="4038" max="4038" width="17.42578125" style="137" customWidth="1"/>
    <col min="4039" max="4042" width="15.7109375" style="137" customWidth="1"/>
    <col min="4043" max="4053" width="0" style="137" hidden="1" customWidth="1"/>
    <col min="4054" max="4054" width="15.7109375" style="137" customWidth="1"/>
    <col min="4055" max="4056" width="16.7109375" style="137" customWidth="1"/>
    <col min="4057" max="4057" width="11.5703125" style="137" bestFit="1" customWidth="1"/>
    <col min="4058" max="4058" width="76.5703125" style="137" bestFit="1" customWidth="1"/>
    <col min="4059" max="4062" width="0" style="137" hidden="1" customWidth="1"/>
    <col min="4063" max="4065" width="10.7109375" style="137" customWidth="1"/>
    <col min="4066" max="4066" width="11" style="137" bestFit="1" customWidth="1"/>
    <col min="4067" max="4068" width="10.28515625" style="137" bestFit="1" customWidth="1"/>
    <col min="4069" max="4069" width="14" style="137" customWidth="1"/>
    <col min="4070" max="4070" width="65.42578125" style="137" bestFit="1" customWidth="1"/>
    <col min="4071" max="4071" width="15.42578125" style="137" bestFit="1" customWidth="1"/>
    <col min="4072" max="4072" width="15.42578125" style="137" customWidth="1"/>
    <col min="4073" max="4073" width="20.85546875" style="137" bestFit="1" customWidth="1"/>
    <col min="4074" max="4074" width="20.7109375" style="137" bestFit="1" customWidth="1"/>
    <col min="4075" max="4075" width="20.7109375" style="137" customWidth="1"/>
    <col min="4076" max="4083" width="0" style="137" hidden="1" customWidth="1"/>
    <col min="4084" max="4085" width="17.7109375" style="137" customWidth="1"/>
    <col min="4086" max="4086" width="21.28515625" style="137" customWidth="1"/>
    <col min="4087" max="4087" width="0" style="137" hidden="1" customWidth="1"/>
    <col min="4088" max="4088" width="13.42578125" style="137" customWidth="1"/>
    <col min="4089" max="4113" width="0" style="137" hidden="1" customWidth="1"/>
    <col min="4114" max="4291" width="8.28515625" style="137"/>
    <col min="4292" max="4292" width="10.140625" style="137" customWidth="1"/>
    <col min="4293" max="4293" width="45.28515625" style="137" customWidth="1"/>
    <col min="4294" max="4294" width="17.42578125" style="137" customWidth="1"/>
    <col min="4295" max="4298" width="15.7109375" style="137" customWidth="1"/>
    <col min="4299" max="4309" width="0" style="137" hidden="1" customWidth="1"/>
    <col min="4310" max="4310" width="15.7109375" style="137" customWidth="1"/>
    <col min="4311" max="4312" width="16.7109375" style="137" customWidth="1"/>
    <col min="4313" max="4313" width="11.5703125" style="137" bestFit="1" customWidth="1"/>
    <col min="4314" max="4314" width="76.5703125" style="137" bestFit="1" customWidth="1"/>
    <col min="4315" max="4318" width="0" style="137" hidden="1" customWidth="1"/>
    <col min="4319" max="4321" width="10.7109375" style="137" customWidth="1"/>
    <col min="4322" max="4322" width="11" style="137" bestFit="1" customWidth="1"/>
    <col min="4323" max="4324" width="10.28515625" style="137" bestFit="1" customWidth="1"/>
    <col min="4325" max="4325" width="14" style="137" customWidth="1"/>
    <col min="4326" max="4326" width="65.42578125" style="137" bestFit="1" customWidth="1"/>
    <col min="4327" max="4327" width="15.42578125" style="137" bestFit="1" customWidth="1"/>
    <col min="4328" max="4328" width="15.42578125" style="137" customWidth="1"/>
    <col min="4329" max="4329" width="20.85546875" style="137" bestFit="1" customWidth="1"/>
    <col min="4330" max="4330" width="20.7109375" style="137" bestFit="1" customWidth="1"/>
    <col min="4331" max="4331" width="20.7109375" style="137" customWidth="1"/>
    <col min="4332" max="4339" width="0" style="137" hidden="1" customWidth="1"/>
    <col min="4340" max="4341" width="17.7109375" style="137" customWidth="1"/>
    <col min="4342" max="4342" width="21.28515625" style="137" customWidth="1"/>
    <col min="4343" max="4343" width="0" style="137" hidden="1" customWidth="1"/>
    <col min="4344" max="4344" width="13.42578125" style="137" customWidth="1"/>
    <col min="4345" max="4369" width="0" style="137" hidden="1" customWidth="1"/>
    <col min="4370" max="4547" width="8.28515625" style="137"/>
    <col min="4548" max="4548" width="10.140625" style="137" customWidth="1"/>
    <col min="4549" max="4549" width="45.28515625" style="137" customWidth="1"/>
    <col min="4550" max="4550" width="17.42578125" style="137" customWidth="1"/>
    <col min="4551" max="4554" width="15.7109375" style="137" customWidth="1"/>
    <col min="4555" max="4565" width="0" style="137" hidden="1" customWidth="1"/>
    <col min="4566" max="4566" width="15.7109375" style="137" customWidth="1"/>
    <col min="4567" max="4568" width="16.7109375" style="137" customWidth="1"/>
    <col min="4569" max="4569" width="11.5703125" style="137" bestFit="1" customWidth="1"/>
    <col min="4570" max="4570" width="76.5703125" style="137" bestFit="1" customWidth="1"/>
    <col min="4571" max="4574" width="0" style="137" hidden="1" customWidth="1"/>
    <col min="4575" max="4577" width="10.7109375" style="137" customWidth="1"/>
    <col min="4578" max="4578" width="11" style="137" bestFit="1" customWidth="1"/>
    <col min="4579" max="4580" width="10.28515625" style="137" bestFit="1" customWidth="1"/>
    <col min="4581" max="4581" width="14" style="137" customWidth="1"/>
    <col min="4582" max="4582" width="65.42578125" style="137" bestFit="1" customWidth="1"/>
    <col min="4583" max="4583" width="15.42578125" style="137" bestFit="1" customWidth="1"/>
    <col min="4584" max="4584" width="15.42578125" style="137" customWidth="1"/>
    <col min="4585" max="4585" width="20.85546875" style="137" bestFit="1" customWidth="1"/>
    <col min="4586" max="4586" width="20.7109375" style="137" bestFit="1" customWidth="1"/>
    <col min="4587" max="4587" width="20.7109375" style="137" customWidth="1"/>
    <col min="4588" max="4595" width="0" style="137" hidden="1" customWidth="1"/>
    <col min="4596" max="4597" width="17.7109375" style="137" customWidth="1"/>
    <col min="4598" max="4598" width="21.28515625" style="137" customWidth="1"/>
    <col min="4599" max="4599" width="0" style="137" hidden="1" customWidth="1"/>
    <col min="4600" max="4600" width="13.42578125" style="137" customWidth="1"/>
    <col min="4601" max="4625" width="0" style="137" hidden="1" customWidth="1"/>
    <col min="4626" max="4803" width="8.28515625" style="137"/>
    <col min="4804" max="4804" width="10.140625" style="137" customWidth="1"/>
    <col min="4805" max="4805" width="45.28515625" style="137" customWidth="1"/>
    <col min="4806" max="4806" width="17.42578125" style="137" customWidth="1"/>
    <col min="4807" max="4810" width="15.7109375" style="137" customWidth="1"/>
    <col min="4811" max="4821" width="0" style="137" hidden="1" customWidth="1"/>
    <col min="4822" max="4822" width="15.7109375" style="137" customWidth="1"/>
    <col min="4823" max="4824" width="16.7109375" style="137" customWidth="1"/>
    <col min="4825" max="4825" width="11.5703125" style="137" bestFit="1" customWidth="1"/>
    <col min="4826" max="4826" width="76.5703125" style="137" bestFit="1" customWidth="1"/>
    <col min="4827" max="4830" width="0" style="137" hidden="1" customWidth="1"/>
    <col min="4831" max="4833" width="10.7109375" style="137" customWidth="1"/>
    <col min="4834" max="4834" width="11" style="137" bestFit="1" customWidth="1"/>
    <col min="4835" max="4836" width="10.28515625" style="137" bestFit="1" customWidth="1"/>
    <col min="4837" max="4837" width="14" style="137" customWidth="1"/>
    <col min="4838" max="4838" width="65.42578125" style="137" bestFit="1" customWidth="1"/>
    <col min="4839" max="4839" width="15.42578125" style="137" bestFit="1" customWidth="1"/>
    <col min="4840" max="4840" width="15.42578125" style="137" customWidth="1"/>
    <col min="4841" max="4841" width="20.85546875" style="137" bestFit="1" customWidth="1"/>
    <col min="4842" max="4842" width="20.7109375" style="137" bestFit="1" customWidth="1"/>
    <col min="4843" max="4843" width="20.7109375" style="137" customWidth="1"/>
    <col min="4844" max="4851" width="0" style="137" hidden="1" customWidth="1"/>
    <col min="4852" max="4853" width="17.7109375" style="137" customWidth="1"/>
    <col min="4854" max="4854" width="21.28515625" style="137" customWidth="1"/>
    <col min="4855" max="4855" width="0" style="137" hidden="1" customWidth="1"/>
    <col min="4856" max="4856" width="13.42578125" style="137" customWidth="1"/>
    <col min="4857" max="4881" width="0" style="137" hidden="1" customWidth="1"/>
    <col min="4882" max="5059" width="8.28515625" style="137"/>
    <col min="5060" max="5060" width="10.140625" style="137" customWidth="1"/>
    <col min="5061" max="5061" width="45.28515625" style="137" customWidth="1"/>
    <col min="5062" max="5062" width="17.42578125" style="137" customWidth="1"/>
    <col min="5063" max="5066" width="15.7109375" style="137" customWidth="1"/>
    <col min="5067" max="5077" width="0" style="137" hidden="1" customWidth="1"/>
    <col min="5078" max="5078" width="15.7109375" style="137" customWidth="1"/>
    <col min="5079" max="5080" width="16.7109375" style="137" customWidth="1"/>
    <col min="5081" max="5081" width="11.5703125" style="137" bestFit="1" customWidth="1"/>
    <col min="5082" max="5082" width="76.5703125" style="137" bestFit="1" customWidth="1"/>
    <col min="5083" max="5086" width="0" style="137" hidden="1" customWidth="1"/>
    <col min="5087" max="5089" width="10.7109375" style="137" customWidth="1"/>
    <col min="5090" max="5090" width="11" style="137" bestFit="1" customWidth="1"/>
    <col min="5091" max="5092" width="10.28515625" style="137" bestFit="1" customWidth="1"/>
    <col min="5093" max="5093" width="14" style="137" customWidth="1"/>
    <col min="5094" max="5094" width="65.42578125" style="137" bestFit="1" customWidth="1"/>
    <col min="5095" max="5095" width="15.42578125" style="137" bestFit="1" customWidth="1"/>
    <col min="5096" max="5096" width="15.42578125" style="137" customWidth="1"/>
    <col min="5097" max="5097" width="20.85546875" style="137" bestFit="1" customWidth="1"/>
    <col min="5098" max="5098" width="20.7109375" style="137" bestFit="1" customWidth="1"/>
    <col min="5099" max="5099" width="20.7109375" style="137" customWidth="1"/>
    <col min="5100" max="5107" width="0" style="137" hidden="1" customWidth="1"/>
    <col min="5108" max="5109" width="17.7109375" style="137" customWidth="1"/>
    <col min="5110" max="5110" width="21.28515625" style="137" customWidth="1"/>
    <col min="5111" max="5111" width="0" style="137" hidden="1" customWidth="1"/>
    <col min="5112" max="5112" width="13.42578125" style="137" customWidth="1"/>
    <col min="5113" max="5137" width="0" style="137" hidden="1" customWidth="1"/>
    <col min="5138" max="5315" width="8.28515625" style="137"/>
    <col min="5316" max="5316" width="10.140625" style="137" customWidth="1"/>
    <col min="5317" max="5317" width="45.28515625" style="137" customWidth="1"/>
    <col min="5318" max="5318" width="17.42578125" style="137" customWidth="1"/>
    <col min="5319" max="5322" width="15.7109375" style="137" customWidth="1"/>
    <col min="5323" max="5333" width="0" style="137" hidden="1" customWidth="1"/>
    <col min="5334" max="5334" width="15.7109375" style="137" customWidth="1"/>
    <col min="5335" max="5336" width="16.7109375" style="137" customWidth="1"/>
    <col min="5337" max="5337" width="11.5703125" style="137" bestFit="1" customWidth="1"/>
    <col min="5338" max="5338" width="76.5703125" style="137" bestFit="1" customWidth="1"/>
    <col min="5339" max="5342" width="0" style="137" hidden="1" customWidth="1"/>
    <col min="5343" max="5345" width="10.7109375" style="137" customWidth="1"/>
    <col min="5346" max="5346" width="11" style="137" bestFit="1" customWidth="1"/>
    <col min="5347" max="5348" width="10.28515625" style="137" bestFit="1" customWidth="1"/>
    <col min="5349" max="5349" width="14" style="137" customWidth="1"/>
    <col min="5350" max="5350" width="65.42578125" style="137" bestFit="1" customWidth="1"/>
    <col min="5351" max="5351" width="15.42578125" style="137" bestFit="1" customWidth="1"/>
    <col min="5352" max="5352" width="15.42578125" style="137" customWidth="1"/>
    <col min="5353" max="5353" width="20.85546875" style="137" bestFit="1" customWidth="1"/>
    <col min="5354" max="5354" width="20.7109375" style="137" bestFit="1" customWidth="1"/>
    <col min="5355" max="5355" width="20.7109375" style="137" customWidth="1"/>
    <col min="5356" max="5363" width="0" style="137" hidden="1" customWidth="1"/>
    <col min="5364" max="5365" width="17.7109375" style="137" customWidth="1"/>
    <col min="5366" max="5366" width="21.28515625" style="137" customWidth="1"/>
    <col min="5367" max="5367" width="0" style="137" hidden="1" customWidth="1"/>
    <col min="5368" max="5368" width="13.42578125" style="137" customWidth="1"/>
    <col min="5369" max="5393" width="0" style="137" hidden="1" customWidth="1"/>
    <col min="5394" max="5571" width="8.28515625" style="137"/>
    <col min="5572" max="5572" width="10.140625" style="137" customWidth="1"/>
    <col min="5573" max="5573" width="45.28515625" style="137" customWidth="1"/>
    <col min="5574" max="5574" width="17.42578125" style="137" customWidth="1"/>
    <col min="5575" max="5578" width="15.7109375" style="137" customWidth="1"/>
    <col min="5579" max="5589" width="0" style="137" hidden="1" customWidth="1"/>
    <col min="5590" max="5590" width="15.7109375" style="137" customWidth="1"/>
    <col min="5591" max="5592" width="16.7109375" style="137" customWidth="1"/>
    <col min="5593" max="5593" width="11.5703125" style="137" bestFit="1" customWidth="1"/>
    <col min="5594" max="5594" width="76.5703125" style="137" bestFit="1" customWidth="1"/>
    <col min="5595" max="5598" width="0" style="137" hidden="1" customWidth="1"/>
    <col min="5599" max="5601" width="10.7109375" style="137" customWidth="1"/>
    <col min="5602" max="5602" width="11" style="137" bestFit="1" customWidth="1"/>
    <col min="5603" max="5604" width="10.28515625" style="137" bestFit="1" customWidth="1"/>
    <col min="5605" max="5605" width="14" style="137" customWidth="1"/>
    <col min="5606" max="5606" width="65.42578125" style="137" bestFit="1" customWidth="1"/>
    <col min="5607" max="5607" width="15.42578125" style="137" bestFit="1" customWidth="1"/>
    <col min="5608" max="5608" width="15.42578125" style="137" customWidth="1"/>
    <col min="5609" max="5609" width="20.85546875" style="137" bestFit="1" customWidth="1"/>
    <col min="5610" max="5610" width="20.7109375" style="137" bestFit="1" customWidth="1"/>
    <col min="5611" max="5611" width="20.7109375" style="137" customWidth="1"/>
    <col min="5612" max="5619" width="0" style="137" hidden="1" customWidth="1"/>
    <col min="5620" max="5621" width="17.7109375" style="137" customWidth="1"/>
    <col min="5622" max="5622" width="21.28515625" style="137" customWidth="1"/>
    <col min="5623" max="5623" width="0" style="137" hidden="1" customWidth="1"/>
    <col min="5624" max="5624" width="13.42578125" style="137" customWidth="1"/>
    <col min="5625" max="5649" width="0" style="137" hidden="1" customWidth="1"/>
    <col min="5650" max="5827" width="8.28515625" style="137"/>
    <col min="5828" max="5828" width="10.140625" style="137" customWidth="1"/>
    <col min="5829" max="5829" width="45.28515625" style="137" customWidth="1"/>
    <col min="5830" max="5830" width="17.42578125" style="137" customWidth="1"/>
    <col min="5831" max="5834" width="15.7109375" style="137" customWidth="1"/>
    <col min="5835" max="5845" width="0" style="137" hidden="1" customWidth="1"/>
    <col min="5846" max="5846" width="15.7109375" style="137" customWidth="1"/>
    <col min="5847" max="5848" width="16.7109375" style="137" customWidth="1"/>
    <col min="5849" max="5849" width="11.5703125" style="137" bestFit="1" customWidth="1"/>
    <col min="5850" max="5850" width="76.5703125" style="137" bestFit="1" customWidth="1"/>
    <col min="5851" max="5854" width="0" style="137" hidden="1" customWidth="1"/>
    <col min="5855" max="5857" width="10.7109375" style="137" customWidth="1"/>
    <col min="5858" max="5858" width="11" style="137" bestFit="1" customWidth="1"/>
    <col min="5859" max="5860" width="10.28515625" style="137" bestFit="1" customWidth="1"/>
    <col min="5861" max="5861" width="14" style="137" customWidth="1"/>
    <col min="5862" max="5862" width="65.42578125" style="137" bestFit="1" customWidth="1"/>
    <col min="5863" max="5863" width="15.42578125" style="137" bestFit="1" customWidth="1"/>
    <col min="5864" max="5864" width="15.42578125" style="137" customWidth="1"/>
    <col min="5865" max="5865" width="20.85546875" style="137" bestFit="1" customWidth="1"/>
    <col min="5866" max="5866" width="20.7109375" style="137" bestFit="1" customWidth="1"/>
    <col min="5867" max="5867" width="20.7109375" style="137" customWidth="1"/>
    <col min="5868" max="5875" width="0" style="137" hidden="1" customWidth="1"/>
    <col min="5876" max="5877" width="17.7109375" style="137" customWidth="1"/>
    <col min="5878" max="5878" width="21.28515625" style="137" customWidth="1"/>
    <col min="5879" max="5879" width="0" style="137" hidden="1" customWidth="1"/>
    <col min="5880" max="5880" width="13.42578125" style="137" customWidth="1"/>
    <col min="5881" max="5905" width="0" style="137" hidden="1" customWidth="1"/>
    <col min="5906" max="6083" width="8.28515625" style="137"/>
    <col min="6084" max="6084" width="10.140625" style="137" customWidth="1"/>
    <col min="6085" max="6085" width="45.28515625" style="137" customWidth="1"/>
    <col min="6086" max="6086" width="17.42578125" style="137" customWidth="1"/>
    <col min="6087" max="6090" width="15.7109375" style="137" customWidth="1"/>
    <col min="6091" max="6101" width="0" style="137" hidden="1" customWidth="1"/>
    <col min="6102" max="6102" width="15.7109375" style="137" customWidth="1"/>
    <col min="6103" max="6104" width="16.7109375" style="137" customWidth="1"/>
    <col min="6105" max="6105" width="11.5703125" style="137" bestFit="1" customWidth="1"/>
    <col min="6106" max="6106" width="76.5703125" style="137" bestFit="1" customWidth="1"/>
    <col min="6107" max="6110" width="0" style="137" hidden="1" customWidth="1"/>
    <col min="6111" max="6113" width="10.7109375" style="137" customWidth="1"/>
    <col min="6114" max="6114" width="11" style="137" bestFit="1" customWidth="1"/>
    <col min="6115" max="6116" width="10.28515625" style="137" bestFit="1" customWidth="1"/>
    <col min="6117" max="6117" width="14" style="137" customWidth="1"/>
    <col min="6118" max="6118" width="65.42578125" style="137" bestFit="1" customWidth="1"/>
    <col min="6119" max="6119" width="15.42578125" style="137" bestFit="1" customWidth="1"/>
    <col min="6120" max="6120" width="15.42578125" style="137" customWidth="1"/>
    <col min="6121" max="6121" width="20.85546875" style="137" bestFit="1" customWidth="1"/>
    <col min="6122" max="6122" width="20.7109375" style="137" bestFit="1" customWidth="1"/>
    <col min="6123" max="6123" width="20.7109375" style="137" customWidth="1"/>
    <col min="6124" max="6131" width="0" style="137" hidden="1" customWidth="1"/>
    <col min="6132" max="6133" width="17.7109375" style="137" customWidth="1"/>
    <col min="6134" max="6134" width="21.28515625" style="137" customWidth="1"/>
    <col min="6135" max="6135" width="0" style="137" hidden="1" customWidth="1"/>
    <col min="6136" max="6136" width="13.42578125" style="137" customWidth="1"/>
    <col min="6137" max="6161" width="0" style="137" hidden="1" customWidth="1"/>
    <col min="6162" max="6339" width="8.28515625" style="137"/>
    <col min="6340" max="6340" width="10.140625" style="137" customWidth="1"/>
    <col min="6341" max="6341" width="45.28515625" style="137" customWidth="1"/>
    <col min="6342" max="6342" width="17.42578125" style="137" customWidth="1"/>
    <col min="6343" max="6346" width="15.7109375" style="137" customWidth="1"/>
    <col min="6347" max="6357" width="0" style="137" hidden="1" customWidth="1"/>
    <col min="6358" max="6358" width="15.7109375" style="137" customWidth="1"/>
    <col min="6359" max="6360" width="16.7109375" style="137" customWidth="1"/>
    <col min="6361" max="6361" width="11.5703125" style="137" bestFit="1" customWidth="1"/>
    <col min="6362" max="6362" width="76.5703125" style="137" bestFit="1" customWidth="1"/>
    <col min="6363" max="6366" width="0" style="137" hidden="1" customWidth="1"/>
    <col min="6367" max="6369" width="10.7109375" style="137" customWidth="1"/>
    <col min="6370" max="6370" width="11" style="137" bestFit="1" customWidth="1"/>
    <col min="6371" max="6372" width="10.28515625" style="137" bestFit="1" customWidth="1"/>
    <col min="6373" max="6373" width="14" style="137" customWidth="1"/>
    <col min="6374" max="6374" width="65.42578125" style="137" bestFit="1" customWidth="1"/>
    <col min="6375" max="6375" width="15.42578125" style="137" bestFit="1" customWidth="1"/>
    <col min="6376" max="6376" width="15.42578125" style="137" customWidth="1"/>
    <col min="6377" max="6377" width="20.85546875" style="137" bestFit="1" customWidth="1"/>
    <col min="6378" max="6378" width="20.7109375" style="137" bestFit="1" customWidth="1"/>
    <col min="6379" max="6379" width="20.7109375" style="137" customWidth="1"/>
    <col min="6380" max="6387" width="0" style="137" hidden="1" customWidth="1"/>
    <col min="6388" max="6389" width="17.7109375" style="137" customWidth="1"/>
    <col min="6390" max="6390" width="21.28515625" style="137" customWidth="1"/>
    <col min="6391" max="6391" width="0" style="137" hidden="1" customWidth="1"/>
    <col min="6392" max="6392" width="13.42578125" style="137" customWidth="1"/>
    <col min="6393" max="6417" width="0" style="137" hidden="1" customWidth="1"/>
    <col min="6418" max="6595" width="8.28515625" style="137"/>
    <col min="6596" max="6596" width="10.140625" style="137" customWidth="1"/>
    <col min="6597" max="6597" width="45.28515625" style="137" customWidth="1"/>
    <col min="6598" max="6598" width="17.42578125" style="137" customWidth="1"/>
    <col min="6599" max="6602" width="15.7109375" style="137" customWidth="1"/>
    <col min="6603" max="6613" width="0" style="137" hidden="1" customWidth="1"/>
    <col min="6614" max="6614" width="15.7109375" style="137" customWidth="1"/>
    <col min="6615" max="6616" width="16.7109375" style="137" customWidth="1"/>
    <col min="6617" max="6617" width="11.5703125" style="137" bestFit="1" customWidth="1"/>
    <col min="6618" max="6618" width="76.5703125" style="137" bestFit="1" customWidth="1"/>
    <col min="6619" max="6622" width="0" style="137" hidden="1" customWidth="1"/>
    <col min="6623" max="6625" width="10.7109375" style="137" customWidth="1"/>
    <col min="6626" max="6626" width="11" style="137" bestFit="1" customWidth="1"/>
    <col min="6627" max="6628" width="10.28515625" style="137" bestFit="1" customWidth="1"/>
    <col min="6629" max="6629" width="14" style="137" customWidth="1"/>
    <col min="6630" max="6630" width="65.42578125" style="137" bestFit="1" customWidth="1"/>
    <col min="6631" max="6631" width="15.42578125" style="137" bestFit="1" customWidth="1"/>
    <col min="6632" max="6632" width="15.42578125" style="137" customWidth="1"/>
    <col min="6633" max="6633" width="20.85546875" style="137" bestFit="1" customWidth="1"/>
    <col min="6634" max="6634" width="20.7109375" style="137" bestFit="1" customWidth="1"/>
    <col min="6635" max="6635" width="20.7109375" style="137" customWidth="1"/>
    <col min="6636" max="6643" width="0" style="137" hidden="1" customWidth="1"/>
    <col min="6644" max="6645" width="17.7109375" style="137" customWidth="1"/>
    <col min="6646" max="6646" width="21.28515625" style="137" customWidth="1"/>
    <col min="6647" max="6647" width="0" style="137" hidden="1" customWidth="1"/>
    <col min="6648" max="6648" width="13.42578125" style="137" customWidth="1"/>
    <col min="6649" max="6673" width="0" style="137" hidden="1" customWidth="1"/>
    <col min="6674" max="6851" width="8.28515625" style="137"/>
    <col min="6852" max="6852" width="10.140625" style="137" customWidth="1"/>
    <col min="6853" max="6853" width="45.28515625" style="137" customWidth="1"/>
    <col min="6854" max="6854" width="17.42578125" style="137" customWidth="1"/>
    <col min="6855" max="6858" width="15.7109375" style="137" customWidth="1"/>
    <col min="6859" max="6869" width="0" style="137" hidden="1" customWidth="1"/>
    <col min="6870" max="6870" width="15.7109375" style="137" customWidth="1"/>
    <col min="6871" max="6872" width="16.7109375" style="137" customWidth="1"/>
    <col min="6873" max="6873" width="11.5703125" style="137" bestFit="1" customWidth="1"/>
    <col min="6874" max="6874" width="76.5703125" style="137" bestFit="1" customWidth="1"/>
    <col min="6875" max="6878" width="0" style="137" hidden="1" customWidth="1"/>
    <col min="6879" max="6881" width="10.7109375" style="137" customWidth="1"/>
    <col min="6882" max="6882" width="11" style="137" bestFit="1" customWidth="1"/>
    <col min="6883" max="6884" width="10.28515625" style="137" bestFit="1" customWidth="1"/>
    <col min="6885" max="6885" width="14" style="137" customWidth="1"/>
    <col min="6886" max="6886" width="65.42578125" style="137" bestFit="1" customWidth="1"/>
    <col min="6887" max="6887" width="15.42578125" style="137" bestFit="1" customWidth="1"/>
    <col min="6888" max="6888" width="15.42578125" style="137" customWidth="1"/>
    <col min="6889" max="6889" width="20.85546875" style="137" bestFit="1" customWidth="1"/>
    <col min="6890" max="6890" width="20.7109375" style="137" bestFit="1" customWidth="1"/>
    <col min="6891" max="6891" width="20.7109375" style="137" customWidth="1"/>
    <col min="6892" max="6899" width="0" style="137" hidden="1" customWidth="1"/>
    <col min="6900" max="6901" width="17.7109375" style="137" customWidth="1"/>
    <col min="6902" max="6902" width="21.28515625" style="137" customWidth="1"/>
    <col min="6903" max="6903" width="0" style="137" hidden="1" customWidth="1"/>
    <col min="6904" max="6904" width="13.42578125" style="137" customWidth="1"/>
    <col min="6905" max="6929" width="0" style="137" hidden="1" customWidth="1"/>
    <col min="6930" max="7107" width="8.28515625" style="137"/>
    <col min="7108" max="7108" width="10.140625" style="137" customWidth="1"/>
    <col min="7109" max="7109" width="45.28515625" style="137" customWidth="1"/>
    <col min="7110" max="7110" width="17.42578125" style="137" customWidth="1"/>
    <col min="7111" max="7114" width="15.7109375" style="137" customWidth="1"/>
    <col min="7115" max="7125" width="0" style="137" hidden="1" customWidth="1"/>
    <col min="7126" max="7126" width="15.7109375" style="137" customWidth="1"/>
    <col min="7127" max="7128" width="16.7109375" style="137" customWidth="1"/>
    <col min="7129" max="7129" width="11.5703125" style="137" bestFit="1" customWidth="1"/>
    <col min="7130" max="7130" width="76.5703125" style="137" bestFit="1" customWidth="1"/>
    <col min="7131" max="7134" width="0" style="137" hidden="1" customWidth="1"/>
    <col min="7135" max="7137" width="10.7109375" style="137" customWidth="1"/>
    <col min="7138" max="7138" width="11" style="137" bestFit="1" customWidth="1"/>
    <col min="7139" max="7140" width="10.28515625" style="137" bestFit="1" customWidth="1"/>
    <col min="7141" max="7141" width="14" style="137" customWidth="1"/>
    <col min="7142" max="7142" width="65.42578125" style="137" bestFit="1" customWidth="1"/>
    <col min="7143" max="7143" width="15.42578125" style="137" bestFit="1" customWidth="1"/>
    <col min="7144" max="7144" width="15.42578125" style="137" customWidth="1"/>
    <col min="7145" max="7145" width="20.85546875" style="137" bestFit="1" customWidth="1"/>
    <col min="7146" max="7146" width="20.7109375" style="137" bestFit="1" customWidth="1"/>
    <col min="7147" max="7147" width="20.7109375" style="137" customWidth="1"/>
    <col min="7148" max="7155" width="0" style="137" hidden="1" customWidth="1"/>
    <col min="7156" max="7157" width="17.7109375" style="137" customWidth="1"/>
    <col min="7158" max="7158" width="21.28515625" style="137" customWidth="1"/>
    <col min="7159" max="7159" width="0" style="137" hidden="1" customWidth="1"/>
    <col min="7160" max="7160" width="13.42578125" style="137" customWidth="1"/>
    <col min="7161" max="7185" width="0" style="137" hidden="1" customWidth="1"/>
    <col min="7186" max="7363" width="8.28515625" style="137"/>
    <col min="7364" max="7364" width="10.140625" style="137" customWidth="1"/>
    <col min="7365" max="7365" width="45.28515625" style="137" customWidth="1"/>
    <col min="7366" max="7366" width="17.42578125" style="137" customWidth="1"/>
    <col min="7367" max="7370" width="15.7109375" style="137" customWidth="1"/>
    <col min="7371" max="7381" width="0" style="137" hidden="1" customWidth="1"/>
    <col min="7382" max="7382" width="15.7109375" style="137" customWidth="1"/>
    <col min="7383" max="7384" width="16.7109375" style="137" customWidth="1"/>
    <col min="7385" max="7385" width="11.5703125" style="137" bestFit="1" customWidth="1"/>
    <col min="7386" max="7386" width="76.5703125" style="137" bestFit="1" customWidth="1"/>
    <col min="7387" max="7390" width="0" style="137" hidden="1" customWidth="1"/>
    <col min="7391" max="7393" width="10.7109375" style="137" customWidth="1"/>
    <col min="7394" max="7394" width="11" style="137" bestFit="1" customWidth="1"/>
    <col min="7395" max="7396" width="10.28515625" style="137" bestFit="1" customWidth="1"/>
    <col min="7397" max="7397" width="14" style="137" customWidth="1"/>
    <col min="7398" max="7398" width="65.42578125" style="137" bestFit="1" customWidth="1"/>
    <col min="7399" max="7399" width="15.42578125" style="137" bestFit="1" customWidth="1"/>
    <col min="7400" max="7400" width="15.42578125" style="137" customWidth="1"/>
    <col min="7401" max="7401" width="20.85546875" style="137" bestFit="1" customWidth="1"/>
    <col min="7402" max="7402" width="20.7109375" style="137" bestFit="1" customWidth="1"/>
    <col min="7403" max="7403" width="20.7109375" style="137" customWidth="1"/>
    <col min="7404" max="7411" width="0" style="137" hidden="1" customWidth="1"/>
    <col min="7412" max="7413" width="17.7109375" style="137" customWidth="1"/>
    <col min="7414" max="7414" width="21.28515625" style="137" customWidth="1"/>
    <col min="7415" max="7415" width="0" style="137" hidden="1" customWidth="1"/>
    <col min="7416" max="7416" width="13.42578125" style="137" customWidth="1"/>
    <col min="7417" max="7441" width="0" style="137" hidden="1" customWidth="1"/>
    <col min="7442" max="7619" width="8.28515625" style="137"/>
    <col min="7620" max="7620" width="10.140625" style="137" customWidth="1"/>
    <col min="7621" max="7621" width="45.28515625" style="137" customWidth="1"/>
    <col min="7622" max="7622" width="17.42578125" style="137" customWidth="1"/>
    <col min="7623" max="7626" width="15.7109375" style="137" customWidth="1"/>
    <col min="7627" max="7637" width="0" style="137" hidden="1" customWidth="1"/>
    <col min="7638" max="7638" width="15.7109375" style="137" customWidth="1"/>
    <col min="7639" max="7640" width="16.7109375" style="137" customWidth="1"/>
    <col min="7641" max="7641" width="11.5703125" style="137" bestFit="1" customWidth="1"/>
    <col min="7642" max="7642" width="76.5703125" style="137" bestFit="1" customWidth="1"/>
    <col min="7643" max="7646" width="0" style="137" hidden="1" customWidth="1"/>
    <col min="7647" max="7649" width="10.7109375" style="137" customWidth="1"/>
    <col min="7650" max="7650" width="11" style="137" bestFit="1" customWidth="1"/>
    <col min="7651" max="7652" width="10.28515625" style="137" bestFit="1" customWidth="1"/>
    <col min="7653" max="7653" width="14" style="137" customWidth="1"/>
    <col min="7654" max="7654" width="65.42578125" style="137" bestFit="1" customWidth="1"/>
    <col min="7655" max="7655" width="15.42578125" style="137" bestFit="1" customWidth="1"/>
    <col min="7656" max="7656" width="15.42578125" style="137" customWidth="1"/>
    <col min="7657" max="7657" width="20.85546875" style="137" bestFit="1" customWidth="1"/>
    <col min="7658" max="7658" width="20.7109375" style="137" bestFit="1" customWidth="1"/>
    <col min="7659" max="7659" width="20.7109375" style="137" customWidth="1"/>
    <col min="7660" max="7667" width="0" style="137" hidden="1" customWidth="1"/>
    <col min="7668" max="7669" width="17.7109375" style="137" customWidth="1"/>
    <col min="7670" max="7670" width="21.28515625" style="137" customWidth="1"/>
    <col min="7671" max="7671" width="0" style="137" hidden="1" customWidth="1"/>
    <col min="7672" max="7672" width="13.42578125" style="137" customWidth="1"/>
    <col min="7673" max="7697" width="0" style="137" hidden="1" customWidth="1"/>
    <col min="7698" max="7875" width="8.28515625" style="137"/>
    <col min="7876" max="7876" width="10.140625" style="137" customWidth="1"/>
    <col min="7877" max="7877" width="45.28515625" style="137" customWidth="1"/>
    <col min="7878" max="7878" width="17.42578125" style="137" customWidth="1"/>
    <col min="7879" max="7882" width="15.7109375" style="137" customWidth="1"/>
    <col min="7883" max="7893" width="0" style="137" hidden="1" customWidth="1"/>
    <col min="7894" max="7894" width="15.7109375" style="137" customWidth="1"/>
    <col min="7895" max="7896" width="16.7109375" style="137" customWidth="1"/>
    <col min="7897" max="7897" width="11.5703125" style="137" bestFit="1" customWidth="1"/>
    <col min="7898" max="7898" width="76.5703125" style="137" bestFit="1" customWidth="1"/>
    <col min="7899" max="7902" width="0" style="137" hidden="1" customWidth="1"/>
    <col min="7903" max="7905" width="10.7109375" style="137" customWidth="1"/>
    <col min="7906" max="7906" width="11" style="137" bestFit="1" customWidth="1"/>
    <col min="7907" max="7908" width="10.28515625" style="137" bestFit="1" customWidth="1"/>
    <col min="7909" max="7909" width="14" style="137" customWidth="1"/>
    <col min="7910" max="7910" width="65.42578125" style="137" bestFit="1" customWidth="1"/>
    <col min="7911" max="7911" width="15.42578125" style="137" bestFit="1" customWidth="1"/>
    <col min="7912" max="7912" width="15.42578125" style="137" customWidth="1"/>
    <col min="7913" max="7913" width="20.85546875" style="137" bestFit="1" customWidth="1"/>
    <col min="7914" max="7914" width="20.7109375" style="137" bestFit="1" customWidth="1"/>
    <col min="7915" max="7915" width="20.7109375" style="137" customWidth="1"/>
    <col min="7916" max="7923" width="0" style="137" hidden="1" customWidth="1"/>
    <col min="7924" max="7925" width="17.7109375" style="137" customWidth="1"/>
    <col min="7926" max="7926" width="21.28515625" style="137" customWidth="1"/>
    <col min="7927" max="7927" width="0" style="137" hidden="1" customWidth="1"/>
    <col min="7928" max="7928" width="13.42578125" style="137" customWidth="1"/>
    <col min="7929" max="7953" width="0" style="137" hidden="1" customWidth="1"/>
    <col min="7954" max="8131" width="8.28515625" style="137"/>
    <col min="8132" max="8132" width="10.140625" style="137" customWidth="1"/>
    <col min="8133" max="8133" width="45.28515625" style="137" customWidth="1"/>
    <col min="8134" max="8134" width="17.42578125" style="137" customWidth="1"/>
    <col min="8135" max="8138" width="15.7109375" style="137" customWidth="1"/>
    <col min="8139" max="8149" width="0" style="137" hidden="1" customWidth="1"/>
    <col min="8150" max="8150" width="15.7109375" style="137" customWidth="1"/>
    <col min="8151" max="8152" width="16.7109375" style="137" customWidth="1"/>
    <col min="8153" max="8153" width="11.5703125" style="137" bestFit="1" customWidth="1"/>
    <col min="8154" max="8154" width="76.5703125" style="137" bestFit="1" customWidth="1"/>
    <col min="8155" max="8158" width="0" style="137" hidden="1" customWidth="1"/>
    <col min="8159" max="8161" width="10.7109375" style="137" customWidth="1"/>
    <col min="8162" max="8162" width="11" style="137" bestFit="1" customWidth="1"/>
    <col min="8163" max="8164" width="10.28515625" style="137" bestFit="1" customWidth="1"/>
    <col min="8165" max="8165" width="14" style="137" customWidth="1"/>
    <col min="8166" max="8166" width="65.42578125" style="137" bestFit="1" customWidth="1"/>
    <col min="8167" max="8167" width="15.42578125" style="137" bestFit="1" customWidth="1"/>
    <col min="8168" max="8168" width="15.42578125" style="137" customWidth="1"/>
    <col min="8169" max="8169" width="20.85546875" style="137" bestFit="1" customWidth="1"/>
    <col min="8170" max="8170" width="20.7109375" style="137" bestFit="1" customWidth="1"/>
    <col min="8171" max="8171" width="20.7109375" style="137" customWidth="1"/>
    <col min="8172" max="8179" width="0" style="137" hidden="1" customWidth="1"/>
    <col min="8180" max="8181" width="17.7109375" style="137" customWidth="1"/>
    <col min="8182" max="8182" width="21.28515625" style="137" customWidth="1"/>
    <col min="8183" max="8183" width="0" style="137" hidden="1" customWidth="1"/>
    <col min="8184" max="8184" width="13.42578125" style="137" customWidth="1"/>
    <col min="8185" max="8209" width="0" style="137" hidden="1" customWidth="1"/>
    <col min="8210" max="8387" width="8.28515625" style="137"/>
    <col min="8388" max="8388" width="10.140625" style="137" customWidth="1"/>
    <col min="8389" max="8389" width="45.28515625" style="137" customWidth="1"/>
    <col min="8390" max="8390" width="17.42578125" style="137" customWidth="1"/>
    <col min="8391" max="8394" width="15.7109375" style="137" customWidth="1"/>
    <col min="8395" max="8405" width="0" style="137" hidden="1" customWidth="1"/>
    <col min="8406" max="8406" width="15.7109375" style="137" customWidth="1"/>
    <col min="8407" max="8408" width="16.7109375" style="137" customWidth="1"/>
    <col min="8409" max="8409" width="11.5703125" style="137" bestFit="1" customWidth="1"/>
    <col min="8410" max="8410" width="76.5703125" style="137" bestFit="1" customWidth="1"/>
    <col min="8411" max="8414" width="0" style="137" hidden="1" customWidth="1"/>
    <col min="8415" max="8417" width="10.7109375" style="137" customWidth="1"/>
    <col min="8418" max="8418" width="11" style="137" bestFit="1" customWidth="1"/>
    <col min="8419" max="8420" width="10.28515625" style="137" bestFit="1" customWidth="1"/>
    <col min="8421" max="8421" width="14" style="137" customWidth="1"/>
    <col min="8422" max="8422" width="65.42578125" style="137" bestFit="1" customWidth="1"/>
    <col min="8423" max="8423" width="15.42578125" style="137" bestFit="1" customWidth="1"/>
    <col min="8424" max="8424" width="15.42578125" style="137" customWidth="1"/>
    <col min="8425" max="8425" width="20.85546875" style="137" bestFit="1" customWidth="1"/>
    <col min="8426" max="8426" width="20.7109375" style="137" bestFit="1" customWidth="1"/>
    <col min="8427" max="8427" width="20.7109375" style="137" customWidth="1"/>
    <col min="8428" max="8435" width="0" style="137" hidden="1" customWidth="1"/>
    <col min="8436" max="8437" width="17.7109375" style="137" customWidth="1"/>
    <col min="8438" max="8438" width="21.28515625" style="137" customWidth="1"/>
    <col min="8439" max="8439" width="0" style="137" hidden="1" customWidth="1"/>
    <col min="8440" max="8440" width="13.42578125" style="137" customWidth="1"/>
    <col min="8441" max="8465" width="0" style="137" hidden="1" customWidth="1"/>
    <col min="8466" max="8643" width="8.28515625" style="137"/>
    <col min="8644" max="8644" width="10.140625" style="137" customWidth="1"/>
    <col min="8645" max="8645" width="45.28515625" style="137" customWidth="1"/>
    <col min="8646" max="8646" width="17.42578125" style="137" customWidth="1"/>
    <col min="8647" max="8650" width="15.7109375" style="137" customWidth="1"/>
    <col min="8651" max="8661" width="0" style="137" hidden="1" customWidth="1"/>
    <col min="8662" max="8662" width="15.7109375" style="137" customWidth="1"/>
    <col min="8663" max="8664" width="16.7109375" style="137" customWidth="1"/>
    <col min="8665" max="8665" width="11.5703125" style="137" bestFit="1" customWidth="1"/>
    <col min="8666" max="8666" width="76.5703125" style="137" bestFit="1" customWidth="1"/>
    <col min="8667" max="8670" width="0" style="137" hidden="1" customWidth="1"/>
    <col min="8671" max="8673" width="10.7109375" style="137" customWidth="1"/>
    <col min="8674" max="8674" width="11" style="137" bestFit="1" customWidth="1"/>
    <col min="8675" max="8676" width="10.28515625" style="137" bestFit="1" customWidth="1"/>
    <col min="8677" max="8677" width="14" style="137" customWidth="1"/>
    <col min="8678" max="8678" width="65.42578125" style="137" bestFit="1" customWidth="1"/>
    <col min="8679" max="8679" width="15.42578125" style="137" bestFit="1" customWidth="1"/>
    <col min="8680" max="8680" width="15.42578125" style="137" customWidth="1"/>
    <col min="8681" max="8681" width="20.85546875" style="137" bestFit="1" customWidth="1"/>
    <col min="8682" max="8682" width="20.7109375" style="137" bestFit="1" customWidth="1"/>
    <col min="8683" max="8683" width="20.7109375" style="137" customWidth="1"/>
    <col min="8684" max="8691" width="0" style="137" hidden="1" customWidth="1"/>
    <col min="8692" max="8693" width="17.7109375" style="137" customWidth="1"/>
    <col min="8694" max="8694" width="21.28515625" style="137" customWidth="1"/>
    <col min="8695" max="8695" width="0" style="137" hidden="1" customWidth="1"/>
    <col min="8696" max="8696" width="13.42578125" style="137" customWidth="1"/>
    <col min="8697" max="8721" width="0" style="137" hidden="1" customWidth="1"/>
    <col min="8722" max="8899" width="8.28515625" style="137"/>
    <col min="8900" max="8900" width="10.140625" style="137" customWidth="1"/>
    <col min="8901" max="8901" width="45.28515625" style="137" customWidth="1"/>
    <col min="8902" max="8902" width="17.42578125" style="137" customWidth="1"/>
    <col min="8903" max="8906" width="15.7109375" style="137" customWidth="1"/>
    <col min="8907" max="8917" width="0" style="137" hidden="1" customWidth="1"/>
    <col min="8918" max="8918" width="15.7109375" style="137" customWidth="1"/>
    <col min="8919" max="8920" width="16.7109375" style="137" customWidth="1"/>
    <col min="8921" max="8921" width="11.5703125" style="137" bestFit="1" customWidth="1"/>
    <col min="8922" max="8922" width="76.5703125" style="137" bestFit="1" customWidth="1"/>
    <col min="8923" max="8926" width="0" style="137" hidden="1" customWidth="1"/>
    <col min="8927" max="8929" width="10.7109375" style="137" customWidth="1"/>
    <col min="8930" max="8930" width="11" style="137" bestFit="1" customWidth="1"/>
    <col min="8931" max="8932" width="10.28515625" style="137" bestFit="1" customWidth="1"/>
    <col min="8933" max="8933" width="14" style="137" customWidth="1"/>
    <col min="8934" max="8934" width="65.42578125" style="137" bestFit="1" customWidth="1"/>
    <col min="8935" max="8935" width="15.42578125" style="137" bestFit="1" customWidth="1"/>
    <col min="8936" max="8936" width="15.42578125" style="137" customWidth="1"/>
    <col min="8937" max="8937" width="20.85546875" style="137" bestFit="1" customWidth="1"/>
    <col min="8938" max="8938" width="20.7109375" style="137" bestFit="1" customWidth="1"/>
    <col min="8939" max="8939" width="20.7109375" style="137" customWidth="1"/>
    <col min="8940" max="8947" width="0" style="137" hidden="1" customWidth="1"/>
    <col min="8948" max="8949" width="17.7109375" style="137" customWidth="1"/>
    <col min="8950" max="8950" width="21.28515625" style="137" customWidth="1"/>
    <col min="8951" max="8951" width="0" style="137" hidden="1" customWidth="1"/>
    <col min="8952" max="8952" width="13.42578125" style="137" customWidth="1"/>
    <col min="8953" max="8977" width="0" style="137" hidden="1" customWidth="1"/>
    <col min="8978" max="9155" width="8.28515625" style="137"/>
    <col min="9156" max="9156" width="10.140625" style="137" customWidth="1"/>
    <col min="9157" max="9157" width="45.28515625" style="137" customWidth="1"/>
    <col min="9158" max="9158" width="17.42578125" style="137" customWidth="1"/>
    <col min="9159" max="9162" width="15.7109375" style="137" customWidth="1"/>
    <col min="9163" max="9173" width="0" style="137" hidden="1" customWidth="1"/>
    <col min="9174" max="9174" width="15.7109375" style="137" customWidth="1"/>
    <col min="9175" max="9176" width="16.7109375" style="137" customWidth="1"/>
    <col min="9177" max="9177" width="11.5703125" style="137" bestFit="1" customWidth="1"/>
    <col min="9178" max="9178" width="76.5703125" style="137" bestFit="1" customWidth="1"/>
    <col min="9179" max="9182" width="0" style="137" hidden="1" customWidth="1"/>
    <col min="9183" max="9185" width="10.7109375" style="137" customWidth="1"/>
    <col min="9186" max="9186" width="11" style="137" bestFit="1" customWidth="1"/>
    <col min="9187" max="9188" width="10.28515625" style="137" bestFit="1" customWidth="1"/>
    <col min="9189" max="9189" width="14" style="137" customWidth="1"/>
    <col min="9190" max="9190" width="65.42578125" style="137" bestFit="1" customWidth="1"/>
    <col min="9191" max="9191" width="15.42578125" style="137" bestFit="1" customWidth="1"/>
    <col min="9192" max="9192" width="15.42578125" style="137" customWidth="1"/>
    <col min="9193" max="9193" width="20.85546875" style="137" bestFit="1" customWidth="1"/>
    <col min="9194" max="9194" width="20.7109375" style="137" bestFit="1" customWidth="1"/>
    <col min="9195" max="9195" width="20.7109375" style="137" customWidth="1"/>
    <col min="9196" max="9203" width="0" style="137" hidden="1" customWidth="1"/>
    <col min="9204" max="9205" width="17.7109375" style="137" customWidth="1"/>
    <col min="9206" max="9206" width="21.28515625" style="137" customWidth="1"/>
    <col min="9207" max="9207" width="0" style="137" hidden="1" customWidth="1"/>
    <col min="9208" max="9208" width="13.42578125" style="137" customWidth="1"/>
    <col min="9209" max="9233" width="0" style="137" hidden="1" customWidth="1"/>
    <col min="9234" max="9411" width="8.28515625" style="137"/>
    <col min="9412" max="9412" width="10.140625" style="137" customWidth="1"/>
    <col min="9413" max="9413" width="45.28515625" style="137" customWidth="1"/>
    <col min="9414" max="9414" width="17.42578125" style="137" customWidth="1"/>
    <col min="9415" max="9418" width="15.7109375" style="137" customWidth="1"/>
    <col min="9419" max="9429" width="0" style="137" hidden="1" customWidth="1"/>
    <col min="9430" max="9430" width="15.7109375" style="137" customWidth="1"/>
    <col min="9431" max="9432" width="16.7109375" style="137" customWidth="1"/>
    <col min="9433" max="9433" width="11.5703125" style="137" bestFit="1" customWidth="1"/>
    <col min="9434" max="9434" width="76.5703125" style="137" bestFit="1" customWidth="1"/>
    <col min="9435" max="9438" width="0" style="137" hidden="1" customWidth="1"/>
    <col min="9439" max="9441" width="10.7109375" style="137" customWidth="1"/>
    <col min="9442" max="9442" width="11" style="137" bestFit="1" customWidth="1"/>
    <col min="9443" max="9444" width="10.28515625" style="137" bestFit="1" customWidth="1"/>
    <col min="9445" max="9445" width="14" style="137" customWidth="1"/>
    <col min="9446" max="9446" width="65.42578125" style="137" bestFit="1" customWidth="1"/>
    <col min="9447" max="9447" width="15.42578125" style="137" bestFit="1" customWidth="1"/>
    <col min="9448" max="9448" width="15.42578125" style="137" customWidth="1"/>
    <col min="9449" max="9449" width="20.85546875" style="137" bestFit="1" customWidth="1"/>
    <col min="9450" max="9450" width="20.7109375" style="137" bestFit="1" customWidth="1"/>
    <col min="9451" max="9451" width="20.7109375" style="137" customWidth="1"/>
    <col min="9452" max="9459" width="0" style="137" hidden="1" customWidth="1"/>
    <col min="9460" max="9461" width="17.7109375" style="137" customWidth="1"/>
    <col min="9462" max="9462" width="21.28515625" style="137" customWidth="1"/>
    <col min="9463" max="9463" width="0" style="137" hidden="1" customWidth="1"/>
    <col min="9464" max="9464" width="13.42578125" style="137" customWidth="1"/>
    <col min="9465" max="9489" width="0" style="137" hidden="1" customWidth="1"/>
    <col min="9490" max="9667" width="8.28515625" style="137"/>
    <col min="9668" max="9668" width="10.140625" style="137" customWidth="1"/>
    <col min="9669" max="9669" width="45.28515625" style="137" customWidth="1"/>
    <col min="9670" max="9670" width="17.42578125" style="137" customWidth="1"/>
    <col min="9671" max="9674" width="15.7109375" style="137" customWidth="1"/>
    <col min="9675" max="9685" width="0" style="137" hidden="1" customWidth="1"/>
    <col min="9686" max="9686" width="15.7109375" style="137" customWidth="1"/>
    <col min="9687" max="9688" width="16.7109375" style="137" customWidth="1"/>
    <col min="9689" max="9689" width="11.5703125" style="137" bestFit="1" customWidth="1"/>
    <col min="9690" max="9690" width="76.5703125" style="137" bestFit="1" customWidth="1"/>
    <col min="9691" max="9694" width="0" style="137" hidden="1" customWidth="1"/>
    <col min="9695" max="9697" width="10.7109375" style="137" customWidth="1"/>
    <col min="9698" max="9698" width="11" style="137" bestFit="1" customWidth="1"/>
    <col min="9699" max="9700" width="10.28515625" style="137" bestFit="1" customWidth="1"/>
    <col min="9701" max="9701" width="14" style="137" customWidth="1"/>
    <col min="9702" max="9702" width="65.42578125" style="137" bestFit="1" customWidth="1"/>
    <col min="9703" max="9703" width="15.42578125" style="137" bestFit="1" customWidth="1"/>
    <col min="9704" max="9704" width="15.42578125" style="137" customWidth="1"/>
    <col min="9705" max="9705" width="20.85546875" style="137" bestFit="1" customWidth="1"/>
    <col min="9706" max="9706" width="20.7109375" style="137" bestFit="1" customWidth="1"/>
    <col min="9707" max="9707" width="20.7109375" style="137" customWidth="1"/>
    <col min="9708" max="9715" width="0" style="137" hidden="1" customWidth="1"/>
    <col min="9716" max="9717" width="17.7109375" style="137" customWidth="1"/>
    <col min="9718" max="9718" width="21.28515625" style="137" customWidth="1"/>
    <col min="9719" max="9719" width="0" style="137" hidden="1" customWidth="1"/>
    <col min="9720" max="9720" width="13.42578125" style="137" customWidth="1"/>
    <col min="9721" max="9745" width="0" style="137" hidden="1" customWidth="1"/>
    <col min="9746" max="9923" width="8.28515625" style="137"/>
    <col min="9924" max="9924" width="10.140625" style="137" customWidth="1"/>
    <col min="9925" max="9925" width="45.28515625" style="137" customWidth="1"/>
    <col min="9926" max="9926" width="17.42578125" style="137" customWidth="1"/>
    <col min="9927" max="9930" width="15.7109375" style="137" customWidth="1"/>
    <col min="9931" max="9941" width="0" style="137" hidden="1" customWidth="1"/>
    <col min="9942" max="9942" width="15.7109375" style="137" customWidth="1"/>
    <col min="9943" max="9944" width="16.7109375" style="137" customWidth="1"/>
    <col min="9945" max="9945" width="11.5703125" style="137" bestFit="1" customWidth="1"/>
    <col min="9946" max="9946" width="76.5703125" style="137" bestFit="1" customWidth="1"/>
    <col min="9947" max="9950" width="0" style="137" hidden="1" customWidth="1"/>
    <col min="9951" max="9953" width="10.7109375" style="137" customWidth="1"/>
    <col min="9954" max="9954" width="11" style="137" bestFit="1" customWidth="1"/>
    <col min="9955" max="9956" width="10.28515625" style="137" bestFit="1" customWidth="1"/>
    <col min="9957" max="9957" width="14" style="137" customWidth="1"/>
    <col min="9958" max="9958" width="65.42578125" style="137" bestFit="1" customWidth="1"/>
    <col min="9959" max="9959" width="15.42578125" style="137" bestFit="1" customWidth="1"/>
    <col min="9960" max="9960" width="15.42578125" style="137" customWidth="1"/>
    <col min="9961" max="9961" width="20.85546875" style="137" bestFit="1" customWidth="1"/>
    <col min="9962" max="9962" width="20.7109375" style="137" bestFit="1" customWidth="1"/>
    <col min="9963" max="9963" width="20.7109375" style="137" customWidth="1"/>
    <col min="9964" max="9971" width="0" style="137" hidden="1" customWidth="1"/>
    <col min="9972" max="9973" width="17.7109375" style="137" customWidth="1"/>
    <col min="9974" max="9974" width="21.28515625" style="137" customWidth="1"/>
    <col min="9975" max="9975" width="0" style="137" hidden="1" customWidth="1"/>
    <col min="9976" max="9976" width="13.42578125" style="137" customWidth="1"/>
    <col min="9977" max="10001" width="0" style="137" hidden="1" customWidth="1"/>
    <col min="10002" max="10179" width="8.28515625" style="137"/>
    <col min="10180" max="10180" width="10.140625" style="137" customWidth="1"/>
    <col min="10181" max="10181" width="45.28515625" style="137" customWidth="1"/>
    <col min="10182" max="10182" width="17.42578125" style="137" customWidth="1"/>
    <col min="10183" max="10186" width="15.7109375" style="137" customWidth="1"/>
    <col min="10187" max="10197" width="0" style="137" hidden="1" customWidth="1"/>
    <col min="10198" max="10198" width="15.7109375" style="137" customWidth="1"/>
    <col min="10199" max="10200" width="16.7109375" style="137" customWidth="1"/>
    <col min="10201" max="10201" width="11.5703125" style="137" bestFit="1" customWidth="1"/>
    <col min="10202" max="10202" width="76.5703125" style="137" bestFit="1" customWidth="1"/>
    <col min="10203" max="10206" width="0" style="137" hidden="1" customWidth="1"/>
    <col min="10207" max="10209" width="10.7109375" style="137" customWidth="1"/>
    <col min="10210" max="10210" width="11" style="137" bestFit="1" customWidth="1"/>
    <col min="10211" max="10212" width="10.28515625" style="137" bestFit="1" customWidth="1"/>
    <col min="10213" max="10213" width="14" style="137" customWidth="1"/>
    <col min="10214" max="10214" width="65.42578125" style="137" bestFit="1" customWidth="1"/>
    <col min="10215" max="10215" width="15.42578125" style="137" bestFit="1" customWidth="1"/>
    <col min="10216" max="10216" width="15.42578125" style="137" customWidth="1"/>
    <col min="10217" max="10217" width="20.85546875" style="137" bestFit="1" customWidth="1"/>
    <col min="10218" max="10218" width="20.7109375" style="137" bestFit="1" customWidth="1"/>
    <col min="10219" max="10219" width="20.7109375" style="137" customWidth="1"/>
    <col min="10220" max="10227" width="0" style="137" hidden="1" customWidth="1"/>
    <col min="10228" max="10229" width="17.7109375" style="137" customWidth="1"/>
    <col min="10230" max="10230" width="21.28515625" style="137" customWidth="1"/>
    <col min="10231" max="10231" width="0" style="137" hidden="1" customWidth="1"/>
    <col min="10232" max="10232" width="13.42578125" style="137" customWidth="1"/>
    <col min="10233" max="10257" width="0" style="137" hidden="1" customWidth="1"/>
    <col min="10258" max="10435" width="8.28515625" style="137"/>
    <col min="10436" max="10436" width="10.140625" style="137" customWidth="1"/>
    <col min="10437" max="10437" width="45.28515625" style="137" customWidth="1"/>
    <col min="10438" max="10438" width="17.42578125" style="137" customWidth="1"/>
    <col min="10439" max="10442" width="15.7109375" style="137" customWidth="1"/>
    <col min="10443" max="10453" width="0" style="137" hidden="1" customWidth="1"/>
    <col min="10454" max="10454" width="15.7109375" style="137" customWidth="1"/>
    <col min="10455" max="10456" width="16.7109375" style="137" customWidth="1"/>
    <col min="10457" max="10457" width="11.5703125" style="137" bestFit="1" customWidth="1"/>
    <col min="10458" max="10458" width="76.5703125" style="137" bestFit="1" customWidth="1"/>
    <col min="10459" max="10462" width="0" style="137" hidden="1" customWidth="1"/>
    <col min="10463" max="10465" width="10.7109375" style="137" customWidth="1"/>
    <col min="10466" max="10466" width="11" style="137" bestFit="1" customWidth="1"/>
    <col min="10467" max="10468" width="10.28515625" style="137" bestFit="1" customWidth="1"/>
    <col min="10469" max="10469" width="14" style="137" customWidth="1"/>
    <col min="10470" max="10470" width="65.42578125" style="137" bestFit="1" customWidth="1"/>
    <col min="10471" max="10471" width="15.42578125" style="137" bestFit="1" customWidth="1"/>
    <col min="10472" max="10472" width="15.42578125" style="137" customWidth="1"/>
    <col min="10473" max="10473" width="20.85546875" style="137" bestFit="1" customWidth="1"/>
    <col min="10474" max="10474" width="20.7109375" style="137" bestFit="1" customWidth="1"/>
    <col min="10475" max="10475" width="20.7109375" style="137" customWidth="1"/>
    <col min="10476" max="10483" width="0" style="137" hidden="1" customWidth="1"/>
    <col min="10484" max="10485" width="17.7109375" style="137" customWidth="1"/>
    <col min="10486" max="10486" width="21.28515625" style="137" customWidth="1"/>
    <col min="10487" max="10487" width="0" style="137" hidden="1" customWidth="1"/>
    <col min="10488" max="10488" width="13.42578125" style="137" customWidth="1"/>
    <col min="10489" max="10513" width="0" style="137" hidden="1" customWidth="1"/>
    <col min="10514" max="10691" width="8.28515625" style="137"/>
    <col min="10692" max="10692" width="10.140625" style="137" customWidth="1"/>
    <col min="10693" max="10693" width="45.28515625" style="137" customWidth="1"/>
    <col min="10694" max="10694" width="17.42578125" style="137" customWidth="1"/>
    <col min="10695" max="10698" width="15.7109375" style="137" customWidth="1"/>
    <col min="10699" max="10709" width="0" style="137" hidden="1" customWidth="1"/>
    <col min="10710" max="10710" width="15.7109375" style="137" customWidth="1"/>
    <col min="10711" max="10712" width="16.7109375" style="137" customWidth="1"/>
    <col min="10713" max="10713" width="11.5703125" style="137" bestFit="1" customWidth="1"/>
    <col min="10714" max="10714" width="76.5703125" style="137" bestFit="1" customWidth="1"/>
    <col min="10715" max="10718" width="0" style="137" hidden="1" customWidth="1"/>
    <col min="10719" max="10721" width="10.7109375" style="137" customWidth="1"/>
    <col min="10722" max="10722" width="11" style="137" bestFit="1" customWidth="1"/>
    <col min="10723" max="10724" width="10.28515625" style="137" bestFit="1" customWidth="1"/>
    <col min="10725" max="10725" width="14" style="137" customWidth="1"/>
    <col min="10726" max="10726" width="65.42578125" style="137" bestFit="1" customWidth="1"/>
    <col min="10727" max="10727" width="15.42578125" style="137" bestFit="1" customWidth="1"/>
    <col min="10728" max="10728" width="15.42578125" style="137" customWidth="1"/>
    <col min="10729" max="10729" width="20.85546875" style="137" bestFit="1" customWidth="1"/>
    <col min="10730" max="10730" width="20.7109375" style="137" bestFit="1" customWidth="1"/>
    <col min="10731" max="10731" width="20.7109375" style="137" customWidth="1"/>
    <col min="10732" max="10739" width="0" style="137" hidden="1" customWidth="1"/>
    <col min="10740" max="10741" width="17.7109375" style="137" customWidth="1"/>
    <col min="10742" max="10742" width="21.28515625" style="137" customWidth="1"/>
    <col min="10743" max="10743" width="0" style="137" hidden="1" customWidth="1"/>
    <col min="10744" max="10744" width="13.42578125" style="137" customWidth="1"/>
    <col min="10745" max="10769" width="0" style="137" hidden="1" customWidth="1"/>
    <col min="10770" max="10947" width="8.28515625" style="137"/>
    <col min="10948" max="10948" width="10.140625" style="137" customWidth="1"/>
    <col min="10949" max="10949" width="45.28515625" style="137" customWidth="1"/>
    <col min="10950" max="10950" width="17.42578125" style="137" customWidth="1"/>
    <col min="10951" max="10954" width="15.7109375" style="137" customWidth="1"/>
    <col min="10955" max="10965" width="0" style="137" hidden="1" customWidth="1"/>
    <col min="10966" max="10966" width="15.7109375" style="137" customWidth="1"/>
    <col min="10967" max="10968" width="16.7109375" style="137" customWidth="1"/>
    <col min="10969" max="10969" width="11.5703125" style="137" bestFit="1" customWidth="1"/>
    <col min="10970" max="10970" width="76.5703125" style="137" bestFit="1" customWidth="1"/>
    <col min="10971" max="10974" width="0" style="137" hidden="1" customWidth="1"/>
    <col min="10975" max="10977" width="10.7109375" style="137" customWidth="1"/>
    <col min="10978" max="10978" width="11" style="137" bestFit="1" customWidth="1"/>
    <col min="10979" max="10980" width="10.28515625" style="137" bestFit="1" customWidth="1"/>
    <col min="10981" max="10981" width="14" style="137" customWidth="1"/>
    <col min="10982" max="10982" width="65.42578125" style="137" bestFit="1" customWidth="1"/>
    <col min="10983" max="10983" width="15.42578125" style="137" bestFit="1" customWidth="1"/>
    <col min="10984" max="10984" width="15.42578125" style="137" customWidth="1"/>
    <col min="10985" max="10985" width="20.85546875" style="137" bestFit="1" customWidth="1"/>
    <col min="10986" max="10986" width="20.7109375" style="137" bestFit="1" customWidth="1"/>
    <col min="10987" max="10987" width="20.7109375" style="137" customWidth="1"/>
    <col min="10988" max="10995" width="0" style="137" hidden="1" customWidth="1"/>
    <col min="10996" max="10997" width="17.7109375" style="137" customWidth="1"/>
    <col min="10998" max="10998" width="21.28515625" style="137" customWidth="1"/>
    <col min="10999" max="10999" width="0" style="137" hidden="1" customWidth="1"/>
    <col min="11000" max="11000" width="13.42578125" style="137" customWidth="1"/>
    <col min="11001" max="11025" width="0" style="137" hidden="1" customWidth="1"/>
    <col min="11026" max="11203" width="8.28515625" style="137"/>
    <col min="11204" max="11204" width="10.140625" style="137" customWidth="1"/>
    <col min="11205" max="11205" width="45.28515625" style="137" customWidth="1"/>
    <col min="11206" max="11206" width="17.42578125" style="137" customWidth="1"/>
    <col min="11207" max="11210" width="15.7109375" style="137" customWidth="1"/>
    <col min="11211" max="11221" width="0" style="137" hidden="1" customWidth="1"/>
    <col min="11222" max="11222" width="15.7109375" style="137" customWidth="1"/>
    <col min="11223" max="11224" width="16.7109375" style="137" customWidth="1"/>
    <col min="11225" max="11225" width="11.5703125" style="137" bestFit="1" customWidth="1"/>
    <col min="11226" max="11226" width="76.5703125" style="137" bestFit="1" customWidth="1"/>
    <col min="11227" max="11230" width="0" style="137" hidden="1" customWidth="1"/>
    <col min="11231" max="11233" width="10.7109375" style="137" customWidth="1"/>
    <col min="11234" max="11234" width="11" style="137" bestFit="1" customWidth="1"/>
    <col min="11235" max="11236" width="10.28515625" style="137" bestFit="1" customWidth="1"/>
    <col min="11237" max="11237" width="14" style="137" customWidth="1"/>
    <col min="11238" max="11238" width="65.42578125" style="137" bestFit="1" customWidth="1"/>
    <col min="11239" max="11239" width="15.42578125" style="137" bestFit="1" customWidth="1"/>
    <col min="11240" max="11240" width="15.42578125" style="137" customWidth="1"/>
    <col min="11241" max="11241" width="20.85546875" style="137" bestFit="1" customWidth="1"/>
    <col min="11242" max="11242" width="20.7109375" style="137" bestFit="1" customWidth="1"/>
    <col min="11243" max="11243" width="20.7109375" style="137" customWidth="1"/>
    <col min="11244" max="11251" width="0" style="137" hidden="1" customWidth="1"/>
    <col min="11252" max="11253" width="17.7109375" style="137" customWidth="1"/>
    <col min="11254" max="11254" width="21.28515625" style="137" customWidth="1"/>
    <col min="11255" max="11255" width="0" style="137" hidden="1" customWidth="1"/>
    <col min="11256" max="11256" width="13.42578125" style="137" customWidth="1"/>
    <col min="11257" max="11281" width="0" style="137" hidden="1" customWidth="1"/>
    <col min="11282" max="11459" width="8.28515625" style="137"/>
    <col min="11460" max="11460" width="10.140625" style="137" customWidth="1"/>
    <col min="11461" max="11461" width="45.28515625" style="137" customWidth="1"/>
    <col min="11462" max="11462" width="17.42578125" style="137" customWidth="1"/>
    <col min="11463" max="11466" width="15.7109375" style="137" customWidth="1"/>
    <col min="11467" max="11477" width="0" style="137" hidden="1" customWidth="1"/>
    <col min="11478" max="11478" width="15.7109375" style="137" customWidth="1"/>
    <col min="11479" max="11480" width="16.7109375" style="137" customWidth="1"/>
    <col min="11481" max="11481" width="11.5703125" style="137" bestFit="1" customWidth="1"/>
    <col min="11482" max="11482" width="76.5703125" style="137" bestFit="1" customWidth="1"/>
    <col min="11483" max="11486" width="0" style="137" hidden="1" customWidth="1"/>
    <col min="11487" max="11489" width="10.7109375" style="137" customWidth="1"/>
    <col min="11490" max="11490" width="11" style="137" bestFit="1" customWidth="1"/>
    <col min="11491" max="11492" width="10.28515625" style="137" bestFit="1" customWidth="1"/>
    <col min="11493" max="11493" width="14" style="137" customWidth="1"/>
    <col min="11494" max="11494" width="65.42578125" style="137" bestFit="1" customWidth="1"/>
    <col min="11495" max="11495" width="15.42578125" style="137" bestFit="1" customWidth="1"/>
    <col min="11496" max="11496" width="15.42578125" style="137" customWidth="1"/>
    <col min="11497" max="11497" width="20.85546875" style="137" bestFit="1" customWidth="1"/>
    <col min="11498" max="11498" width="20.7109375" style="137" bestFit="1" customWidth="1"/>
    <col min="11499" max="11499" width="20.7109375" style="137" customWidth="1"/>
    <col min="11500" max="11507" width="0" style="137" hidden="1" customWidth="1"/>
    <col min="11508" max="11509" width="17.7109375" style="137" customWidth="1"/>
    <col min="11510" max="11510" width="21.28515625" style="137" customWidth="1"/>
    <col min="11511" max="11511" width="0" style="137" hidden="1" customWidth="1"/>
    <col min="11512" max="11512" width="13.42578125" style="137" customWidth="1"/>
    <col min="11513" max="11537" width="0" style="137" hidden="1" customWidth="1"/>
    <col min="11538" max="11715" width="8.28515625" style="137"/>
    <col min="11716" max="11716" width="10.140625" style="137" customWidth="1"/>
    <col min="11717" max="11717" width="45.28515625" style="137" customWidth="1"/>
    <col min="11718" max="11718" width="17.42578125" style="137" customWidth="1"/>
    <col min="11719" max="11722" width="15.7109375" style="137" customWidth="1"/>
    <col min="11723" max="11733" width="0" style="137" hidden="1" customWidth="1"/>
    <col min="11734" max="11734" width="15.7109375" style="137" customWidth="1"/>
    <col min="11735" max="11736" width="16.7109375" style="137" customWidth="1"/>
    <col min="11737" max="11737" width="11.5703125" style="137" bestFit="1" customWidth="1"/>
    <col min="11738" max="11738" width="76.5703125" style="137" bestFit="1" customWidth="1"/>
    <col min="11739" max="11742" width="0" style="137" hidden="1" customWidth="1"/>
    <col min="11743" max="11745" width="10.7109375" style="137" customWidth="1"/>
    <col min="11746" max="11746" width="11" style="137" bestFit="1" customWidth="1"/>
    <col min="11747" max="11748" width="10.28515625" style="137" bestFit="1" customWidth="1"/>
    <col min="11749" max="11749" width="14" style="137" customWidth="1"/>
    <col min="11750" max="11750" width="65.42578125" style="137" bestFit="1" customWidth="1"/>
    <col min="11751" max="11751" width="15.42578125" style="137" bestFit="1" customWidth="1"/>
    <col min="11752" max="11752" width="15.42578125" style="137" customWidth="1"/>
    <col min="11753" max="11753" width="20.85546875" style="137" bestFit="1" customWidth="1"/>
    <col min="11754" max="11754" width="20.7109375" style="137" bestFit="1" customWidth="1"/>
    <col min="11755" max="11755" width="20.7109375" style="137" customWidth="1"/>
    <col min="11756" max="11763" width="0" style="137" hidden="1" customWidth="1"/>
    <col min="11764" max="11765" width="17.7109375" style="137" customWidth="1"/>
    <col min="11766" max="11766" width="21.28515625" style="137" customWidth="1"/>
    <col min="11767" max="11767" width="0" style="137" hidden="1" customWidth="1"/>
    <col min="11768" max="11768" width="13.42578125" style="137" customWidth="1"/>
    <col min="11769" max="11793" width="0" style="137" hidden="1" customWidth="1"/>
    <col min="11794" max="11971" width="8.28515625" style="137"/>
    <col min="11972" max="11972" width="10.140625" style="137" customWidth="1"/>
    <col min="11973" max="11973" width="45.28515625" style="137" customWidth="1"/>
    <col min="11974" max="11974" width="17.42578125" style="137" customWidth="1"/>
    <col min="11975" max="11978" width="15.7109375" style="137" customWidth="1"/>
    <col min="11979" max="11989" width="0" style="137" hidden="1" customWidth="1"/>
    <col min="11990" max="11990" width="15.7109375" style="137" customWidth="1"/>
    <col min="11991" max="11992" width="16.7109375" style="137" customWidth="1"/>
    <col min="11993" max="11993" width="11.5703125" style="137" bestFit="1" customWidth="1"/>
    <col min="11994" max="11994" width="76.5703125" style="137" bestFit="1" customWidth="1"/>
    <col min="11995" max="11998" width="0" style="137" hidden="1" customWidth="1"/>
    <col min="11999" max="12001" width="10.7109375" style="137" customWidth="1"/>
    <col min="12002" max="12002" width="11" style="137" bestFit="1" customWidth="1"/>
    <col min="12003" max="12004" width="10.28515625" style="137" bestFit="1" customWidth="1"/>
    <col min="12005" max="12005" width="14" style="137" customWidth="1"/>
    <col min="12006" max="12006" width="65.42578125" style="137" bestFit="1" customWidth="1"/>
    <col min="12007" max="12007" width="15.42578125" style="137" bestFit="1" customWidth="1"/>
    <col min="12008" max="12008" width="15.42578125" style="137" customWidth="1"/>
    <col min="12009" max="12009" width="20.85546875" style="137" bestFit="1" customWidth="1"/>
    <col min="12010" max="12010" width="20.7109375" style="137" bestFit="1" customWidth="1"/>
    <col min="12011" max="12011" width="20.7109375" style="137" customWidth="1"/>
    <col min="12012" max="12019" width="0" style="137" hidden="1" customWidth="1"/>
    <col min="12020" max="12021" width="17.7109375" style="137" customWidth="1"/>
    <col min="12022" max="12022" width="21.28515625" style="137" customWidth="1"/>
    <col min="12023" max="12023" width="0" style="137" hidden="1" customWidth="1"/>
    <col min="12024" max="12024" width="13.42578125" style="137" customWidth="1"/>
    <col min="12025" max="12049" width="0" style="137" hidden="1" customWidth="1"/>
    <col min="12050" max="12227" width="8.28515625" style="137"/>
    <col min="12228" max="12228" width="10.140625" style="137" customWidth="1"/>
    <col min="12229" max="12229" width="45.28515625" style="137" customWidth="1"/>
    <col min="12230" max="12230" width="17.42578125" style="137" customWidth="1"/>
    <col min="12231" max="12234" width="15.7109375" style="137" customWidth="1"/>
    <col min="12235" max="12245" width="0" style="137" hidden="1" customWidth="1"/>
    <col min="12246" max="12246" width="15.7109375" style="137" customWidth="1"/>
    <col min="12247" max="12248" width="16.7109375" style="137" customWidth="1"/>
    <col min="12249" max="12249" width="11.5703125" style="137" bestFit="1" customWidth="1"/>
    <col min="12250" max="12250" width="76.5703125" style="137" bestFit="1" customWidth="1"/>
    <col min="12251" max="12254" width="0" style="137" hidden="1" customWidth="1"/>
    <col min="12255" max="12257" width="10.7109375" style="137" customWidth="1"/>
    <col min="12258" max="12258" width="11" style="137" bestFit="1" customWidth="1"/>
    <col min="12259" max="12260" width="10.28515625" style="137" bestFit="1" customWidth="1"/>
    <col min="12261" max="12261" width="14" style="137" customWidth="1"/>
    <col min="12262" max="12262" width="65.42578125" style="137" bestFit="1" customWidth="1"/>
    <col min="12263" max="12263" width="15.42578125" style="137" bestFit="1" customWidth="1"/>
    <col min="12264" max="12264" width="15.42578125" style="137" customWidth="1"/>
    <col min="12265" max="12265" width="20.85546875" style="137" bestFit="1" customWidth="1"/>
    <col min="12266" max="12266" width="20.7109375" style="137" bestFit="1" customWidth="1"/>
    <col min="12267" max="12267" width="20.7109375" style="137" customWidth="1"/>
    <col min="12268" max="12275" width="0" style="137" hidden="1" customWidth="1"/>
    <col min="12276" max="12277" width="17.7109375" style="137" customWidth="1"/>
    <col min="12278" max="12278" width="21.28515625" style="137" customWidth="1"/>
    <col min="12279" max="12279" width="0" style="137" hidden="1" customWidth="1"/>
    <col min="12280" max="12280" width="13.42578125" style="137" customWidth="1"/>
    <col min="12281" max="12305" width="0" style="137" hidden="1" customWidth="1"/>
    <col min="12306" max="12483" width="8.28515625" style="137"/>
    <col min="12484" max="12484" width="10.140625" style="137" customWidth="1"/>
    <col min="12485" max="12485" width="45.28515625" style="137" customWidth="1"/>
    <col min="12486" max="12486" width="17.42578125" style="137" customWidth="1"/>
    <col min="12487" max="12490" width="15.7109375" style="137" customWidth="1"/>
    <col min="12491" max="12501" width="0" style="137" hidden="1" customWidth="1"/>
    <col min="12502" max="12502" width="15.7109375" style="137" customWidth="1"/>
    <col min="12503" max="12504" width="16.7109375" style="137" customWidth="1"/>
    <col min="12505" max="12505" width="11.5703125" style="137" bestFit="1" customWidth="1"/>
    <col min="12506" max="12506" width="76.5703125" style="137" bestFit="1" customWidth="1"/>
    <col min="12507" max="12510" width="0" style="137" hidden="1" customWidth="1"/>
    <col min="12511" max="12513" width="10.7109375" style="137" customWidth="1"/>
    <col min="12514" max="12514" width="11" style="137" bestFit="1" customWidth="1"/>
    <col min="12515" max="12516" width="10.28515625" style="137" bestFit="1" customWidth="1"/>
    <col min="12517" max="12517" width="14" style="137" customWidth="1"/>
    <col min="12518" max="12518" width="65.42578125" style="137" bestFit="1" customWidth="1"/>
    <col min="12519" max="12519" width="15.42578125" style="137" bestFit="1" customWidth="1"/>
    <col min="12520" max="12520" width="15.42578125" style="137" customWidth="1"/>
    <col min="12521" max="12521" width="20.85546875" style="137" bestFit="1" customWidth="1"/>
    <col min="12522" max="12522" width="20.7109375" style="137" bestFit="1" customWidth="1"/>
    <col min="12523" max="12523" width="20.7109375" style="137" customWidth="1"/>
    <col min="12524" max="12531" width="0" style="137" hidden="1" customWidth="1"/>
    <col min="12532" max="12533" width="17.7109375" style="137" customWidth="1"/>
    <col min="12534" max="12534" width="21.28515625" style="137" customWidth="1"/>
    <col min="12535" max="12535" width="0" style="137" hidden="1" customWidth="1"/>
    <col min="12536" max="12536" width="13.42578125" style="137" customWidth="1"/>
    <col min="12537" max="12561" width="0" style="137" hidden="1" customWidth="1"/>
    <col min="12562" max="12739" width="8.28515625" style="137"/>
    <col min="12740" max="12740" width="10.140625" style="137" customWidth="1"/>
    <col min="12741" max="12741" width="45.28515625" style="137" customWidth="1"/>
    <col min="12742" max="12742" width="17.42578125" style="137" customWidth="1"/>
    <col min="12743" max="12746" width="15.7109375" style="137" customWidth="1"/>
    <col min="12747" max="12757" width="0" style="137" hidden="1" customWidth="1"/>
    <col min="12758" max="12758" width="15.7109375" style="137" customWidth="1"/>
    <col min="12759" max="12760" width="16.7109375" style="137" customWidth="1"/>
    <col min="12761" max="12761" width="11.5703125" style="137" bestFit="1" customWidth="1"/>
    <col min="12762" max="12762" width="76.5703125" style="137" bestFit="1" customWidth="1"/>
    <col min="12763" max="12766" width="0" style="137" hidden="1" customWidth="1"/>
    <col min="12767" max="12769" width="10.7109375" style="137" customWidth="1"/>
    <col min="12770" max="12770" width="11" style="137" bestFit="1" customWidth="1"/>
    <col min="12771" max="12772" width="10.28515625" style="137" bestFit="1" customWidth="1"/>
    <col min="12773" max="12773" width="14" style="137" customWidth="1"/>
    <col min="12774" max="12774" width="65.42578125" style="137" bestFit="1" customWidth="1"/>
    <col min="12775" max="12775" width="15.42578125" style="137" bestFit="1" customWidth="1"/>
    <col min="12776" max="12776" width="15.42578125" style="137" customWidth="1"/>
    <col min="12777" max="12777" width="20.85546875" style="137" bestFit="1" customWidth="1"/>
    <col min="12778" max="12778" width="20.7109375" style="137" bestFit="1" customWidth="1"/>
    <col min="12779" max="12779" width="20.7109375" style="137" customWidth="1"/>
    <col min="12780" max="12787" width="0" style="137" hidden="1" customWidth="1"/>
    <col min="12788" max="12789" width="17.7109375" style="137" customWidth="1"/>
    <col min="12790" max="12790" width="21.28515625" style="137" customWidth="1"/>
    <col min="12791" max="12791" width="0" style="137" hidden="1" customWidth="1"/>
    <col min="12792" max="12792" width="13.42578125" style="137" customWidth="1"/>
    <col min="12793" max="12817" width="0" style="137" hidden="1" customWidth="1"/>
    <col min="12818" max="12995" width="8.28515625" style="137"/>
    <col min="12996" max="12996" width="10.140625" style="137" customWidth="1"/>
    <col min="12997" max="12997" width="45.28515625" style="137" customWidth="1"/>
    <col min="12998" max="12998" width="17.42578125" style="137" customWidth="1"/>
    <col min="12999" max="13002" width="15.7109375" style="137" customWidth="1"/>
    <col min="13003" max="13013" width="0" style="137" hidden="1" customWidth="1"/>
    <col min="13014" max="13014" width="15.7109375" style="137" customWidth="1"/>
    <col min="13015" max="13016" width="16.7109375" style="137" customWidth="1"/>
    <col min="13017" max="13017" width="11.5703125" style="137" bestFit="1" customWidth="1"/>
    <col min="13018" max="13018" width="76.5703125" style="137" bestFit="1" customWidth="1"/>
    <col min="13019" max="13022" width="0" style="137" hidden="1" customWidth="1"/>
    <col min="13023" max="13025" width="10.7109375" style="137" customWidth="1"/>
    <col min="13026" max="13026" width="11" style="137" bestFit="1" customWidth="1"/>
    <col min="13027" max="13028" width="10.28515625" style="137" bestFit="1" customWidth="1"/>
    <col min="13029" max="13029" width="14" style="137" customWidth="1"/>
    <col min="13030" max="13030" width="65.42578125" style="137" bestFit="1" customWidth="1"/>
    <col min="13031" max="13031" width="15.42578125" style="137" bestFit="1" customWidth="1"/>
    <col min="13032" max="13032" width="15.42578125" style="137" customWidth="1"/>
    <col min="13033" max="13033" width="20.85546875" style="137" bestFit="1" customWidth="1"/>
    <col min="13034" max="13034" width="20.7109375" style="137" bestFit="1" customWidth="1"/>
    <col min="13035" max="13035" width="20.7109375" style="137" customWidth="1"/>
    <col min="13036" max="13043" width="0" style="137" hidden="1" customWidth="1"/>
    <col min="13044" max="13045" width="17.7109375" style="137" customWidth="1"/>
    <col min="13046" max="13046" width="21.28515625" style="137" customWidth="1"/>
    <col min="13047" max="13047" width="0" style="137" hidden="1" customWidth="1"/>
    <col min="13048" max="13048" width="13.42578125" style="137" customWidth="1"/>
    <col min="13049" max="13073" width="0" style="137" hidden="1" customWidth="1"/>
    <col min="13074" max="13251" width="8.28515625" style="137"/>
    <col min="13252" max="13252" width="10.140625" style="137" customWidth="1"/>
    <col min="13253" max="13253" width="45.28515625" style="137" customWidth="1"/>
    <col min="13254" max="13254" width="17.42578125" style="137" customWidth="1"/>
    <col min="13255" max="13258" width="15.7109375" style="137" customWidth="1"/>
    <col min="13259" max="13269" width="0" style="137" hidden="1" customWidth="1"/>
    <col min="13270" max="13270" width="15.7109375" style="137" customWidth="1"/>
    <col min="13271" max="13272" width="16.7109375" style="137" customWidth="1"/>
    <col min="13273" max="13273" width="11.5703125" style="137" bestFit="1" customWidth="1"/>
    <col min="13274" max="13274" width="76.5703125" style="137" bestFit="1" customWidth="1"/>
    <col min="13275" max="13278" width="0" style="137" hidden="1" customWidth="1"/>
    <col min="13279" max="13281" width="10.7109375" style="137" customWidth="1"/>
    <col min="13282" max="13282" width="11" style="137" bestFit="1" customWidth="1"/>
    <col min="13283" max="13284" width="10.28515625" style="137" bestFit="1" customWidth="1"/>
    <col min="13285" max="13285" width="14" style="137" customWidth="1"/>
    <col min="13286" max="13286" width="65.42578125" style="137" bestFit="1" customWidth="1"/>
    <col min="13287" max="13287" width="15.42578125" style="137" bestFit="1" customWidth="1"/>
    <col min="13288" max="13288" width="15.42578125" style="137" customWidth="1"/>
    <col min="13289" max="13289" width="20.85546875" style="137" bestFit="1" customWidth="1"/>
    <col min="13290" max="13290" width="20.7109375" style="137" bestFit="1" customWidth="1"/>
    <col min="13291" max="13291" width="20.7109375" style="137" customWidth="1"/>
    <col min="13292" max="13299" width="0" style="137" hidden="1" customWidth="1"/>
    <col min="13300" max="13301" width="17.7109375" style="137" customWidth="1"/>
    <col min="13302" max="13302" width="21.28515625" style="137" customWidth="1"/>
    <col min="13303" max="13303" width="0" style="137" hidden="1" customWidth="1"/>
    <col min="13304" max="13304" width="13.42578125" style="137" customWidth="1"/>
    <col min="13305" max="13329" width="0" style="137" hidden="1" customWidth="1"/>
    <col min="13330" max="13507" width="8.28515625" style="137"/>
    <col min="13508" max="13508" width="10.140625" style="137" customWidth="1"/>
    <col min="13509" max="13509" width="45.28515625" style="137" customWidth="1"/>
    <col min="13510" max="13510" width="17.42578125" style="137" customWidth="1"/>
    <col min="13511" max="13514" width="15.7109375" style="137" customWidth="1"/>
    <col min="13515" max="13525" width="0" style="137" hidden="1" customWidth="1"/>
    <col min="13526" max="13526" width="15.7109375" style="137" customWidth="1"/>
    <col min="13527" max="13528" width="16.7109375" style="137" customWidth="1"/>
    <col min="13529" max="13529" width="11.5703125" style="137" bestFit="1" customWidth="1"/>
    <col min="13530" max="13530" width="76.5703125" style="137" bestFit="1" customWidth="1"/>
    <col min="13531" max="13534" width="0" style="137" hidden="1" customWidth="1"/>
    <col min="13535" max="13537" width="10.7109375" style="137" customWidth="1"/>
    <col min="13538" max="13538" width="11" style="137" bestFit="1" customWidth="1"/>
    <col min="13539" max="13540" width="10.28515625" style="137" bestFit="1" customWidth="1"/>
    <col min="13541" max="13541" width="14" style="137" customWidth="1"/>
    <col min="13542" max="13542" width="65.42578125" style="137" bestFit="1" customWidth="1"/>
    <col min="13543" max="13543" width="15.42578125" style="137" bestFit="1" customWidth="1"/>
    <col min="13544" max="13544" width="15.42578125" style="137" customWidth="1"/>
    <col min="13545" max="13545" width="20.85546875" style="137" bestFit="1" customWidth="1"/>
    <col min="13546" max="13546" width="20.7109375" style="137" bestFit="1" customWidth="1"/>
    <col min="13547" max="13547" width="20.7109375" style="137" customWidth="1"/>
    <col min="13548" max="13555" width="0" style="137" hidden="1" customWidth="1"/>
    <col min="13556" max="13557" width="17.7109375" style="137" customWidth="1"/>
    <col min="13558" max="13558" width="21.28515625" style="137" customWidth="1"/>
    <col min="13559" max="13559" width="0" style="137" hidden="1" customWidth="1"/>
    <col min="13560" max="13560" width="13.42578125" style="137" customWidth="1"/>
    <col min="13561" max="13585" width="0" style="137" hidden="1" customWidth="1"/>
    <col min="13586" max="13763" width="8.28515625" style="137"/>
    <col min="13764" max="13764" width="10.140625" style="137" customWidth="1"/>
    <col min="13765" max="13765" width="45.28515625" style="137" customWidth="1"/>
    <col min="13766" max="13766" width="17.42578125" style="137" customWidth="1"/>
    <col min="13767" max="13770" width="15.7109375" style="137" customWidth="1"/>
    <col min="13771" max="13781" width="0" style="137" hidden="1" customWidth="1"/>
    <col min="13782" max="13782" width="15.7109375" style="137" customWidth="1"/>
    <col min="13783" max="13784" width="16.7109375" style="137" customWidth="1"/>
    <col min="13785" max="13785" width="11.5703125" style="137" bestFit="1" customWidth="1"/>
    <col min="13786" max="13786" width="76.5703125" style="137" bestFit="1" customWidth="1"/>
    <col min="13787" max="13790" width="0" style="137" hidden="1" customWidth="1"/>
    <col min="13791" max="13793" width="10.7109375" style="137" customWidth="1"/>
    <col min="13794" max="13794" width="11" style="137" bestFit="1" customWidth="1"/>
    <col min="13795" max="13796" width="10.28515625" style="137" bestFit="1" customWidth="1"/>
    <col min="13797" max="13797" width="14" style="137" customWidth="1"/>
    <col min="13798" max="13798" width="65.42578125" style="137" bestFit="1" customWidth="1"/>
    <col min="13799" max="13799" width="15.42578125" style="137" bestFit="1" customWidth="1"/>
    <col min="13800" max="13800" width="15.42578125" style="137" customWidth="1"/>
    <col min="13801" max="13801" width="20.85546875" style="137" bestFit="1" customWidth="1"/>
    <col min="13802" max="13802" width="20.7109375" style="137" bestFit="1" customWidth="1"/>
    <col min="13803" max="13803" width="20.7109375" style="137" customWidth="1"/>
    <col min="13804" max="13811" width="0" style="137" hidden="1" customWidth="1"/>
    <col min="13812" max="13813" width="17.7109375" style="137" customWidth="1"/>
    <col min="13814" max="13814" width="21.28515625" style="137" customWidth="1"/>
    <col min="13815" max="13815" width="0" style="137" hidden="1" customWidth="1"/>
    <col min="13816" max="13816" width="13.42578125" style="137" customWidth="1"/>
    <col min="13817" max="13841" width="0" style="137" hidden="1" customWidth="1"/>
    <col min="13842" max="14019" width="8.28515625" style="137"/>
    <col min="14020" max="14020" width="10.140625" style="137" customWidth="1"/>
    <col min="14021" max="14021" width="45.28515625" style="137" customWidth="1"/>
    <col min="14022" max="14022" width="17.42578125" style="137" customWidth="1"/>
    <col min="14023" max="14026" width="15.7109375" style="137" customWidth="1"/>
    <col min="14027" max="14037" width="0" style="137" hidden="1" customWidth="1"/>
    <col min="14038" max="14038" width="15.7109375" style="137" customWidth="1"/>
    <col min="14039" max="14040" width="16.7109375" style="137" customWidth="1"/>
    <col min="14041" max="14041" width="11.5703125" style="137" bestFit="1" customWidth="1"/>
    <col min="14042" max="14042" width="76.5703125" style="137" bestFit="1" customWidth="1"/>
    <col min="14043" max="14046" width="0" style="137" hidden="1" customWidth="1"/>
    <col min="14047" max="14049" width="10.7109375" style="137" customWidth="1"/>
    <col min="14050" max="14050" width="11" style="137" bestFit="1" customWidth="1"/>
    <col min="14051" max="14052" width="10.28515625" style="137" bestFit="1" customWidth="1"/>
    <col min="14053" max="14053" width="14" style="137" customWidth="1"/>
    <col min="14054" max="14054" width="65.42578125" style="137" bestFit="1" customWidth="1"/>
    <col min="14055" max="14055" width="15.42578125" style="137" bestFit="1" customWidth="1"/>
    <col min="14056" max="14056" width="15.42578125" style="137" customWidth="1"/>
    <col min="14057" max="14057" width="20.85546875" style="137" bestFit="1" customWidth="1"/>
    <col min="14058" max="14058" width="20.7109375" style="137" bestFit="1" customWidth="1"/>
    <col min="14059" max="14059" width="20.7109375" style="137" customWidth="1"/>
    <col min="14060" max="14067" width="0" style="137" hidden="1" customWidth="1"/>
    <col min="14068" max="14069" width="17.7109375" style="137" customWidth="1"/>
    <col min="14070" max="14070" width="21.28515625" style="137" customWidth="1"/>
    <col min="14071" max="14071" width="0" style="137" hidden="1" customWidth="1"/>
    <col min="14072" max="14072" width="13.42578125" style="137" customWidth="1"/>
    <col min="14073" max="14097" width="0" style="137" hidden="1" customWidth="1"/>
    <col min="14098" max="14275" width="8.28515625" style="137"/>
    <col min="14276" max="14276" width="10.140625" style="137" customWidth="1"/>
    <col min="14277" max="14277" width="45.28515625" style="137" customWidth="1"/>
    <col min="14278" max="14278" width="17.42578125" style="137" customWidth="1"/>
    <col min="14279" max="14282" width="15.7109375" style="137" customWidth="1"/>
    <col min="14283" max="14293" width="0" style="137" hidden="1" customWidth="1"/>
    <col min="14294" max="14294" width="15.7109375" style="137" customWidth="1"/>
    <col min="14295" max="14296" width="16.7109375" style="137" customWidth="1"/>
    <col min="14297" max="14297" width="11.5703125" style="137" bestFit="1" customWidth="1"/>
    <col min="14298" max="14298" width="76.5703125" style="137" bestFit="1" customWidth="1"/>
    <col min="14299" max="14302" width="0" style="137" hidden="1" customWidth="1"/>
    <col min="14303" max="14305" width="10.7109375" style="137" customWidth="1"/>
    <col min="14306" max="14306" width="11" style="137" bestFit="1" customWidth="1"/>
    <col min="14307" max="14308" width="10.28515625" style="137" bestFit="1" customWidth="1"/>
    <col min="14309" max="14309" width="14" style="137" customWidth="1"/>
    <col min="14310" max="14310" width="65.42578125" style="137" bestFit="1" customWidth="1"/>
    <col min="14311" max="14311" width="15.42578125" style="137" bestFit="1" customWidth="1"/>
    <col min="14312" max="14312" width="15.42578125" style="137" customWidth="1"/>
    <col min="14313" max="14313" width="20.85546875" style="137" bestFit="1" customWidth="1"/>
    <col min="14314" max="14314" width="20.7109375" style="137" bestFit="1" customWidth="1"/>
    <col min="14315" max="14315" width="20.7109375" style="137" customWidth="1"/>
    <col min="14316" max="14323" width="0" style="137" hidden="1" customWidth="1"/>
    <col min="14324" max="14325" width="17.7109375" style="137" customWidth="1"/>
    <col min="14326" max="14326" width="21.28515625" style="137" customWidth="1"/>
    <col min="14327" max="14327" width="0" style="137" hidden="1" customWidth="1"/>
    <col min="14328" max="14328" width="13.42578125" style="137" customWidth="1"/>
    <col min="14329" max="14353" width="0" style="137" hidden="1" customWidth="1"/>
    <col min="14354" max="14531" width="8.28515625" style="137"/>
    <col min="14532" max="14532" width="10.140625" style="137" customWidth="1"/>
    <col min="14533" max="14533" width="45.28515625" style="137" customWidth="1"/>
    <col min="14534" max="14534" width="17.42578125" style="137" customWidth="1"/>
    <col min="14535" max="14538" width="15.7109375" style="137" customWidth="1"/>
    <col min="14539" max="14549" width="0" style="137" hidden="1" customWidth="1"/>
    <col min="14550" max="14550" width="15.7109375" style="137" customWidth="1"/>
    <col min="14551" max="14552" width="16.7109375" style="137" customWidth="1"/>
    <col min="14553" max="14553" width="11.5703125" style="137" bestFit="1" customWidth="1"/>
    <col min="14554" max="14554" width="76.5703125" style="137" bestFit="1" customWidth="1"/>
    <col min="14555" max="14558" width="0" style="137" hidden="1" customWidth="1"/>
    <col min="14559" max="14561" width="10.7109375" style="137" customWidth="1"/>
    <col min="14562" max="14562" width="11" style="137" bestFit="1" customWidth="1"/>
    <col min="14563" max="14564" width="10.28515625" style="137" bestFit="1" customWidth="1"/>
    <col min="14565" max="14565" width="14" style="137" customWidth="1"/>
    <col min="14566" max="14566" width="65.42578125" style="137" bestFit="1" customWidth="1"/>
    <col min="14567" max="14567" width="15.42578125" style="137" bestFit="1" customWidth="1"/>
    <col min="14568" max="14568" width="15.42578125" style="137" customWidth="1"/>
    <col min="14569" max="14569" width="20.85546875" style="137" bestFit="1" customWidth="1"/>
    <col min="14570" max="14570" width="20.7109375" style="137" bestFit="1" customWidth="1"/>
    <col min="14571" max="14571" width="20.7109375" style="137" customWidth="1"/>
    <col min="14572" max="14579" width="0" style="137" hidden="1" customWidth="1"/>
    <col min="14580" max="14581" width="17.7109375" style="137" customWidth="1"/>
    <col min="14582" max="14582" width="21.28515625" style="137" customWidth="1"/>
    <col min="14583" max="14583" width="0" style="137" hidden="1" customWidth="1"/>
    <col min="14584" max="14584" width="13.42578125" style="137" customWidth="1"/>
    <col min="14585" max="14609" width="0" style="137" hidden="1" customWidth="1"/>
    <col min="14610" max="14787" width="8.28515625" style="137"/>
    <col min="14788" max="14788" width="10.140625" style="137" customWidth="1"/>
    <col min="14789" max="14789" width="45.28515625" style="137" customWidth="1"/>
    <col min="14790" max="14790" width="17.42578125" style="137" customWidth="1"/>
    <col min="14791" max="14794" width="15.7109375" style="137" customWidth="1"/>
    <col min="14795" max="14805" width="0" style="137" hidden="1" customWidth="1"/>
    <col min="14806" max="14806" width="15.7109375" style="137" customWidth="1"/>
    <col min="14807" max="14808" width="16.7109375" style="137" customWidth="1"/>
    <col min="14809" max="14809" width="11.5703125" style="137" bestFit="1" customWidth="1"/>
    <col min="14810" max="14810" width="76.5703125" style="137" bestFit="1" customWidth="1"/>
    <col min="14811" max="14814" width="0" style="137" hidden="1" customWidth="1"/>
    <col min="14815" max="14817" width="10.7109375" style="137" customWidth="1"/>
    <col min="14818" max="14818" width="11" style="137" bestFit="1" customWidth="1"/>
    <col min="14819" max="14820" width="10.28515625" style="137" bestFit="1" customWidth="1"/>
    <col min="14821" max="14821" width="14" style="137" customWidth="1"/>
    <col min="14822" max="14822" width="65.42578125" style="137" bestFit="1" customWidth="1"/>
    <col min="14823" max="14823" width="15.42578125" style="137" bestFit="1" customWidth="1"/>
    <col min="14824" max="14824" width="15.42578125" style="137" customWidth="1"/>
    <col min="14825" max="14825" width="20.85546875" style="137" bestFit="1" customWidth="1"/>
    <col min="14826" max="14826" width="20.7109375" style="137" bestFit="1" customWidth="1"/>
    <col min="14827" max="14827" width="20.7109375" style="137" customWidth="1"/>
    <col min="14828" max="14835" width="0" style="137" hidden="1" customWidth="1"/>
    <col min="14836" max="14837" width="17.7109375" style="137" customWidth="1"/>
    <col min="14838" max="14838" width="21.28515625" style="137" customWidth="1"/>
    <col min="14839" max="14839" width="0" style="137" hidden="1" customWidth="1"/>
    <col min="14840" max="14840" width="13.42578125" style="137" customWidth="1"/>
    <col min="14841" max="14865" width="0" style="137" hidden="1" customWidth="1"/>
    <col min="14866" max="15043" width="8.28515625" style="137"/>
    <col min="15044" max="15044" width="10.140625" style="137" customWidth="1"/>
    <col min="15045" max="15045" width="45.28515625" style="137" customWidth="1"/>
    <col min="15046" max="15046" width="17.42578125" style="137" customWidth="1"/>
    <col min="15047" max="15050" width="15.7109375" style="137" customWidth="1"/>
    <col min="15051" max="15061" width="0" style="137" hidden="1" customWidth="1"/>
    <col min="15062" max="15062" width="15.7109375" style="137" customWidth="1"/>
    <col min="15063" max="15064" width="16.7109375" style="137" customWidth="1"/>
    <col min="15065" max="15065" width="11.5703125" style="137" bestFit="1" customWidth="1"/>
    <col min="15066" max="15066" width="76.5703125" style="137" bestFit="1" customWidth="1"/>
    <col min="15067" max="15070" width="0" style="137" hidden="1" customWidth="1"/>
    <col min="15071" max="15073" width="10.7109375" style="137" customWidth="1"/>
    <col min="15074" max="15074" width="11" style="137" bestFit="1" customWidth="1"/>
    <col min="15075" max="15076" width="10.28515625" style="137" bestFit="1" customWidth="1"/>
    <col min="15077" max="15077" width="14" style="137" customWidth="1"/>
    <col min="15078" max="15078" width="65.42578125" style="137" bestFit="1" customWidth="1"/>
    <col min="15079" max="15079" width="15.42578125" style="137" bestFit="1" customWidth="1"/>
    <col min="15080" max="15080" width="15.42578125" style="137" customWidth="1"/>
    <col min="15081" max="15081" width="20.85546875" style="137" bestFit="1" customWidth="1"/>
    <col min="15082" max="15082" width="20.7109375" style="137" bestFit="1" customWidth="1"/>
    <col min="15083" max="15083" width="20.7109375" style="137" customWidth="1"/>
    <col min="15084" max="15091" width="0" style="137" hidden="1" customWidth="1"/>
    <col min="15092" max="15093" width="17.7109375" style="137" customWidth="1"/>
    <col min="15094" max="15094" width="21.28515625" style="137" customWidth="1"/>
    <col min="15095" max="15095" width="0" style="137" hidden="1" customWidth="1"/>
    <col min="15096" max="15096" width="13.42578125" style="137" customWidth="1"/>
    <col min="15097" max="15121" width="0" style="137" hidden="1" customWidth="1"/>
    <col min="15122" max="15299" width="8.28515625" style="137"/>
    <col min="15300" max="15300" width="10.140625" style="137" customWidth="1"/>
    <col min="15301" max="15301" width="45.28515625" style="137" customWidth="1"/>
    <col min="15302" max="15302" width="17.42578125" style="137" customWidth="1"/>
    <col min="15303" max="15306" width="15.7109375" style="137" customWidth="1"/>
    <col min="15307" max="15317" width="0" style="137" hidden="1" customWidth="1"/>
    <col min="15318" max="15318" width="15.7109375" style="137" customWidth="1"/>
    <col min="15319" max="15320" width="16.7109375" style="137" customWidth="1"/>
    <col min="15321" max="15321" width="11.5703125" style="137" bestFit="1" customWidth="1"/>
    <col min="15322" max="15322" width="76.5703125" style="137" bestFit="1" customWidth="1"/>
    <col min="15323" max="15326" width="0" style="137" hidden="1" customWidth="1"/>
    <col min="15327" max="15329" width="10.7109375" style="137" customWidth="1"/>
    <col min="15330" max="15330" width="11" style="137" bestFit="1" customWidth="1"/>
    <col min="15331" max="15332" width="10.28515625" style="137" bestFit="1" customWidth="1"/>
    <col min="15333" max="15333" width="14" style="137" customWidth="1"/>
    <col min="15334" max="15334" width="65.42578125" style="137" bestFit="1" customWidth="1"/>
    <col min="15335" max="15335" width="15.42578125" style="137" bestFit="1" customWidth="1"/>
    <col min="15336" max="15336" width="15.42578125" style="137" customWidth="1"/>
    <col min="15337" max="15337" width="20.85546875" style="137" bestFit="1" customWidth="1"/>
    <col min="15338" max="15338" width="20.7109375" style="137" bestFit="1" customWidth="1"/>
    <col min="15339" max="15339" width="20.7109375" style="137" customWidth="1"/>
    <col min="15340" max="15347" width="0" style="137" hidden="1" customWidth="1"/>
    <col min="15348" max="15349" width="17.7109375" style="137" customWidth="1"/>
    <col min="15350" max="15350" width="21.28515625" style="137" customWidth="1"/>
    <col min="15351" max="15351" width="0" style="137" hidden="1" customWidth="1"/>
    <col min="15352" max="15352" width="13.42578125" style="137" customWidth="1"/>
    <col min="15353" max="15377" width="0" style="137" hidden="1" customWidth="1"/>
    <col min="15378" max="15555" width="8.28515625" style="137"/>
    <col min="15556" max="15556" width="10.140625" style="137" customWidth="1"/>
    <col min="15557" max="15557" width="45.28515625" style="137" customWidth="1"/>
    <col min="15558" max="15558" width="17.42578125" style="137" customWidth="1"/>
    <col min="15559" max="15562" width="15.7109375" style="137" customWidth="1"/>
    <col min="15563" max="15573" width="0" style="137" hidden="1" customWidth="1"/>
    <col min="15574" max="15574" width="15.7109375" style="137" customWidth="1"/>
    <col min="15575" max="15576" width="16.7109375" style="137" customWidth="1"/>
    <col min="15577" max="15577" width="11.5703125" style="137" bestFit="1" customWidth="1"/>
    <col min="15578" max="15578" width="76.5703125" style="137" bestFit="1" customWidth="1"/>
    <col min="15579" max="15582" width="0" style="137" hidden="1" customWidth="1"/>
    <col min="15583" max="15585" width="10.7109375" style="137" customWidth="1"/>
    <col min="15586" max="15586" width="11" style="137" bestFit="1" customWidth="1"/>
    <col min="15587" max="15588" width="10.28515625" style="137" bestFit="1" customWidth="1"/>
    <col min="15589" max="15589" width="14" style="137" customWidth="1"/>
    <col min="15590" max="15590" width="65.42578125" style="137" bestFit="1" customWidth="1"/>
    <col min="15591" max="15591" width="15.42578125" style="137" bestFit="1" customWidth="1"/>
    <col min="15592" max="15592" width="15.42578125" style="137" customWidth="1"/>
    <col min="15593" max="15593" width="20.85546875" style="137" bestFit="1" customWidth="1"/>
    <col min="15594" max="15594" width="20.7109375" style="137" bestFit="1" customWidth="1"/>
    <col min="15595" max="15595" width="20.7109375" style="137" customWidth="1"/>
    <col min="15596" max="15603" width="0" style="137" hidden="1" customWidth="1"/>
    <col min="15604" max="15605" width="17.7109375" style="137" customWidth="1"/>
    <col min="15606" max="15606" width="21.28515625" style="137" customWidth="1"/>
    <col min="15607" max="15607" width="0" style="137" hidden="1" customWidth="1"/>
    <col min="15608" max="15608" width="13.42578125" style="137" customWidth="1"/>
    <col min="15609" max="15633" width="0" style="137" hidden="1" customWidth="1"/>
    <col min="15634" max="15811" width="8.28515625" style="137"/>
    <col min="15812" max="15812" width="10.140625" style="137" customWidth="1"/>
    <col min="15813" max="15813" width="45.28515625" style="137" customWidth="1"/>
    <col min="15814" max="15814" width="17.42578125" style="137" customWidth="1"/>
    <col min="15815" max="15818" width="15.7109375" style="137" customWidth="1"/>
    <col min="15819" max="15829" width="0" style="137" hidden="1" customWidth="1"/>
    <col min="15830" max="15830" width="15.7109375" style="137" customWidth="1"/>
    <col min="15831" max="15832" width="16.7109375" style="137" customWidth="1"/>
    <col min="15833" max="15833" width="11.5703125" style="137" bestFit="1" customWidth="1"/>
    <col min="15834" max="15834" width="76.5703125" style="137" bestFit="1" customWidth="1"/>
    <col min="15835" max="15838" width="0" style="137" hidden="1" customWidth="1"/>
    <col min="15839" max="15841" width="10.7109375" style="137" customWidth="1"/>
    <col min="15842" max="15842" width="11" style="137" bestFit="1" customWidth="1"/>
    <col min="15843" max="15844" width="10.28515625" style="137" bestFit="1" customWidth="1"/>
    <col min="15845" max="15845" width="14" style="137" customWidth="1"/>
    <col min="15846" max="15846" width="65.42578125" style="137" bestFit="1" customWidth="1"/>
    <col min="15847" max="15847" width="15.42578125" style="137" bestFit="1" customWidth="1"/>
    <col min="15848" max="15848" width="15.42578125" style="137" customWidth="1"/>
    <col min="15849" max="15849" width="20.85546875" style="137" bestFit="1" customWidth="1"/>
    <col min="15850" max="15850" width="20.7109375" style="137" bestFit="1" customWidth="1"/>
    <col min="15851" max="15851" width="20.7109375" style="137" customWidth="1"/>
    <col min="15852" max="15859" width="0" style="137" hidden="1" customWidth="1"/>
    <col min="15860" max="15861" width="17.7109375" style="137" customWidth="1"/>
    <col min="15862" max="15862" width="21.28515625" style="137" customWidth="1"/>
    <col min="15863" max="15863" width="0" style="137" hidden="1" customWidth="1"/>
    <col min="15864" max="15864" width="13.42578125" style="137" customWidth="1"/>
    <col min="15865" max="15889" width="0" style="137" hidden="1" customWidth="1"/>
    <col min="15890" max="16067" width="8.28515625" style="137"/>
    <col min="16068" max="16068" width="10.140625" style="137" customWidth="1"/>
    <col min="16069" max="16069" width="45.28515625" style="137" customWidth="1"/>
    <col min="16070" max="16070" width="17.42578125" style="137" customWidth="1"/>
    <col min="16071" max="16074" width="15.7109375" style="137" customWidth="1"/>
    <col min="16075" max="16085" width="0" style="137" hidden="1" customWidth="1"/>
    <col min="16086" max="16086" width="15.7109375" style="137" customWidth="1"/>
    <col min="16087" max="16088" width="16.7109375" style="137" customWidth="1"/>
    <col min="16089" max="16089" width="11.5703125" style="137" bestFit="1" customWidth="1"/>
    <col min="16090" max="16090" width="76.5703125" style="137" bestFit="1" customWidth="1"/>
    <col min="16091" max="16094" width="0" style="137" hidden="1" customWidth="1"/>
    <col min="16095" max="16097" width="10.7109375" style="137" customWidth="1"/>
    <col min="16098" max="16098" width="11" style="137" bestFit="1" customWidth="1"/>
    <col min="16099" max="16100" width="10.28515625" style="137" bestFit="1" customWidth="1"/>
    <col min="16101" max="16101" width="14" style="137" customWidth="1"/>
    <col min="16102" max="16102" width="65.42578125" style="137" bestFit="1" customWidth="1"/>
    <col min="16103" max="16103" width="15.42578125" style="137" bestFit="1" customWidth="1"/>
    <col min="16104" max="16104" width="15.42578125" style="137" customWidth="1"/>
    <col min="16105" max="16105" width="20.85546875" style="137" bestFit="1" customWidth="1"/>
    <col min="16106" max="16106" width="20.7109375" style="137" bestFit="1" customWidth="1"/>
    <col min="16107" max="16107" width="20.7109375" style="137" customWidth="1"/>
    <col min="16108" max="16115" width="0" style="137" hidden="1" customWidth="1"/>
    <col min="16116" max="16117" width="17.7109375" style="137" customWidth="1"/>
    <col min="16118" max="16118" width="21.28515625" style="137" customWidth="1"/>
    <col min="16119" max="16119" width="0" style="137" hidden="1" customWidth="1"/>
    <col min="16120" max="16120" width="13.42578125" style="137" customWidth="1"/>
    <col min="16121" max="16145" width="0" style="137" hidden="1" customWidth="1"/>
    <col min="16146" max="16384" width="8.28515625" style="137"/>
  </cols>
  <sheetData>
    <row r="1" spans="1:42" s="133" customFormat="1" ht="63.75" x14ac:dyDescent="0.2">
      <c r="A1" s="151" t="s">
        <v>22</v>
      </c>
      <c r="B1" s="151" t="s">
        <v>23</v>
      </c>
      <c r="C1" s="147" t="s">
        <v>308</v>
      </c>
      <c r="D1" s="147" t="s">
        <v>0</v>
      </c>
      <c r="E1" s="148" t="s">
        <v>24</v>
      </c>
      <c r="F1" s="147" t="s">
        <v>5</v>
      </c>
      <c r="G1" s="147" t="s">
        <v>4</v>
      </c>
      <c r="H1" s="148" t="s">
        <v>246</v>
      </c>
      <c r="I1" s="148" t="s">
        <v>25</v>
      </c>
      <c r="J1" s="146" t="s">
        <v>26</v>
      </c>
      <c r="K1" s="144" t="s">
        <v>27</v>
      </c>
      <c r="L1" s="144" t="s">
        <v>28</v>
      </c>
      <c r="M1" s="145" t="s">
        <v>29</v>
      </c>
      <c r="N1" s="139" t="s">
        <v>309</v>
      </c>
      <c r="O1" s="139" t="s">
        <v>310</v>
      </c>
      <c r="P1" s="139" t="s">
        <v>45</v>
      </c>
      <c r="Q1" s="139" t="s">
        <v>30</v>
      </c>
      <c r="R1" s="139" t="s">
        <v>46</v>
      </c>
      <c r="S1" s="139" t="s">
        <v>47</v>
      </c>
      <c r="T1" s="139" t="s">
        <v>48</v>
      </c>
      <c r="U1" s="139" t="s">
        <v>49</v>
      </c>
      <c r="V1" s="139" t="s">
        <v>50</v>
      </c>
      <c r="W1" s="139" t="s">
        <v>51</v>
      </c>
      <c r="X1" s="139" t="s">
        <v>52</v>
      </c>
      <c r="Y1" s="139" t="s">
        <v>53</v>
      </c>
      <c r="Z1" s="139" t="s">
        <v>240</v>
      </c>
      <c r="AA1" s="139" t="s">
        <v>250</v>
      </c>
      <c r="AB1" s="139" t="s">
        <v>245</v>
      </c>
      <c r="AC1" s="139" t="s">
        <v>54</v>
      </c>
      <c r="AD1" s="144" t="s">
        <v>31</v>
      </c>
      <c r="AE1" s="134" t="s">
        <v>311</v>
      </c>
      <c r="AF1" s="139" t="s">
        <v>137</v>
      </c>
      <c r="AG1" s="148" t="s">
        <v>312</v>
      </c>
      <c r="AH1" s="147" t="s">
        <v>8</v>
      </c>
      <c r="AI1" s="147" t="s">
        <v>9</v>
      </c>
      <c r="AJ1" s="147" t="s">
        <v>247</v>
      </c>
      <c r="AK1" s="147" t="s">
        <v>41</v>
      </c>
      <c r="AL1" s="147" t="s">
        <v>42</v>
      </c>
      <c r="AM1" s="147" t="s">
        <v>248</v>
      </c>
      <c r="AN1" s="147" t="s">
        <v>43</v>
      </c>
      <c r="AO1" s="147" t="s">
        <v>44</v>
      </c>
      <c r="AP1" s="147" t="s">
        <v>249</v>
      </c>
    </row>
    <row r="2" spans="1:42" s="135" customFormat="1" ht="12.75" customHeight="1" x14ac:dyDescent="0.2">
      <c r="A2" s="66" t="s">
        <v>313</v>
      </c>
      <c r="B2" s="140" t="s">
        <v>314</v>
      </c>
      <c r="C2" s="140" t="s">
        <v>272</v>
      </c>
      <c r="D2" s="140" t="s">
        <v>298</v>
      </c>
      <c r="E2" s="140" t="s">
        <v>315</v>
      </c>
      <c r="F2" s="140" t="s">
        <v>274</v>
      </c>
      <c r="G2" s="140">
        <v>114</v>
      </c>
      <c r="H2" s="140">
        <v>113</v>
      </c>
      <c r="I2" s="140">
        <v>0</v>
      </c>
      <c r="J2" s="149">
        <v>50481623</v>
      </c>
      <c r="K2" s="142">
        <v>26300000</v>
      </c>
      <c r="L2" s="153">
        <v>1799881</v>
      </c>
      <c r="M2" s="153">
        <v>0</v>
      </c>
      <c r="N2" s="66" t="s">
        <v>270</v>
      </c>
      <c r="O2" s="66"/>
      <c r="P2" s="66" t="s">
        <v>271</v>
      </c>
      <c r="Q2" s="140">
        <v>109</v>
      </c>
      <c r="R2" s="140">
        <v>20</v>
      </c>
      <c r="S2" s="140">
        <v>0</v>
      </c>
      <c r="T2" s="140">
        <v>19.999999999999996</v>
      </c>
      <c r="U2" s="140">
        <v>10</v>
      </c>
      <c r="V2" s="140">
        <v>10</v>
      </c>
      <c r="W2" s="140">
        <v>0</v>
      </c>
      <c r="X2" s="140">
        <v>7.0000000000000009</v>
      </c>
      <c r="Y2" s="140">
        <v>10</v>
      </c>
      <c r="Z2" s="140">
        <v>0</v>
      </c>
      <c r="AA2" s="140">
        <v>10</v>
      </c>
      <c r="AB2" s="140">
        <v>10</v>
      </c>
      <c r="AC2" s="140">
        <v>12</v>
      </c>
      <c r="AD2" s="154">
        <v>0.84090205104881111</v>
      </c>
      <c r="AE2" s="155" t="s">
        <v>258</v>
      </c>
      <c r="AF2" s="140" t="s">
        <v>251</v>
      </c>
      <c r="AG2" s="140" t="s">
        <v>497</v>
      </c>
      <c r="AH2" s="140" t="s">
        <v>264</v>
      </c>
      <c r="AI2" s="140" t="s">
        <v>265</v>
      </c>
      <c r="AJ2" s="140" t="s">
        <v>256</v>
      </c>
      <c r="AK2" s="140" t="s">
        <v>256</v>
      </c>
      <c r="AL2" s="140" t="s">
        <v>256</v>
      </c>
      <c r="AM2" s="140" t="s">
        <v>256</v>
      </c>
      <c r="AN2" s="140" t="s">
        <v>256</v>
      </c>
      <c r="AO2" s="140" t="s">
        <v>256</v>
      </c>
      <c r="AP2" s="140" t="s">
        <v>256</v>
      </c>
    </row>
    <row r="3" spans="1:42" s="135" customFormat="1" ht="12.75" customHeight="1" x14ac:dyDescent="0.2">
      <c r="A3" s="66" t="s">
        <v>316</v>
      </c>
      <c r="B3" s="140" t="s">
        <v>317</v>
      </c>
      <c r="C3" s="140" t="s">
        <v>272</v>
      </c>
      <c r="D3" s="140" t="s">
        <v>273</v>
      </c>
      <c r="E3" s="140" t="s">
        <v>318</v>
      </c>
      <c r="F3" s="140" t="s">
        <v>319</v>
      </c>
      <c r="G3" s="140">
        <v>49</v>
      </c>
      <c r="H3" s="140">
        <v>48</v>
      </c>
      <c r="I3" s="140">
        <v>0</v>
      </c>
      <c r="J3" s="149">
        <v>28596350</v>
      </c>
      <c r="K3" s="142">
        <v>14778808</v>
      </c>
      <c r="L3" s="153">
        <v>1211248</v>
      </c>
      <c r="M3" s="153">
        <v>0</v>
      </c>
      <c r="N3" s="66" t="s">
        <v>270</v>
      </c>
      <c r="O3" s="66"/>
      <c r="P3" s="66" t="s">
        <v>275</v>
      </c>
      <c r="Q3" s="140">
        <v>110</v>
      </c>
      <c r="R3" s="140">
        <v>20</v>
      </c>
      <c r="S3" s="140">
        <v>0</v>
      </c>
      <c r="T3" s="140">
        <v>20</v>
      </c>
      <c r="U3" s="140">
        <v>10</v>
      </c>
      <c r="V3" s="140">
        <v>10</v>
      </c>
      <c r="W3" s="140">
        <v>0</v>
      </c>
      <c r="X3" s="140">
        <v>8</v>
      </c>
      <c r="Y3" s="140">
        <v>10</v>
      </c>
      <c r="Z3" s="140">
        <v>0</v>
      </c>
      <c r="AA3" s="140">
        <v>10</v>
      </c>
      <c r="AB3" s="140">
        <v>10</v>
      </c>
      <c r="AC3" s="140">
        <v>12</v>
      </c>
      <c r="AD3" s="154">
        <v>0.9723430412694215</v>
      </c>
      <c r="AE3" s="155" t="s">
        <v>258</v>
      </c>
      <c r="AF3" s="140" t="s">
        <v>251</v>
      </c>
      <c r="AG3" s="140" t="s">
        <v>498</v>
      </c>
      <c r="AH3" s="140" t="s">
        <v>498</v>
      </c>
      <c r="AI3" s="140" t="s">
        <v>559</v>
      </c>
      <c r="AJ3" s="140" t="s">
        <v>560</v>
      </c>
      <c r="AK3" s="140" t="s">
        <v>256</v>
      </c>
      <c r="AL3" s="140" t="s">
        <v>256</v>
      </c>
      <c r="AM3" s="140" t="s">
        <v>256</v>
      </c>
      <c r="AN3" s="140" t="s">
        <v>256</v>
      </c>
      <c r="AO3" s="140" t="s">
        <v>256</v>
      </c>
      <c r="AP3" s="140" t="s">
        <v>256</v>
      </c>
    </row>
    <row r="4" spans="1:42" s="135" customFormat="1" ht="12.75" customHeight="1" x14ac:dyDescent="0.2">
      <c r="A4" s="66" t="s">
        <v>320</v>
      </c>
      <c r="B4" s="140" t="s">
        <v>321</v>
      </c>
      <c r="C4" s="140" t="s">
        <v>254</v>
      </c>
      <c r="D4" s="140" t="s">
        <v>259</v>
      </c>
      <c r="E4" s="140" t="s">
        <v>282</v>
      </c>
      <c r="F4" s="140" t="s">
        <v>278</v>
      </c>
      <c r="G4" s="140">
        <v>261</v>
      </c>
      <c r="H4" s="140">
        <v>258</v>
      </c>
      <c r="I4" s="140">
        <v>0</v>
      </c>
      <c r="J4" s="149">
        <v>113628000</v>
      </c>
      <c r="K4" s="142">
        <v>55335000</v>
      </c>
      <c r="L4" s="153">
        <v>5231818.2</v>
      </c>
      <c r="M4" s="153">
        <v>0</v>
      </c>
      <c r="N4" s="66" t="s">
        <v>254</v>
      </c>
      <c r="O4" s="66"/>
      <c r="P4" s="66" t="s">
        <v>277</v>
      </c>
      <c r="Q4" s="140">
        <v>120</v>
      </c>
      <c r="R4" s="140">
        <v>0</v>
      </c>
      <c r="S4" s="140">
        <v>10</v>
      </c>
      <c r="T4" s="140">
        <v>20</v>
      </c>
      <c r="U4" s="140">
        <v>10</v>
      </c>
      <c r="V4" s="140">
        <v>10</v>
      </c>
      <c r="W4" s="140">
        <v>10</v>
      </c>
      <c r="X4" s="140">
        <v>8</v>
      </c>
      <c r="Y4" s="140">
        <v>10</v>
      </c>
      <c r="Z4" s="140">
        <v>10</v>
      </c>
      <c r="AA4" s="140">
        <v>10</v>
      </c>
      <c r="AB4" s="140">
        <v>10</v>
      </c>
      <c r="AC4" s="140">
        <v>12</v>
      </c>
      <c r="AD4" s="154">
        <v>0.9067298536963796</v>
      </c>
      <c r="AE4" s="155" t="s">
        <v>258</v>
      </c>
      <c r="AF4" s="140" t="s">
        <v>251</v>
      </c>
      <c r="AG4" s="140" t="s">
        <v>499</v>
      </c>
      <c r="AH4" s="140" t="s">
        <v>561</v>
      </c>
      <c r="AI4" s="140" t="s">
        <v>301</v>
      </c>
      <c r="AJ4" s="140" t="s">
        <v>302</v>
      </c>
      <c r="AK4" s="140" t="s">
        <v>562</v>
      </c>
      <c r="AL4" s="140" t="s">
        <v>563</v>
      </c>
      <c r="AM4" s="140" t="s">
        <v>564</v>
      </c>
      <c r="AN4" s="140" t="s">
        <v>256</v>
      </c>
      <c r="AO4" s="140" t="s">
        <v>256</v>
      </c>
      <c r="AP4" s="140" t="s">
        <v>256</v>
      </c>
    </row>
    <row r="5" spans="1:42" s="135" customFormat="1" ht="12.75" customHeight="1" x14ac:dyDescent="0.2">
      <c r="A5" s="66" t="s">
        <v>322</v>
      </c>
      <c r="B5" s="140" t="s">
        <v>323</v>
      </c>
      <c r="C5" s="140" t="s">
        <v>254</v>
      </c>
      <c r="D5" s="140" t="s">
        <v>259</v>
      </c>
      <c r="E5" s="140" t="s">
        <v>282</v>
      </c>
      <c r="F5" s="140" t="s">
        <v>278</v>
      </c>
      <c r="G5" s="140">
        <v>95</v>
      </c>
      <c r="H5" s="140">
        <v>94</v>
      </c>
      <c r="I5" s="140">
        <v>0</v>
      </c>
      <c r="J5" s="149">
        <v>38910000</v>
      </c>
      <c r="K5" s="142">
        <v>19643500</v>
      </c>
      <c r="L5" s="153">
        <v>1782500</v>
      </c>
      <c r="M5" s="153">
        <v>0</v>
      </c>
      <c r="N5" s="66" t="s">
        <v>254</v>
      </c>
      <c r="O5" s="66"/>
      <c r="P5" s="66" t="s">
        <v>277</v>
      </c>
      <c r="Q5" s="140">
        <v>120</v>
      </c>
      <c r="R5" s="140">
        <v>0</v>
      </c>
      <c r="S5" s="140">
        <v>10</v>
      </c>
      <c r="T5" s="140">
        <v>20</v>
      </c>
      <c r="U5" s="140">
        <v>10</v>
      </c>
      <c r="V5" s="140">
        <v>10</v>
      </c>
      <c r="W5" s="140">
        <v>10</v>
      </c>
      <c r="X5" s="140">
        <v>8</v>
      </c>
      <c r="Y5" s="140">
        <v>10</v>
      </c>
      <c r="Z5" s="140">
        <v>10</v>
      </c>
      <c r="AA5" s="140">
        <v>10</v>
      </c>
      <c r="AB5" s="140">
        <v>10</v>
      </c>
      <c r="AC5" s="140">
        <v>12</v>
      </c>
      <c r="AD5" s="154">
        <v>0.82897637435208493</v>
      </c>
      <c r="AE5" s="155" t="s">
        <v>258</v>
      </c>
      <c r="AF5" s="140" t="s">
        <v>251</v>
      </c>
      <c r="AG5" s="140" t="s">
        <v>500</v>
      </c>
      <c r="AH5" s="140" t="s">
        <v>565</v>
      </c>
      <c r="AI5" s="140" t="s">
        <v>301</v>
      </c>
      <c r="AJ5" s="140" t="s">
        <v>302</v>
      </c>
      <c r="AK5" s="140" t="s">
        <v>566</v>
      </c>
      <c r="AL5" s="140" t="s">
        <v>563</v>
      </c>
      <c r="AM5" s="140" t="s">
        <v>564</v>
      </c>
      <c r="AN5" s="140" t="s">
        <v>256</v>
      </c>
      <c r="AO5" s="140" t="s">
        <v>256</v>
      </c>
      <c r="AP5" s="140" t="s">
        <v>256</v>
      </c>
    </row>
    <row r="6" spans="1:42" s="135" customFormat="1" ht="12.75" customHeight="1" x14ac:dyDescent="0.2">
      <c r="A6" s="66" t="s">
        <v>324</v>
      </c>
      <c r="B6" s="140" t="s">
        <v>325</v>
      </c>
      <c r="C6" s="140" t="s">
        <v>272</v>
      </c>
      <c r="D6" s="140" t="s">
        <v>297</v>
      </c>
      <c r="E6" s="140" t="s">
        <v>260</v>
      </c>
      <c r="F6" s="140" t="s">
        <v>260</v>
      </c>
      <c r="G6" s="140">
        <v>46</v>
      </c>
      <c r="H6" s="140">
        <v>45</v>
      </c>
      <c r="I6" s="140">
        <v>0</v>
      </c>
      <c r="J6" s="149">
        <v>19600000</v>
      </c>
      <c r="K6" s="142">
        <v>10000000</v>
      </c>
      <c r="L6" s="153">
        <v>827840.9</v>
      </c>
      <c r="M6" s="153">
        <v>0</v>
      </c>
      <c r="N6" s="66" t="s">
        <v>281</v>
      </c>
      <c r="O6" s="66"/>
      <c r="P6" s="66" t="s">
        <v>275</v>
      </c>
      <c r="Q6" s="140">
        <v>110</v>
      </c>
      <c r="R6" s="140">
        <v>20</v>
      </c>
      <c r="S6" s="140">
        <v>0</v>
      </c>
      <c r="T6" s="140">
        <v>20</v>
      </c>
      <c r="U6" s="140">
        <v>10</v>
      </c>
      <c r="V6" s="140">
        <v>10</v>
      </c>
      <c r="W6" s="140">
        <v>0</v>
      </c>
      <c r="X6" s="140">
        <v>8</v>
      </c>
      <c r="Y6" s="140">
        <v>10</v>
      </c>
      <c r="Z6" s="140">
        <v>0</v>
      </c>
      <c r="AA6" s="140">
        <v>10</v>
      </c>
      <c r="AB6" s="140">
        <v>10</v>
      </c>
      <c r="AC6" s="140">
        <v>12</v>
      </c>
      <c r="AD6" s="154">
        <v>1.315012356500409</v>
      </c>
      <c r="AE6" s="155" t="s">
        <v>258</v>
      </c>
      <c r="AF6" s="140" t="s">
        <v>489</v>
      </c>
      <c r="AG6" s="140" t="s">
        <v>501</v>
      </c>
      <c r="AH6" s="140" t="s">
        <v>567</v>
      </c>
      <c r="AI6" s="140" t="s">
        <v>568</v>
      </c>
      <c r="AJ6" s="140" t="s">
        <v>501</v>
      </c>
      <c r="AK6" s="140" t="s">
        <v>569</v>
      </c>
      <c r="AL6" s="140" t="s">
        <v>570</v>
      </c>
      <c r="AM6" s="140" t="s">
        <v>501</v>
      </c>
      <c r="AN6" s="140" t="s">
        <v>256</v>
      </c>
      <c r="AO6" s="140" t="s">
        <v>256</v>
      </c>
      <c r="AP6" s="140" t="s">
        <v>256</v>
      </c>
    </row>
    <row r="7" spans="1:42" s="135" customFormat="1" ht="12.75" customHeight="1" x14ac:dyDescent="0.2">
      <c r="A7" s="66" t="s">
        <v>326</v>
      </c>
      <c r="B7" s="140" t="s">
        <v>327</v>
      </c>
      <c r="C7" s="140" t="s">
        <v>254</v>
      </c>
      <c r="D7" s="140" t="s">
        <v>289</v>
      </c>
      <c r="E7" s="140" t="s">
        <v>328</v>
      </c>
      <c r="F7" s="140" t="s">
        <v>274</v>
      </c>
      <c r="G7" s="140">
        <v>88</v>
      </c>
      <c r="H7" s="140">
        <v>87</v>
      </c>
      <c r="I7" s="140">
        <v>0</v>
      </c>
      <c r="J7" s="149">
        <v>41632948</v>
      </c>
      <c r="K7" s="142">
        <v>21395848</v>
      </c>
      <c r="L7" s="153">
        <v>1872155.6</v>
      </c>
      <c r="M7" s="153">
        <v>0</v>
      </c>
      <c r="N7" s="66" t="s">
        <v>254</v>
      </c>
      <c r="O7" s="66" t="s">
        <v>255</v>
      </c>
      <c r="P7" s="66" t="s">
        <v>271</v>
      </c>
      <c r="Q7" s="140">
        <v>119</v>
      </c>
      <c r="R7" s="140">
        <v>0</v>
      </c>
      <c r="S7" s="140">
        <v>10</v>
      </c>
      <c r="T7" s="140">
        <v>20</v>
      </c>
      <c r="U7" s="140">
        <v>10</v>
      </c>
      <c r="V7" s="140">
        <v>10</v>
      </c>
      <c r="W7" s="140">
        <v>10</v>
      </c>
      <c r="X7" s="140">
        <v>8</v>
      </c>
      <c r="Y7" s="140">
        <v>10</v>
      </c>
      <c r="Z7" s="140">
        <v>9</v>
      </c>
      <c r="AA7" s="140">
        <v>10</v>
      </c>
      <c r="AB7" s="140">
        <v>10</v>
      </c>
      <c r="AC7" s="140">
        <v>12</v>
      </c>
      <c r="AD7" s="154">
        <v>0.94251055052747323</v>
      </c>
      <c r="AE7" s="155" t="s">
        <v>258</v>
      </c>
      <c r="AF7" s="140" t="s">
        <v>251</v>
      </c>
      <c r="AG7" s="140" t="s">
        <v>502</v>
      </c>
      <c r="AH7" s="140" t="s">
        <v>571</v>
      </c>
      <c r="AI7" s="140" t="s">
        <v>292</v>
      </c>
      <c r="AJ7" s="140" t="s">
        <v>293</v>
      </c>
      <c r="AK7" s="140" t="s">
        <v>290</v>
      </c>
      <c r="AL7" s="140" t="s">
        <v>572</v>
      </c>
      <c r="AM7" s="140" t="s">
        <v>291</v>
      </c>
      <c r="AN7" s="140" t="s">
        <v>256</v>
      </c>
      <c r="AO7" s="140" t="s">
        <v>256</v>
      </c>
      <c r="AP7" s="140" t="s">
        <v>256</v>
      </c>
    </row>
    <row r="8" spans="1:42" s="135" customFormat="1" ht="12.75" customHeight="1" x14ac:dyDescent="0.2">
      <c r="A8" s="66" t="s">
        <v>329</v>
      </c>
      <c r="B8" s="140" t="s">
        <v>330</v>
      </c>
      <c r="C8" s="140" t="s">
        <v>294</v>
      </c>
      <c r="D8" s="140" t="s">
        <v>289</v>
      </c>
      <c r="E8" s="140" t="s">
        <v>274</v>
      </c>
      <c r="F8" s="140" t="s">
        <v>274</v>
      </c>
      <c r="G8" s="140">
        <v>38</v>
      </c>
      <c r="H8" s="140">
        <v>37</v>
      </c>
      <c r="I8" s="140">
        <v>0</v>
      </c>
      <c r="J8" s="149">
        <v>33128970</v>
      </c>
      <c r="K8" s="142">
        <v>14219583</v>
      </c>
      <c r="L8" s="153">
        <v>1075583</v>
      </c>
      <c r="M8" s="153">
        <v>0</v>
      </c>
      <c r="N8" s="66" t="s">
        <v>254</v>
      </c>
      <c r="O8" s="66" t="s">
        <v>255</v>
      </c>
      <c r="P8" s="66" t="s">
        <v>271</v>
      </c>
      <c r="Q8" s="140">
        <v>120</v>
      </c>
      <c r="R8" s="140">
        <v>0</v>
      </c>
      <c r="S8" s="140">
        <v>10</v>
      </c>
      <c r="T8" s="140">
        <v>20</v>
      </c>
      <c r="U8" s="140">
        <v>10</v>
      </c>
      <c r="V8" s="140">
        <v>10</v>
      </c>
      <c r="W8" s="140">
        <v>10</v>
      </c>
      <c r="X8" s="140">
        <v>8</v>
      </c>
      <c r="Y8" s="140">
        <v>10</v>
      </c>
      <c r="Z8" s="140">
        <v>10</v>
      </c>
      <c r="AA8" s="140">
        <v>10</v>
      </c>
      <c r="AB8" s="140">
        <v>10</v>
      </c>
      <c r="AC8" s="140">
        <v>12</v>
      </c>
      <c r="AD8" s="154">
        <v>1.1536523791274724</v>
      </c>
      <c r="AE8" s="155" t="s">
        <v>258</v>
      </c>
      <c r="AF8" s="140" t="s">
        <v>251</v>
      </c>
      <c r="AG8" s="140" t="s">
        <v>503</v>
      </c>
      <c r="AH8" s="140" t="s">
        <v>573</v>
      </c>
      <c r="AI8" s="140" t="s">
        <v>574</v>
      </c>
      <c r="AJ8" s="140" t="s">
        <v>575</v>
      </c>
      <c r="AK8" s="140" t="s">
        <v>256</v>
      </c>
      <c r="AL8" s="140" t="s">
        <v>256</v>
      </c>
      <c r="AM8" s="140" t="s">
        <v>256</v>
      </c>
      <c r="AN8" s="140" t="s">
        <v>256</v>
      </c>
      <c r="AO8" s="140" t="s">
        <v>256</v>
      </c>
      <c r="AP8" s="140" t="s">
        <v>256</v>
      </c>
    </row>
    <row r="9" spans="1:42" s="135" customFormat="1" ht="12.75" customHeight="1" x14ac:dyDescent="0.2">
      <c r="A9" s="66" t="s">
        <v>331</v>
      </c>
      <c r="B9" s="140" t="s">
        <v>332</v>
      </c>
      <c r="C9" s="140" t="s">
        <v>272</v>
      </c>
      <c r="D9" s="140" t="s">
        <v>273</v>
      </c>
      <c r="E9" s="140" t="s">
        <v>318</v>
      </c>
      <c r="F9" s="140" t="s">
        <v>319</v>
      </c>
      <c r="G9" s="140">
        <v>206</v>
      </c>
      <c r="H9" s="140">
        <v>204</v>
      </c>
      <c r="I9" s="140">
        <v>0</v>
      </c>
      <c r="J9" s="149">
        <v>74468171</v>
      </c>
      <c r="K9" s="142">
        <v>37239587</v>
      </c>
      <c r="L9" s="153">
        <v>2972052</v>
      </c>
      <c r="M9" s="153">
        <v>0</v>
      </c>
      <c r="N9" s="66" t="s">
        <v>270</v>
      </c>
      <c r="O9" s="66"/>
      <c r="P9" s="66" t="s">
        <v>275</v>
      </c>
      <c r="Q9" s="140">
        <v>97.999999999999986</v>
      </c>
      <c r="R9" s="140">
        <v>20</v>
      </c>
      <c r="S9" s="140">
        <v>0</v>
      </c>
      <c r="T9" s="140">
        <v>7.9999999999999849</v>
      </c>
      <c r="U9" s="140">
        <v>10</v>
      </c>
      <c r="V9" s="140">
        <v>10</v>
      </c>
      <c r="W9" s="140">
        <v>0</v>
      </c>
      <c r="X9" s="140">
        <v>8</v>
      </c>
      <c r="Y9" s="140">
        <v>10</v>
      </c>
      <c r="Z9" s="140">
        <v>0</v>
      </c>
      <c r="AA9" s="140">
        <v>10</v>
      </c>
      <c r="AB9" s="140">
        <v>10</v>
      </c>
      <c r="AC9" s="140">
        <v>12</v>
      </c>
      <c r="AD9" s="154">
        <v>0.90781200986654964</v>
      </c>
      <c r="AE9" s="155" t="s">
        <v>258</v>
      </c>
      <c r="AF9" s="140" t="s">
        <v>251</v>
      </c>
      <c r="AG9" s="140" t="s">
        <v>504</v>
      </c>
      <c r="AH9" s="140" t="s">
        <v>576</v>
      </c>
      <c r="AI9" s="140" t="s">
        <v>299</v>
      </c>
      <c r="AJ9" s="140" t="s">
        <v>300</v>
      </c>
      <c r="AK9" s="140" t="s">
        <v>256</v>
      </c>
      <c r="AL9" s="140" t="s">
        <v>256</v>
      </c>
      <c r="AM9" s="140" t="s">
        <v>256</v>
      </c>
      <c r="AN9" s="140" t="s">
        <v>256</v>
      </c>
      <c r="AO9" s="140" t="s">
        <v>256</v>
      </c>
      <c r="AP9" s="140" t="s">
        <v>256</v>
      </c>
    </row>
    <row r="10" spans="1:42" s="135" customFormat="1" ht="12.75" customHeight="1" x14ac:dyDescent="0.2">
      <c r="A10" s="66" t="s">
        <v>333</v>
      </c>
      <c r="B10" s="140" t="s">
        <v>334</v>
      </c>
      <c r="C10" s="140" t="s">
        <v>254</v>
      </c>
      <c r="D10" s="140" t="s">
        <v>259</v>
      </c>
      <c r="E10" s="140" t="s">
        <v>335</v>
      </c>
      <c r="F10" s="140" t="s">
        <v>319</v>
      </c>
      <c r="G10" s="140">
        <v>75</v>
      </c>
      <c r="H10" s="140">
        <v>74</v>
      </c>
      <c r="I10" s="140">
        <v>0</v>
      </c>
      <c r="J10" s="149">
        <v>39384694</v>
      </c>
      <c r="K10" s="142">
        <v>20000000</v>
      </c>
      <c r="L10" s="153">
        <v>1909779</v>
      </c>
      <c r="M10" s="153">
        <v>11017953</v>
      </c>
      <c r="N10" s="66" t="s">
        <v>488</v>
      </c>
      <c r="O10" s="66"/>
      <c r="P10" s="66" t="s">
        <v>275</v>
      </c>
      <c r="Q10" s="140">
        <v>119</v>
      </c>
      <c r="R10" s="140">
        <v>0</v>
      </c>
      <c r="S10" s="140">
        <v>10</v>
      </c>
      <c r="T10" s="140">
        <v>20</v>
      </c>
      <c r="U10" s="140">
        <v>10</v>
      </c>
      <c r="V10" s="140">
        <v>10</v>
      </c>
      <c r="W10" s="140">
        <v>10</v>
      </c>
      <c r="X10" s="140">
        <v>8</v>
      </c>
      <c r="Y10" s="140">
        <v>10</v>
      </c>
      <c r="Z10" s="140">
        <v>9</v>
      </c>
      <c r="AA10" s="140">
        <v>10</v>
      </c>
      <c r="AB10" s="140">
        <v>10</v>
      </c>
      <c r="AC10" s="140">
        <v>12</v>
      </c>
      <c r="AD10" s="154">
        <v>0.84458839036397793</v>
      </c>
      <c r="AE10" s="155" t="s">
        <v>258</v>
      </c>
      <c r="AF10" s="140" t="s">
        <v>251</v>
      </c>
      <c r="AG10" s="140" t="s">
        <v>269</v>
      </c>
      <c r="AH10" s="140" t="s">
        <v>264</v>
      </c>
      <c r="AI10" s="140" t="s">
        <v>265</v>
      </c>
      <c r="AJ10" s="140" t="s">
        <v>256</v>
      </c>
      <c r="AK10" s="140" t="s">
        <v>266</v>
      </c>
      <c r="AL10" s="140" t="s">
        <v>267</v>
      </c>
      <c r="AM10" s="140" t="s">
        <v>268</v>
      </c>
      <c r="AN10" s="140" t="s">
        <v>256</v>
      </c>
      <c r="AO10" s="140" t="s">
        <v>256</v>
      </c>
      <c r="AP10" s="140" t="s">
        <v>256</v>
      </c>
    </row>
    <row r="11" spans="1:42" s="135" customFormat="1" ht="12.75" customHeight="1" x14ac:dyDescent="0.2">
      <c r="A11" s="66" t="s">
        <v>336</v>
      </c>
      <c r="B11" s="140" t="s">
        <v>337</v>
      </c>
      <c r="C11" s="140" t="s">
        <v>254</v>
      </c>
      <c r="D11" s="140" t="s">
        <v>259</v>
      </c>
      <c r="E11" s="140" t="s">
        <v>338</v>
      </c>
      <c r="F11" s="140" t="s">
        <v>339</v>
      </c>
      <c r="G11" s="140">
        <v>69</v>
      </c>
      <c r="H11" s="140">
        <v>68</v>
      </c>
      <c r="I11" s="140">
        <v>0</v>
      </c>
      <c r="J11" s="149">
        <v>68879547.180000007</v>
      </c>
      <c r="K11" s="142">
        <v>35141577</v>
      </c>
      <c r="L11" s="153">
        <v>3236223</v>
      </c>
      <c r="M11" s="153">
        <v>0</v>
      </c>
      <c r="N11" s="66" t="s">
        <v>254</v>
      </c>
      <c r="O11" s="66" t="s">
        <v>55</v>
      </c>
      <c r="P11" s="66" t="s">
        <v>261</v>
      </c>
      <c r="Q11" s="140">
        <v>119</v>
      </c>
      <c r="R11" s="140">
        <v>0</v>
      </c>
      <c r="S11" s="140">
        <v>10</v>
      </c>
      <c r="T11" s="140">
        <v>20</v>
      </c>
      <c r="U11" s="140">
        <v>10</v>
      </c>
      <c r="V11" s="140">
        <v>10</v>
      </c>
      <c r="W11" s="140">
        <v>10</v>
      </c>
      <c r="X11" s="140">
        <v>8</v>
      </c>
      <c r="Y11" s="140">
        <v>10</v>
      </c>
      <c r="Z11" s="140">
        <v>9</v>
      </c>
      <c r="AA11" s="140">
        <v>10</v>
      </c>
      <c r="AB11" s="140">
        <v>10</v>
      </c>
      <c r="AC11" s="140">
        <v>12</v>
      </c>
      <c r="AD11" s="154">
        <v>0.87433657633219464</v>
      </c>
      <c r="AE11" s="155" t="s">
        <v>258</v>
      </c>
      <c r="AF11" s="140" t="s">
        <v>490</v>
      </c>
      <c r="AG11" s="140" t="s">
        <v>505</v>
      </c>
      <c r="AH11" s="140" t="s">
        <v>577</v>
      </c>
      <c r="AI11" s="140" t="s">
        <v>578</v>
      </c>
      <c r="AJ11" s="140" t="s">
        <v>519</v>
      </c>
      <c r="AK11" s="140" t="s">
        <v>256</v>
      </c>
      <c r="AL11" s="140" t="s">
        <v>256</v>
      </c>
      <c r="AM11" s="140" t="s">
        <v>256</v>
      </c>
      <c r="AN11" s="140" t="s">
        <v>256</v>
      </c>
      <c r="AO11" s="140" t="s">
        <v>256</v>
      </c>
      <c r="AP11" s="140" t="s">
        <v>256</v>
      </c>
    </row>
    <row r="12" spans="1:42" s="135" customFormat="1" ht="12.75" customHeight="1" x14ac:dyDescent="0.2">
      <c r="A12" s="66" t="s">
        <v>340</v>
      </c>
      <c r="B12" s="140" t="s">
        <v>341</v>
      </c>
      <c r="C12" s="140" t="s">
        <v>254</v>
      </c>
      <c r="D12" s="140" t="s">
        <v>259</v>
      </c>
      <c r="E12" s="140" t="s">
        <v>342</v>
      </c>
      <c r="F12" s="140" t="s">
        <v>343</v>
      </c>
      <c r="G12" s="140">
        <v>81</v>
      </c>
      <c r="H12" s="140">
        <v>80</v>
      </c>
      <c r="I12" s="140">
        <v>0</v>
      </c>
      <c r="J12" s="149">
        <v>56806871</v>
      </c>
      <c r="K12" s="142">
        <v>29000000</v>
      </c>
      <c r="L12" s="153">
        <v>2880916</v>
      </c>
      <c r="M12" s="153">
        <v>0</v>
      </c>
      <c r="N12" s="66" t="s">
        <v>488</v>
      </c>
      <c r="O12" s="66"/>
      <c r="P12" s="66" t="s">
        <v>256</v>
      </c>
      <c r="Q12" s="140">
        <v>120</v>
      </c>
      <c r="R12" s="140">
        <v>0</v>
      </c>
      <c r="S12" s="140">
        <v>10</v>
      </c>
      <c r="T12" s="140">
        <v>20</v>
      </c>
      <c r="U12" s="140">
        <v>10</v>
      </c>
      <c r="V12" s="140">
        <v>10</v>
      </c>
      <c r="W12" s="140">
        <v>10</v>
      </c>
      <c r="X12" s="140">
        <v>8</v>
      </c>
      <c r="Y12" s="140">
        <v>10</v>
      </c>
      <c r="Z12" s="140">
        <v>10</v>
      </c>
      <c r="AA12" s="140">
        <v>10</v>
      </c>
      <c r="AB12" s="140">
        <v>10</v>
      </c>
      <c r="AC12" s="140">
        <v>12</v>
      </c>
      <c r="AD12" s="154">
        <v>0.61764543610547662</v>
      </c>
      <c r="AE12" s="155" t="s">
        <v>258</v>
      </c>
      <c r="AF12" s="140" t="s">
        <v>251</v>
      </c>
      <c r="AG12" s="140" t="s">
        <v>506</v>
      </c>
      <c r="AH12" s="140" t="s">
        <v>264</v>
      </c>
      <c r="AI12" s="140" t="s">
        <v>265</v>
      </c>
      <c r="AJ12" s="140" t="s">
        <v>256</v>
      </c>
      <c r="AK12" s="140" t="s">
        <v>266</v>
      </c>
      <c r="AL12" s="140" t="s">
        <v>267</v>
      </c>
      <c r="AM12" s="140" t="s">
        <v>268</v>
      </c>
      <c r="AN12" s="140" t="s">
        <v>256</v>
      </c>
      <c r="AO12" s="140" t="s">
        <v>256</v>
      </c>
      <c r="AP12" s="140" t="s">
        <v>256</v>
      </c>
    </row>
    <row r="13" spans="1:42" s="135" customFormat="1" ht="12.75" customHeight="1" x14ac:dyDescent="0.2">
      <c r="A13" s="66" t="s">
        <v>344</v>
      </c>
      <c r="B13" s="140" t="s">
        <v>345</v>
      </c>
      <c r="C13" s="140" t="s">
        <v>254</v>
      </c>
      <c r="D13" s="140" t="s">
        <v>259</v>
      </c>
      <c r="E13" s="140" t="s">
        <v>342</v>
      </c>
      <c r="F13" s="140" t="s">
        <v>343</v>
      </c>
      <c r="G13" s="140">
        <v>76</v>
      </c>
      <c r="H13" s="140">
        <v>75</v>
      </c>
      <c r="I13" s="140">
        <v>0</v>
      </c>
      <c r="J13" s="149">
        <v>46098377</v>
      </c>
      <c r="K13" s="142">
        <v>24000000</v>
      </c>
      <c r="L13" s="153">
        <v>2337704</v>
      </c>
      <c r="M13" s="153">
        <v>6990000</v>
      </c>
      <c r="N13" s="66" t="s">
        <v>488</v>
      </c>
      <c r="O13" s="66"/>
      <c r="P13" s="66" t="s">
        <v>256</v>
      </c>
      <c r="Q13" s="140">
        <v>120</v>
      </c>
      <c r="R13" s="140">
        <v>0</v>
      </c>
      <c r="S13" s="140">
        <v>10</v>
      </c>
      <c r="T13" s="140">
        <v>20</v>
      </c>
      <c r="U13" s="140">
        <v>10</v>
      </c>
      <c r="V13" s="140">
        <v>10</v>
      </c>
      <c r="W13" s="140">
        <v>10</v>
      </c>
      <c r="X13" s="140">
        <v>8</v>
      </c>
      <c r="Y13" s="140">
        <v>10</v>
      </c>
      <c r="Z13" s="140">
        <v>10</v>
      </c>
      <c r="AA13" s="140">
        <v>10</v>
      </c>
      <c r="AB13" s="140">
        <v>10</v>
      </c>
      <c r="AC13" s="140">
        <v>12</v>
      </c>
      <c r="AD13" s="154">
        <v>0.55265827686350433</v>
      </c>
      <c r="AE13" s="155" t="s">
        <v>258</v>
      </c>
      <c r="AF13" s="140" t="s">
        <v>251</v>
      </c>
      <c r="AG13" s="140" t="s">
        <v>269</v>
      </c>
      <c r="AH13" s="140" t="s">
        <v>264</v>
      </c>
      <c r="AI13" s="140" t="s">
        <v>265</v>
      </c>
      <c r="AJ13" s="140" t="s">
        <v>256</v>
      </c>
      <c r="AK13" s="140" t="s">
        <v>266</v>
      </c>
      <c r="AL13" s="140" t="s">
        <v>267</v>
      </c>
      <c r="AM13" s="140" t="s">
        <v>268</v>
      </c>
      <c r="AN13" s="140" t="s">
        <v>256</v>
      </c>
      <c r="AO13" s="140" t="s">
        <v>256</v>
      </c>
      <c r="AP13" s="140" t="s">
        <v>256</v>
      </c>
    </row>
    <row r="14" spans="1:42" s="135" customFormat="1" ht="12.75" customHeight="1" x14ac:dyDescent="0.2">
      <c r="A14" s="66" t="s">
        <v>346</v>
      </c>
      <c r="B14" s="140" t="s">
        <v>347</v>
      </c>
      <c r="C14" s="140" t="s">
        <v>254</v>
      </c>
      <c r="D14" s="140" t="s">
        <v>259</v>
      </c>
      <c r="E14" s="140" t="s">
        <v>348</v>
      </c>
      <c r="F14" s="140" t="s">
        <v>349</v>
      </c>
      <c r="G14" s="140">
        <v>167</v>
      </c>
      <c r="H14" s="140">
        <v>165</v>
      </c>
      <c r="I14" s="140">
        <v>0</v>
      </c>
      <c r="J14" s="149">
        <v>107104334</v>
      </c>
      <c r="K14" s="142">
        <v>55500000</v>
      </c>
      <c r="L14" s="153">
        <v>4863097</v>
      </c>
      <c r="M14" s="153">
        <v>0</v>
      </c>
      <c r="N14" s="66" t="s">
        <v>254</v>
      </c>
      <c r="O14" s="66"/>
      <c r="P14" s="66" t="s">
        <v>275</v>
      </c>
      <c r="Q14" s="140">
        <v>109</v>
      </c>
      <c r="R14" s="140">
        <v>0</v>
      </c>
      <c r="S14" s="140">
        <v>10</v>
      </c>
      <c r="T14" s="140">
        <v>20</v>
      </c>
      <c r="U14" s="140">
        <v>10</v>
      </c>
      <c r="V14" s="140">
        <v>10</v>
      </c>
      <c r="W14" s="140">
        <v>10</v>
      </c>
      <c r="X14" s="140">
        <v>8</v>
      </c>
      <c r="Y14" s="140">
        <v>0</v>
      </c>
      <c r="Z14" s="140">
        <v>9</v>
      </c>
      <c r="AA14" s="140">
        <v>10</v>
      </c>
      <c r="AB14" s="140">
        <v>10</v>
      </c>
      <c r="AC14" s="140">
        <v>12</v>
      </c>
      <c r="AD14" s="154">
        <v>0.74557618523760461</v>
      </c>
      <c r="AE14" s="155" t="s">
        <v>258</v>
      </c>
      <c r="AF14" s="140" t="s">
        <v>251</v>
      </c>
      <c r="AG14" s="140" t="s">
        <v>507</v>
      </c>
      <c r="AH14" s="140" t="s">
        <v>264</v>
      </c>
      <c r="AI14" s="140" t="s">
        <v>265</v>
      </c>
      <c r="AJ14" s="140" t="s">
        <v>256</v>
      </c>
      <c r="AK14" s="140" t="s">
        <v>266</v>
      </c>
      <c r="AL14" s="140" t="s">
        <v>267</v>
      </c>
      <c r="AM14" s="140" t="s">
        <v>268</v>
      </c>
      <c r="AN14" s="140" t="s">
        <v>256</v>
      </c>
      <c r="AO14" s="140" t="s">
        <v>256</v>
      </c>
      <c r="AP14" s="140" t="s">
        <v>256</v>
      </c>
    </row>
    <row r="15" spans="1:42" s="135" customFormat="1" ht="12.75" customHeight="1" x14ac:dyDescent="0.2">
      <c r="A15" s="66" t="s">
        <v>350</v>
      </c>
      <c r="B15" s="140" t="s">
        <v>351</v>
      </c>
      <c r="C15" s="140" t="s">
        <v>254</v>
      </c>
      <c r="D15" s="140" t="s">
        <v>273</v>
      </c>
      <c r="E15" s="140" t="s">
        <v>262</v>
      </c>
      <c r="F15" s="140" t="s">
        <v>263</v>
      </c>
      <c r="G15" s="140">
        <v>166</v>
      </c>
      <c r="H15" s="140">
        <v>164</v>
      </c>
      <c r="I15" s="140">
        <v>0</v>
      </c>
      <c r="J15" s="149">
        <v>95860019</v>
      </c>
      <c r="K15" s="142">
        <v>50000000</v>
      </c>
      <c r="L15" s="153">
        <v>4783814</v>
      </c>
      <c r="M15" s="153">
        <v>0</v>
      </c>
      <c r="N15" s="66" t="s">
        <v>254</v>
      </c>
      <c r="O15" s="66"/>
      <c r="P15" s="66" t="s">
        <v>261</v>
      </c>
      <c r="Q15" s="140">
        <v>109</v>
      </c>
      <c r="R15" s="140">
        <v>0</v>
      </c>
      <c r="S15" s="140">
        <v>10</v>
      </c>
      <c r="T15" s="140">
        <v>20</v>
      </c>
      <c r="U15" s="140">
        <v>10</v>
      </c>
      <c r="V15" s="140">
        <v>10</v>
      </c>
      <c r="W15" s="140">
        <v>10</v>
      </c>
      <c r="X15" s="140">
        <v>8</v>
      </c>
      <c r="Y15" s="140">
        <v>0</v>
      </c>
      <c r="Z15" s="140">
        <v>9</v>
      </c>
      <c r="AA15" s="140">
        <v>10</v>
      </c>
      <c r="AB15" s="140">
        <v>10</v>
      </c>
      <c r="AC15" s="140">
        <v>12</v>
      </c>
      <c r="AD15" s="154">
        <v>0.77535499377919126</v>
      </c>
      <c r="AE15" s="155" t="s">
        <v>258</v>
      </c>
      <c r="AF15" s="140" t="s">
        <v>251</v>
      </c>
      <c r="AG15" s="140" t="s">
        <v>508</v>
      </c>
      <c r="AH15" s="140" t="s">
        <v>264</v>
      </c>
      <c r="AI15" s="140" t="s">
        <v>265</v>
      </c>
      <c r="AJ15" s="140" t="s">
        <v>256</v>
      </c>
      <c r="AK15" s="140" t="s">
        <v>266</v>
      </c>
      <c r="AL15" s="140" t="s">
        <v>267</v>
      </c>
      <c r="AM15" s="140" t="s">
        <v>268</v>
      </c>
      <c r="AN15" s="140" t="s">
        <v>579</v>
      </c>
      <c r="AO15" s="140" t="s">
        <v>580</v>
      </c>
      <c r="AP15" s="140" t="s">
        <v>276</v>
      </c>
    </row>
    <row r="16" spans="1:42" s="135" customFormat="1" ht="12.75" customHeight="1" x14ac:dyDescent="0.2">
      <c r="A16" s="66" t="s">
        <v>352</v>
      </c>
      <c r="B16" s="140" t="s">
        <v>353</v>
      </c>
      <c r="C16" s="140" t="s">
        <v>254</v>
      </c>
      <c r="D16" s="140" t="s">
        <v>273</v>
      </c>
      <c r="E16" s="140" t="s">
        <v>262</v>
      </c>
      <c r="F16" s="140" t="s">
        <v>263</v>
      </c>
      <c r="G16" s="140">
        <v>240</v>
      </c>
      <c r="H16" s="140">
        <v>237</v>
      </c>
      <c r="I16" s="140">
        <v>0</v>
      </c>
      <c r="J16" s="149">
        <v>119167043</v>
      </c>
      <c r="K16" s="142">
        <v>63500000</v>
      </c>
      <c r="L16" s="153">
        <v>5794275</v>
      </c>
      <c r="M16" s="153">
        <v>0</v>
      </c>
      <c r="N16" s="66" t="s">
        <v>254</v>
      </c>
      <c r="O16" s="66"/>
      <c r="P16" s="66" t="s">
        <v>261</v>
      </c>
      <c r="Q16" s="140">
        <v>119</v>
      </c>
      <c r="R16" s="140">
        <v>0</v>
      </c>
      <c r="S16" s="140">
        <v>10</v>
      </c>
      <c r="T16" s="140">
        <v>20</v>
      </c>
      <c r="U16" s="140">
        <v>10</v>
      </c>
      <c r="V16" s="140">
        <v>10</v>
      </c>
      <c r="W16" s="140">
        <v>10</v>
      </c>
      <c r="X16" s="140">
        <v>8</v>
      </c>
      <c r="Y16" s="140">
        <v>10</v>
      </c>
      <c r="Z16" s="140">
        <v>9</v>
      </c>
      <c r="AA16" s="140">
        <v>10</v>
      </c>
      <c r="AB16" s="140">
        <v>10</v>
      </c>
      <c r="AC16" s="140">
        <v>12</v>
      </c>
      <c r="AD16" s="154">
        <v>1.1563852957373886</v>
      </c>
      <c r="AE16" s="155" t="s">
        <v>258</v>
      </c>
      <c r="AF16" s="140" t="s">
        <v>251</v>
      </c>
      <c r="AG16" s="140" t="s">
        <v>509</v>
      </c>
      <c r="AH16" s="140" t="s">
        <v>264</v>
      </c>
      <c r="AI16" s="140" t="s">
        <v>265</v>
      </c>
      <c r="AJ16" s="140" t="s">
        <v>256</v>
      </c>
      <c r="AK16" s="140" t="s">
        <v>266</v>
      </c>
      <c r="AL16" s="140" t="s">
        <v>267</v>
      </c>
      <c r="AM16" s="140" t="s">
        <v>268</v>
      </c>
      <c r="AN16" s="140" t="s">
        <v>256</v>
      </c>
      <c r="AO16" s="140" t="s">
        <v>256</v>
      </c>
      <c r="AP16" s="140" t="s">
        <v>256</v>
      </c>
    </row>
    <row r="17" spans="1:42" s="135" customFormat="1" ht="12.75" customHeight="1" x14ac:dyDescent="0.2">
      <c r="A17" s="66" t="s">
        <v>354</v>
      </c>
      <c r="B17" s="140" t="s">
        <v>355</v>
      </c>
      <c r="C17" s="140" t="s">
        <v>254</v>
      </c>
      <c r="D17" s="140" t="s">
        <v>273</v>
      </c>
      <c r="E17" s="140" t="s">
        <v>262</v>
      </c>
      <c r="F17" s="140" t="s">
        <v>263</v>
      </c>
      <c r="G17" s="140">
        <v>164</v>
      </c>
      <c r="H17" s="140">
        <v>162</v>
      </c>
      <c r="I17" s="140">
        <v>0</v>
      </c>
      <c r="J17" s="149">
        <v>98595737</v>
      </c>
      <c r="K17" s="142">
        <v>52500000</v>
      </c>
      <c r="L17" s="153">
        <v>4819022</v>
      </c>
      <c r="M17" s="153">
        <v>0</v>
      </c>
      <c r="N17" s="66" t="s">
        <v>254</v>
      </c>
      <c r="O17" s="66"/>
      <c r="P17" s="66" t="s">
        <v>261</v>
      </c>
      <c r="Q17" s="140">
        <v>119</v>
      </c>
      <c r="R17" s="140">
        <v>0</v>
      </c>
      <c r="S17" s="140">
        <v>10</v>
      </c>
      <c r="T17" s="140">
        <v>20</v>
      </c>
      <c r="U17" s="140">
        <v>10</v>
      </c>
      <c r="V17" s="140">
        <v>10</v>
      </c>
      <c r="W17" s="140">
        <v>10</v>
      </c>
      <c r="X17" s="140">
        <v>8</v>
      </c>
      <c r="Y17" s="140">
        <v>10</v>
      </c>
      <c r="Z17" s="140">
        <v>9</v>
      </c>
      <c r="AA17" s="140">
        <v>10</v>
      </c>
      <c r="AB17" s="140">
        <v>10</v>
      </c>
      <c r="AC17" s="140">
        <v>12</v>
      </c>
      <c r="AD17" s="154">
        <v>0.68997153907525455</v>
      </c>
      <c r="AE17" s="155" t="s">
        <v>258</v>
      </c>
      <c r="AF17" s="140" t="s">
        <v>251</v>
      </c>
      <c r="AG17" s="140" t="s">
        <v>510</v>
      </c>
      <c r="AH17" s="140" t="s">
        <v>264</v>
      </c>
      <c r="AI17" s="140" t="s">
        <v>265</v>
      </c>
      <c r="AJ17" s="140" t="s">
        <v>256</v>
      </c>
      <c r="AK17" s="140" t="s">
        <v>266</v>
      </c>
      <c r="AL17" s="140" t="s">
        <v>267</v>
      </c>
      <c r="AM17" s="140" t="s">
        <v>268</v>
      </c>
      <c r="AN17" s="140" t="s">
        <v>256</v>
      </c>
      <c r="AO17" s="140" t="s">
        <v>256</v>
      </c>
      <c r="AP17" s="140" t="s">
        <v>256</v>
      </c>
    </row>
    <row r="18" spans="1:42" s="135" customFormat="1" ht="12.75" customHeight="1" x14ac:dyDescent="0.2">
      <c r="A18" s="66" t="s">
        <v>356</v>
      </c>
      <c r="B18" s="140" t="s">
        <v>357</v>
      </c>
      <c r="C18" s="140" t="s">
        <v>254</v>
      </c>
      <c r="D18" s="140" t="s">
        <v>273</v>
      </c>
      <c r="E18" s="140" t="s">
        <v>262</v>
      </c>
      <c r="F18" s="140" t="s">
        <v>263</v>
      </c>
      <c r="G18" s="140">
        <v>194</v>
      </c>
      <c r="H18" s="140">
        <v>192</v>
      </c>
      <c r="I18" s="140">
        <v>0</v>
      </c>
      <c r="J18" s="149">
        <v>113666544</v>
      </c>
      <c r="K18" s="142">
        <v>59000000</v>
      </c>
      <c r="L18" s="153">
        <v>5410843.9000000004</v>
      </c>
      <c r="M18" s="153">
        <v>0</v>
      </c>
      <c r="N18" s="66" t="s">
        <v>254</v>
      </c>
      <c r="O18" s="66"/>
      <c r="P18" s="66" t="s">
        <v>261</v>
      </c>
      <c r="Q18" s="140">
        <v>119</v>
      </c>
      <c r="R18" s="140">
        <v>0</v>
      </c>
      <c r="S18" s="140">
        <v>10</v>
      </c>
      <c r="T18" s="140">
        <v>20</v>
      </c>
      <c r="U18" s="140">
        <v>10</v>
      </c>
      <c r="V18" s="140">
        <v>10</v>
      </c>
      <c r="W18" s="140">
        <v>10</v>
      </c>
      <c r="X18" s="140">
        <v>8</v>
      </c>
      <c r="Y18" s="140">
        <v>10</v>
      </c>
      <c r="Z18" s="140">
        <v>9</v>
      </c>
      <c r="AA18" s="140">
        <v>10</v>
      </c>
      <c r="AB18" s="140">
        <v>10</v>
      </c>
      <c r="AC18" s="140">
        <v>12</v>
      </c>
      <c r="AD18" s="154">
        <v>0.82065318338535043</v>
      </c>
      <c r="AE18" s="155" t="s">
        <v>258</v>
      </c>
      <c r="AF18" s="140" t="s">
        <v>251</v>
      </c>
      <c r="AG18" s="140" t="s">
        <v>511</v>
      </c>
      <c r="AH18" s="140" t="s">
        <v>264</v>
      </c>
      <c r="AI18" s="140" t="s">
        <v>265</v>
      </c>
      <c r="AJ18" s="140" t="s">
        <v>256</v>
      </c>
      <c r="AK18" s="140" t="s">
        <v>266</v>
      </c>
      <c r="AL18" s="140" t="s">
        <v>267</v>
      </c>
      <c r="AM18" s="140" t="s">
        <v>268</v>
      </c>
      <c r="AN18" s="140" t="s">
        <v>256</v>
      </c>
      <c r="AO18" s="140" t="s">
        <v>256</v>
      </c>
      <c r="AP18" s="140" t="s">
        <v>256</v>
      </c>
    </row>
    <row r="19" spans="1:42" s="135" customFormat="1" ht="12.75" customHeight="1" x14ac:dyDescent="0.2">
      <c r="A19" s="66" t="s">
        <v>358</v>
      </c>
      <c r="B19" s="140" t="s">
        <v>359</v>
      </c>
      <c r="C19" s="140" t="s">
        <v>254</v>
      </c>
      <c r="D19" s="140" t="s">
        <v>273</v>
      </c>
      <c r="E19" s="140" t="s">
        <v>360</v>
      </c>
      <c r="F19" s="140" t="s">
        <v>361</v>
      </c>
      <c r="G19" s="140">
        <v>25</v>
      </c>
      <c r="H19" s="140">
        <v>24</v>
      </c>
      <c r="I19" s="140">
        <v>0</v>
      </c>
      <c r="J19" s="149">
        <v>7426790</v>
      </c>
      <c r="K19" s="142">
        <v>3925000</v>
      </c>
      <c r="L19" s="153">
        <v>287679</v>
      </c>
      <c r="M19" s="153">
        <v>0</v>
      </c>
      <c r="N19" s="66" t="s">
        <v>254</v>
      </c>
      <c r="O19" s="66"/>
      <c r="P19" s="66" t="s">
        <v>277</v>
      </c>
      <c r="Q19" s="140">
        <v>119</v>
      </c>
      <c r="R19" s="140">
        <v>0</v>
      </c>
      <c r="S19" s="140">
        <v>10</v>
      </c>
      <c r="T19" s="140">
        <v>20</v>
      </c>
      <c r="U19" s="140">
        <v>10</v>
      </c>
      <c r="V19" s="140">
        <v>10</v>
      </c>
      <c r="W19" s="140">
        <v>10</v>
      </c>
      <c r="X19" s="140">
        <v>8</v>
      </c>
      <c r="Y19" s="140">
        <v>10</v>
      </c>
      <c r="Z19" s="140">
        <v>9</v>
      </c>
      <c r="AA19" s="140">
        <v>10</v>
      </c>
      <c r="AB19" s="140">
        <v>10</v>
      </c>
      <c r="AC19" s="140">
        <v>12</v>
      </c>
      <c r="AD19" s="154">
        <v>1.493155365443197</v>
      </c>
      <c r="AE19" s="155" t="s">
        <v>258</v>
      </c>
      <c r="AF19" s="140" t="s">
        <v>251</v>
      </c>
      <c r="AG19" s="140" t="s">
        <v>512</v>
      </c>
      <c r="AH19" s="140" t="s">
        <v>581</v>
      </c>
      <c r="AI19" s="140" t="s">
        <v>582</v>
      </c>
      <c r="AJ19" s="140" t="s">
        <v>583</v>
      </c>
      <c r="AK19" s="140" t="s">
        <v>584</v>
      </c>
      <c r="AL19" s="140" t="s">
        <v>585</v>
      </c>
      <c r="AM19" s="140" t="s">
        <v>586</v>
      </c>
      <c r="AN19" s="140" t="s">
        <v>256</v>
      </c>
      <c r="AO19" s="140" t="s">
        <v>256</v>
      </c>
      <c r="AP19" s="140" t="s">
        <v>256</v>
      </c>
    </row>
    <row r="20" spans="1:42" s="135" customFormat="1" ht="12.75" customHeight="1" x14ac:dyDescent="0.2">
      <c r="A20" s="66" t="s">
        <v>362</v>
      </c>
      <c r="B20" s="140" t="s">
        <v>363</v>
      </c>
      <c r="C20" s="140" t="s">
        <v>254</v>
      </c>
      <c r="D20" s="140" t="s">
        <v>298</v>
      </c>
      <c r="E20" s="140" t="s">
        <v>364</v>
      </c>
      <c r="F20" s="140" t="s">
        <v>260</v>
      </c>
      <c r="G20" s="140">
        <v>56</v>
      </c>
      <c r="H20" s="140">
        <v>55</v>
      </c>
      <c r="I20" s="140">
        <v>0</v>
      </c>
      <c r="J20" s="149">
        <v>39089985</v>
      </c>
      <c r="K20" s="142">
        <v>20197416</v>
      </c>
      <c r="L20" s="153">
        <v>1316985</v>
      </c>
      <c r="M20" s="153">
        <v>0</v>
      </c>
      <c r="N20" s="66" t="s">
        <v>254</v>
      </c>
      <c r="O20" s="66"/>
      <c r="P20" s="66" t="s">
        <v>275</v>
      </c>
      <c r="Q20" s="140">
        <v>111</v>
      </c>
      <c r="R20" s="140">
        <v>0</v>
      </c>
      <c r="S20" s="140">
        <v>10</v>
      </c>
      <c r="T20" s="140">
        <v>20</v>
      </c>
      <c r="U20" s="140">
        <v>10</v>
      </c>
      <c r="V20" s="140">
        <v>10</v>
      </c>
      <c r="W20" s="140">
        <v>10</v>
      </c>
      <c r="X20" s="140">
        <v>8</v>
      </c>
      <c r="Y20" s="140">
        <v>10</v>
      </c>
      <c r="Z20" s="140">
        <v>9</v>
      </c>
      <c r="AA20" s="140">
        <v>10</v>
      </c>
      <c r="AB20" s="140">
        <v>10</v>
      </c>
      <c r="AC20" s="140">
        <v>12</v>
      </c>
      <c r="AD20" s="154">
        <v>0.51770138223394535</v>
      </c>
      <c r="AE20" s="155" t="s">
        <v>258</v>
      </c>
      <c r="AF20" s="140" t="s">
        <v>251</v>
      </c>
      <c r="AG20" s="140" t="s">
        <v>513</v>
      </c>
      <c r="AH20" s="140" t="s">
        <v>513</v>
      </c>
      <c r="AI20" s="140" t="s">
        <v>587</v>
      </c>
      <c r="AJ20" s="140" t="s">
        <v>588</v>
      </c>
      <c r="AK20" s="140" t="s">
        <v>589</v>
      </c>
      <c r="AL20" s="140" t="s">
        <v>587</v>
      </c>
      <c r="AM20" s="140" t="s">
        <v>588</v>
      </c>
      <c r="AN20" s="140" t="s">
        <v>590</v>
      </c>
      <c r="AO20" s="140" t="s">
        <v>591</v>
      </c>
      <c r="AP20" s="140" t="s">
        <v>256</v>
      </c>
    </row>
    <row r="21" spans="1:42" s="135" customFormat="1" ht="12.75" customHeight="1" x14ac:dyDescent="0.2">
      <c r="A21" s="66" t="s">
        <v>365</v>
      </c>
      <c r="B21" s="140" t="s">
        <v>366</v>
      </c>
      <c r="C21" s="140" t="s">
        <v>254</v>
      </c>
      <c r="D21" s="140" t="s">
        <v>273</v>
      </c>
      <c r="E21" s="140" t="s">
        <v>284</v>
      </c>
      <c r="F21" s="140" t="s">
        <v>285</v>
      </c>
      <c r="G21" s="140">
        <v>140</v>
      </c>
      <c r="H21" s="140">
        <v>139</v>
      </c>
      <c r="I21" s="140">
        <v>0</v>
      </c>
      <c r="J21" s="149">
        <v>80604753</v>
      </c>
      <c r="K21" s="142">
        <v>43000000</v>
      </c>
      <c r="L21" s="153">
        <v>3989060</v>
      </c>
      <c r="M21" s="153">
        <v>0</v>
      </c>
      <c r="N21" s="66" t="s">
        <v>254</v>
      </c>
      <c r="O21" s="66"/>
      <c r="P21" s="66" t="s">
        <v>261</v>
      </c>
      <c r="Q21" s="140">
        <v>109</v>
      </c>
      <c r="R21" s="140">
        <v>0</v>
      </c>
      <c r="S21" s="140">
        <v>10</v>
      </c>
      <c r="T21" s="140">
        <v>20</v>
      </c>
      <c r="U21" s="140">
        <v>10</v>
      </c>
      <c r="V21" s="140">
        <v>10</v>
      </c>
      <c r="W21" s="140">
        <v>10</v>
      </c>
      <c r="X21" s="140">
        <v>8</v>
      </c>
      <c r="Y21" s="140">
        <v>0</v>
      </c>
      <c r="Z21" s="140">
        <v>9</v>
      </c>
      <c r="AA21" s="140">
        <v>10</v>
      </c>
      <c r="AB21" s="140">
        <v>10</v>
      </c>
      <c r="AC21" s="140">
        <v>12</v>
      </c>
      <c r="AD21" s="154">
        <v>0.6317576390938745</v>
      </c>
      <c r="AE21" s="155" t="s">
        <v>258</v>
      </c>
      <c r="AF21" s="140" t="s">
        <v>251</v>
      </c>
      <c r="AG21" s="140" t="s">
        <v>514</v>
      </c>
      <c r="AH21" s="140" t="s">
        <v>279</v>
      </c>
      <c r="AI21" s="140" t="s">
        <v>280</v>
      </c>
      <c r="AJ21" s="140" t="s">
        <v>256</v>
      </c>
      <c r="AK21" s="140" t="s">
        <v>266</v>
      </c>
      <c r="AL21" s="140" t="s">
        <v>267</v>
      </c>
      <c r="AM21" s="140" t="s">
        <v>268</v>
      </c>
      <c r="AN21" s="140" t="s">
        <v>256</v>
      </c>
      <c r="AO21" s="140" t="s">
        <v>256</v>
      </c>
      <c r="AP21" s="140" t="s">
        <v>256</v>
      </c>
    </row>
    <row r="22" spans="1:42" s="135" customFormat="1" ht="12.75" customHeight="1" x14ac:dyDescent="0.2">
      <c r="A22" s="66" t="s">
        <v>367</v>
      </c>
      <c r="B22" s="140" t="s">
        <v>368</v>
      </c>
      <c r="C22" s="140" t="s">
        <v>272</v>
      </c>
      <c r="D22" s="140" t="s">
        <v>259</v>
      </c>
      <c r="E22" s="140" t="s">
        <v>369</v>
      </c>
      <c r="F22" s="140" t="s">
        <v>370</v>
      </c>
      <c r="G22" s="140">
        <v>104</v>
      </c>
      <c r="H22" s="140">
        <v>102</v>
      </c>
      <c r="I22" s="140">
        <v>0</v>
      </c>
      <c r="J22" s="149">
        <v>34230522</v>
      </c>
      <c r="K22" s="142">
        <v>17031631</v>
      </c>
      <c r="L22" s="153">
        <v>1304785</v>
      </c>
      <c r="M22" s="153">
        <v>0</v>
      </c>
      <c r="N22" s="66" t="s">
        <v>281</v>
      </c>
      <c r="O22" s="66"/>
      <c r="P22" s="66" t="s">
        <v>275</v>
      </c>
      <c r="Q22" s="140">
        <v>96</v>
      </c>
      <c r="R22" s="140">
        <v>6</v>
      </c>
      <c r="S22" s="140">
        <v>0</v>
      </c>
      <c r="T22" s="140">
        <v>20</v>
      </c>
      <c r="U22" s="140">
        <v>10</v>
      </c>
      <c r="V22" s="140">
        <v>10</v>
      </c>
      <c r="W22" s="140">
        <v>0</v>
      </c>
      <c r="X22" s="140">
        <v>8</v>
      </c>
      <c r="Y22" s="140">
        <v>10</v>
      </c>
      <c r="Z22" s="140">
        <v>0</v>
      </c>
      <c r="AA22" s="140">
        <v>10</v>
      </c>
      <c r="AB22" s="140">
        <v>10</v>
      </c>
      <c r="AC22" s="140">
        <v>12</v>
      </c>
      <c r="AD22" s="154">
        <v>1.9541541760040109</v>
      </c>
      <c r="AE22" s="155" t="s">
        <v>258</v>
      </c>
      <c r="AF22" s="140" t="s">
        <v>251</v>
      </c>
      <c r="AG22" s="140" t="s">
        <v>515</v>
      </c>
      <c r="AH22" s="140" t="s">
        <v>592</v>
      </c>
      <c r="AI22" s="140" t="s">
        <v>578</v>
      </c>
      <c r="AJ22" s="140" t="s">
        <v>519</v>
      </c>
      <c r="AK22" s="140" t="s">
        <v>256</v>
      </c>
      <c r="AL22" s="140" t="s">
        <v>256</v>
      </c>
      <c r="AM22" s="140" t="s">
        <v>256</v>
      </c>
      <c r="AN22" s="140" t="s">
        <v>256</v>
      </c>
      <c r="AO22" s="140" t="s">
        <v>256</v>
      </c>
      <c r="AP22" s="140" t="s">
        <v>256</v>
      </c>
    </row>
    <row r="23" spans="1:42" s="135" customFormat="1" ht="12.75" customHeight="1" x14ac:dyDescent="0.2">
      <c r="A23" s="66" t="s">
        <v>371</v>
      </c>
      <c r="B23" s="140" t="s">
        <v>372</v>
      </c>
      <c r="C23" s="140" t="s">
        <v>254</v>
      </c>
      <c r="D23" s="140" t="s">
        <v>298</v>
      </c>
      <c r="E23" s="140" t="s">
        <v>373</v>
      </c>
      <c r="F23" s="140" t="s">
        <v>274</v>
      </c>
      <c r="G23" s="140">
        <v>55</v>
      </c>
      <c r="H23" s="140">
        <v>54</v>
      </c>
      <c r="I23" s="140">
        <v>0</v>
      </c>
      <c r="J23" s="149">
        <v>34016482</v>
      </c>
      <c r="K23" s="142">
        <v>17922013</v>
      </c>
      <c r="L23" s="153">
        <v>1224148.8999999999</v>
      </c>
      <c r="M23" s="153">
        <v>0</v>
      </c>
      <c r="N23" s="66" t="s">
        <v>254</v>
      </c>
      <c r="O23" s="66"/>
      <c r="P23" s="66" t="s">
        <v>271</v>
      </c>
      <c r="Q23" s="140">
        <v>119</v>
      </c>
      <c r="R23" s="140">
        <v>0</v>
      </c>
      <c r="S23" s="140">
        <v>10</v>
      </c>
      <c r="T23" s="140">
        <v>20</v>
      </c>
      <c r="U23" s="140">
        <v>10</v>
      </c>
      <c r="V23" s="140">
        <v>10</v>
      </c>
      <c r="W23" s="140">
        <v>10</v>
      </c>
      <c r="X23" s="140">
        <v>8</v>
      </c>
      <c r="Y23" s="140">
        <v>10</v>
      </c>
      <c r="Z23" s="140">
        <v>9</v>
      </c>
      <c r="AA23" s="140">
        <v>10</v>
      </c>
      <c r="AB23" s="140">
        <v>10</v>
      </c>
      <c r="AC23" s="140">
        <v>12</v>
      </c>
      <c r="AD23" s="154">
        <v>0.83725865810513977</v>
      </c>
      <c r="AE23" s="155" t="s">
        <v>258</v>
      </c>
      <c r="AF23" s="140" t="s">
        <v>251</v>
      </c>
      <c r="AG23" s="140" t="s">
        <v>516</v>
      </c>
      <c r="AH23" s="140" t="s">
        <v>593</v>
      </c>
      <c r="AI23" s="140" t="s">
        <v>594</v>
      </c>
      <c r="AJ23" s="140" t="s">
        <v>588</v>
      </c>
      <c r="AK23" s="140" t="s">
        <v>595</v>
      </c>
      <c r="AL23" s="140" t="s">
        <v>594</v>
      </c>
      <c r="AM23" s="140" t="s">
        <v>588</v>
      </c>
      <c r="AN23" s="140" t="s">
        <v>256</v>
      </c>
      <c r="AO23" s="140" t="s">
        <v>256</v>
      </c>
      <c r="AP23" s="140" t="s">
        <v>256</v>
      </c>
    </row>
    <row r="24" spans="1:42" s="135" customFormat="1" ht="12.75" customHeight="1" x14ac:dyDescent="0.2">
      <c r="A24" s="66" t="s">
        <v>374</v>
      </c>
      <c r="B24" s="140" t="s">
        <v>375</v>
      </c>
      <c r="C24" s="140" t="s">
        <v>254</v>
      </c>
      <c r="D24" s="140" t="s">
        <v>298</v>
      </c>
      <c r="E24" s="140" t="s">
        <v>376</v>
      </c>
      <c r="F24" s="140" t="s">
        <v>377</v>
      </c>
      <c r="G24" s="140">
        <v>136</v>
      </c>
      <c r="H24" s="140">
        <v>135</v>
      </c>
      <c r="I24" s="140">
        <v>0</v>
      </c>
      <c r="J24" s="149">
        <v>42459001</v>
      </c>
      <c r="K24" s="142">
        <v>21612924</v>
      </c>
      <c r="L24" s="153">
        <v>1939209.8</v>
      </c>
      <c r="M24" s="153">
        <v>0</v>
      </c>
      <c r="N24" s="66" t="s">
        <v>254</v>
      </c>
      <c r="O24" s="66"/>
      <c r="P24" s="66" t="s">
        <v>277</v>
      </c>
      <c r="Q24" s="140">
        <v>119</v>
      </c>
      <c r="R24" s="140">
        <v>0</v>
      </c>
      <c r="S24" s="140">
        <v>10</v>
      </c>
      <c r="T24" s="140">
        <v>20</v>
      </c>
      <c r="U24" s="140">
        <v>10</v>
      </c>
      <c r="V24" s="140">
        <v>10</v>
      </c>
      <c r="W24" s="140">
        <v>10</v>
      </c>
      <c r="X24" s="140">
        <v>8</v>
      </c>
      <c r="Y24" s="140">
        <v>10</v>
      </c>
      <c r="Z24" s="140">
        <v>9</v>
      </c>
      <c r="AA24" s="140">
        <v>10</v>
      </c>
      <c r="AB24" s="140">
        <v>10</v>
      </c>
      <c r="AC24" s="140">
        <v>12</v>
      </c>
      <c r="AD24" s="154">
        <v>0.82027349353516121</v>
      </c>
      <c r="AE24" s="155" t="s">
        <v>258</v>
      </c>
      <c r="AF24" s="140" t="s">
        <v>491</v>
      </c>
      <c r="AG24" s="140" t="s">
        <v>517</v>
      </c>
      <c r="AH24" s="140" t="s">
        <v>596</v>
      </c>
      <c r="AI24" s="140" t="s">
        <v>597</v>
      </c>
      <c r="AJ24" s="140" t="s">
        <v>304</v>
      </c>
      <c r="AK24" s="140" t="s">
        <v>598</v>
      </c>
      <c r="AL24" s="140" t="s">
        <v>599</v>
      </c>
      <c r="AM24" s="140" t="s">
        <v>600</v>
      </c>
      <c r="AN24" s="140" t="s">
        <v>256</v>
      </c>
      <c r="AO24" s="140" t="s">
        <v>256</v>
      </c>
      <c r="AP24" s="140" t="s">
        <v>256</v>
      </c>
    </row>
    <row r="25" spans="1:42" s="135" customFormat="1" ht="12.75" customHeight="1" x14ac:dyDescent="0.2">
      <c r="A25" s="66" t="s">
        <v>378</v>
      </c>
      <c r="B25" s="140" t="s">
        <v>379</v>
      </c>
      <c r="C25" s="140" t="s">
        <v>272</v>
      </c>
      <c r="D25" s="140" t="s">
        <v>273</v>
      </c>
      <c r="E25" s="141" t="s">
        <v>380</v>
      </c>
      <c r="F25" s="140" t="s">
        <v>381</v>
      </c>
      <c r="G25" s="140">
        <v>46</v>
      </c>
      <c r="H25" s="140">
        <v>45</v>
      </c>
      <c r="I25" s="140">
        <v>0</v>
      </c>
      <c r="J25" s="149">
        <v>11623506</v>
      </c>
      <c r="K25" s="142">
        <v>5825372</v>
      </c>
      <c r="L25" s="153">
        <v>487960</v>
      </c>
      <c r="M25" s="153">
        <v>0</v>
      </c>
      <c r="N25" s="66" t="s">
        <v>270</v>
      </c>
      <c r="O25" s="66"/>
      <c r="P25" s="66" t="s">
        <v>256</v>
      </c>
      <c r="Q25" s="140">
        <v>90</v>
      </c>
      <c r="R25" s="140">
        <v>0</v>
      </c>
      <c r="S25" s="140">
        <v>0</v>
      </c>
      <c r="T25" s="140">
        <v>20</v>
      </c>
      <c r="U25" s="140">
        <v>10</v>
      </c>
      <c r="V25" s="140">
        <v>10</v>
      </c>
      <c r="W25" s="140">
        <v>0</v>
      </c>
      <c r="X25" s="140">
        <v>8</v>
      </c>
      <c r="Y25" s="140">
        <v>10</v>
      </c>
      <c r="Z25" s="140">
        <v>0</v>
      </c>
      <c r="AA25" s="140">
        <v>10</v>
      </c>
      <c r="AB25" s="140">
        <v>10</v>
      </c>
      <c r="AC25" s="140">
        <v>12</v>
      </c>
      <c r="AD25" s="154">
        <v>1.3342380437123107</v>
      </c>
      <c r="AE25" s="155" t="s">
        <v>258</v>
      </c>
      <c r="AF25" s="140" t="s">
        <v>491</v>
      </c>
      <c r="AG25" s="140" t="s">
        <v>518</v>
      </c>
      <c r="AH25" s="140" t="s">
        <v>518</v>
      </c>
      <c r="AI25" s="140" t="s">
        <v>601</v>
      </c>
      <c r="AJ25" s="140" t="s">
        <v>256</v>
      </c>
      <c r="AK25" s="140" t="s">
        <v>602</v>
      </c>
      <c r="AL25" s="140" t="s">
        <v>603</v>
      </c>
      <c r="AM25" s="140" t="s">
        <v>256</v>
      </c>
      <c r="AN25" s="140" t="s">
        <v>256</v>
      </c>
      <c r="AO25" s="140" t="s">
        <v>256</v>
      </c>
      <c r="AP25" s="140" t="s">
        <v>256</v>
      </c>
    </row>
    <row r="26" spans="1:42" s="135" customFormat="1" ht="12.75" customHeight="1" x14ac:dyDescent="0.2">
      <c r="A26" s="66" t="s">
        <v>382</v>
      </c>
      <c r="B26" s="140" t="s">
        <v>383</v>
      </c>
      <c r="C26" s="140" t="s">
        <v>254</v>
      </c>
      <c r="D26" s="140" t="s">
        <v>259</v>
      </c>
      <c r="E26" s="141" t="s">
        <v>377</v>
      </c>
      <c r="F26" s="140" t="s">
        <v>377</v>
      </c>
      <c r="G26" s="140">
        <v>124</v>
      </c>
      <c r="H26" s="140">
        <v>122</v>
      </c>
      <c r="I26" s="140">
        <v>0</v>
      </c>
      <c r="J26" s="149">
        <v>93181903</v>
      </c>
      <c r="K26" s="142">
        <v>47430100</v>
      </c>
      <c r="L26" s="153">
        <v>4212803</v>
      </c>
      <c r="M26" s="153">
        <v>0</v>
      </c>
      <c r="N26" s="66" t="s">
        <v>254</v>
      </c>
      <c r="O26" s="66" t="s">
        <v>55</v>
      </c>
      <c r="P26" s="66" t="s">
        <v>277</v>
      </c>
      <c r="Q26" s="140">
        <v>119</v>
      </c>
      <c r="R26" s="140">
        <v>0</v>
      </c>
      <c r="S26" s="140">
        <v>10</v>
      </c>
      <c r="T26" s="140">
        <v>20</v>
      </c>
      <c r="U26" s="140">
        <v>10</v>
      </c>
      <c r="V26" s="140">
        <v>10</v>
      </c>
      <c r="W26" s="140">
        <v>10</v>
      </c>
      <c r="X26" s="140">
        <v>8</v>
      </c>
      <c r="Y26" s="140">
        <v>10</v>
      </c>
      <c r="Z26" s="140">
        <v>9</v>
      </c>
      <c r="AA26" s="140">
        <v>10</v>
      </c>
      <c r="AB26" s="140">
        <v>10</v>
      </c>
      <c r="AC26" s="140">
        <v>12</v>
      </c>
      <c r="AD26" s="154">
        <v>0.85106277970944133</v>
      </c>
      <c r="AE26" s="155" t="s">
        <v>258</v>
      </c>
      <c r="AF26" s="140" t="s">
        <v>251</v>
      </c>
      <c r="AG26" s="140" t="s">
        <v>519</v>
      </c>
      <c r="AH26" s="140" t="s">
        <v>604</v>
      </c>
      <c r="AI26" s="140" t="s">
        <v>578</v>
      </c>
      <c r="AJ26" s="140" t="s">
        <v>519</v>
      </c>
      <c r="AK26" s="140" t="s">
        <v>256</v>
      </c>
      <c r="AL26" s="140" t="s">
        <v>256</v>
      </c>
      <c r="AM26" s="140" t="s">
        <v>256</v>
      </c>
      <c r="AN26" s="140" t="s">
        <v>256</v>
      </c>
      <c r="AO26" s="140" t="s">
        <v>256</v>
      </c>
      <c r="AP26" s="140" t="s">
        <v>256</v>
      </c>
    </row>
    <row r="27" spans="1:42" s="135" customFormat="1" ht="12.75" customHeight="1" x14ac:dyDescent="0.2">
      <c r="A27" s="66" t="s">
        <v>384</v>
      </c>
      <c r="B27" s="140" t="s">
        <v>385</v>
      </c>
      <c r="C27" s="140" t="s">
        <v>272</v>
      </c>
      <c r="D27" s="140" t="s">
        <v>273</v>
      </c>
      <c r="E27" s="141" t="s">
        <v>386</v>
      </c>
      <c r="F27" s="140" t="s">
        <v>260</v>
      </c>
      <c r="G27" s="140">
        <v>144</v>
      </c>
      <c r="H27" s="140">
        <v>143</v>
      </c>
      <c r="I27" s="140">
        <v>0</v>
      </c>
      <c r="J27" s="149">
        <v>79390342</v>
      </c>
      <c r="K27" s="142">
        <v>42910000</v>
      </c>
      <c r="L27" s="153">
        <v>3256445.3</v>
      </c>
      <c r="M27" s="153">
        <v>0</v>
      </c>
      <c r="N27" s="66" t="s">
        <v>270</v>
      </c>
      <c r="O27" s="66"/>
      <c r="P27" s="66" t="s">
        <v>275</v>
      </c>
      <c r="Q27" s="140">
        <v>90</v>
      </c>
      <c r="R27" s="140">
        <v>0</v>
      </c>
      <c r="S27" s="140">
        <v>0</v>
      </c>
      <c r="T27" s="140">
        <v>20</v>
      </c>
      <c r="U27" s="140">
        <v>10</v>
      </c>
      <c r="V27" s="140">
        <v>10</v>
      </c>
      <c r="W27" s="140">
        <v>0</v>
      </c>
      <c r="X27" s="140">
        <v>8</v>
      </c>
      <c r="Y27" s="140">
        <v>10</v>
      </c>
      <c r="Z27" s="140">
        <v>0</v>
      </c>
      <c r="AA27" s="140">
        <v>10</v>
      </c>
      <c r="AB27" s="140">
        <v>10</v>
      </c>
      <c r="AC27" s="140">
        <v>12</v>
      </c>
      <c r="AD27" s="154">
        <v>1.1874272631701905</v>
      </c>
      <c r="AE27" s="155" t="s">
        <v>258</v>
      </c>
      <c r="AF27" s="140" t="s">
        <v>491</v>
      </c>
      <c r="AG27" s="140" t="s">
        <v>520</v>
      </c>
      <c r="AH27" s="140" t="s">
        <v>605</v>
      </c>
      <c r="AI27" s="140" t="s">
        <v>606</v>
      </c>
      <c r="AJ27" s="140" t="s">
        <v>607</v>
      </c>
      <c r="AK27" s="140" t="s">
        <v>608</v>
      </c>
      <c r="AL27" s="140" t="s">
        <v>609</v>
      </c>
      <c r="AM27" s="140" t="s">
        <v>610</v>
      </c>
      <c r="AN27" s="140" t="s">
        <v>256</v>
      </c>
      <c r="AO27" s="140" t="s">
        <v>256</v>
      </c>
      <c r="AP27" s="140" t="s">
        <v>256</v>
      </c>
    </row>
    <row r="28" spans="1:42" s="135" customFormat="1" ht="12.75" customHeight="1" x14ac:dyDescent="0.2">
      <c r="A28" s="66" t="s">
        <v>387</v>
      </c>
      <c r="B28" s="140" t="s">
        <v>388</v>
      </c>
      <c r="C28" s="140" t="s">
        <v>254</v>
      </c>
      <c r="D28" s="140" t="s">
        <v>273</v>
      </c>
      <c r="E28" s="141" t="s">
        <v>389</v>
      </c>
      <c r="F28" s="140" t="s">
        <v>339</v>
      </c>
      <c r="G28" s="140">
        <v>183</v>
      </c>
      <c r="H28" s="140">
        <v>181</v>
      </c>
      <c r="I28" s="140">
        <v>0</v>
      </c>
      <c r="J28" s="149">
        <v>116149795</v>
      </c>
      <c r="K28" s="142">
        <v>62000000</v>
      </c>
      <c r="L28" s="153">
        <v>5561246</v>
      </c>
      <c r="M28" s="153">
        <v>0</v>
      </c>
      <c r="N28" s="66" t="s">
        <v>254</v>
      </c>
      <c r="O28" s="66"/>
      <c r="P28" s="66" t="s">
        <v>261</v>
      </c>
      <c r="Q28" s="140">
        <v>109</v>
      </c>
      <c r="R28" s="140">
        <v>0</v>
      </c>
      <c r="S28" s="140">
        <v>10</v>
      </c>
      <c r="T28" s="140">
        <v>20</v>
      </c>
      <c r="U28" s="140">
        <v>10</v>
      </c>
      <c r="V28" s="140">
        <v>10</v>
      </c>
      <c r="W28" s="140">
        <v>10</v>
      </c>
      <c r="X28" s="140">
        <v>8</v>
      </c>
      <c r="Y28" s="140">
        <v>0</v>
      </c>
      <c r="Z28" s="140">
        <v>9</v>
      </c>
      <c r="AA28" s="140">
        <v>10</v>
      </c>
      <c r="AB28" s="140">
        <v>10</v>
      </c>
      <c r="AC28" s="140">
        <v>12</v>
      </c>
      <c r="AD28" s="154">
        <v>0.60821644956874332</v>
      </c>
      <c r="AE28" s="155" t="s">
        <v>258</v>
      </c>
      <c r="AF28" s="140" t="s">
        <v>251</v>
      </c>
      <c r="AG28" s="140" t="s">
        <v>521</v>
      </c>
      <c r="AH28" s="140" t="s">
        <v>264</v>
      </c>
      <c r="AI28" s="140" t="s">
        <v>265</v>
      </c>
      <c r="AJ28" s="140" t="s">
        <v>256</v>
      </c>
      <c r="AK28" s="140" t="s">
        <v>266</v>
      </c>
      <c r="AL28" s="140" t="s">
        <v>267</v>
      </c>
      <c r="AM28" s="140" t="s">
        <v>268</v>
      </c>
      <c r="AN28" s="140" t="s">
        <v>611</v>
      </c>
      <c r="AO28" s="140" t="s">
        <v>580</v>
      </c>
      <c r="AP28" s="140" t="s">
        <v>276</v>
      </c>
    </row>
    <row r="29" spans="1:42" s="135" customFormat="1" ht="12.75" customHeight="1" x14ac:dyDescent="0.2">
      <c r="A29" s="66" t="s">
        <v>390</v>
      </c>
      <c r="B29" s="141" t="s">
        <v>391</v>
      </c>
      <c r="C29" s="141" t="s">
        <v>254</v>
      </c>
      <c r="D29" s="141" t="s">
        <v>259</v>
      </c>
      <c r="E29" s="141" t="s">
        <v>392</v>
      </c>
      <c r="F29" s="141" t="s">
        <v>307</v>
      </c>
      <c r="G29" s="141">
        <v>90</v>
      </c>
      <c r="H29" s="141">
        <v>89</v>
      </c>
      <c r="I29" s="141">
        <v>0</v>
      </c>
      <c r="J29" s="150">
        <v>106155559</v>
      </c>
      <c r="K29" s="143">
        <v>51846000</v>
      </c>
      <c r="L29" s="153">
        <v>4750121</v>
      </c>
      <c r="M29" s="153">
        <v>0</v>
      </c>
      <c r="N29" s="66" t="s">
        <v>254</v>
      </c>
      <c r="O29" s="66" t="s">
        <v>55</v>
      </c>
      <c r="P29" s="66" t="s">
        <v>261</v>
      </c>
      <c r="Q29" s="141">
        <v>120</v>
      </c>
      <c r="R29" s="141">
        <v>0</v>
      </c>
      <c r="S29" s="141">
        <v>10</v>
      </c>
      <c r="T29" s="141">
        <v>20</v>
      </c>
      <c r="U29" s="141">
        <v>10</v>
      </c>
      <c r="V29" s="141">
        <v>10</v>
      </c>
      <c r="W29" s="141">
        <v>10</v>
      </c>
      <c r="X29" s="141">
        <v>8</v>
      </c>
      <c r="Y29" s="141">
        <v>10</v>
      </c>
      <c r="Z29" s="141">
        <v>10</v>
      </c>
      <c r="AA29" s="141">
        <v>10</v>
      </c>
      <c r="AB29" s="141">
        <v>10</v>
      </c>
      <c r="AC29" s="141">
        <v>12</v>
      </c>
      <c r="AD29" s="154">
        <v>1.5074015174644055</v>
      </c>
      <c r="AE29" s="155" t="s">
        <v>258</v>
      </c>
      <c r="AF29" s="140" t="s">
        <v>253</v>
      </c>
      <c r="AG29" s="141" t="s">
        <v>522</v>
      </c>
      <c r="AH29" s="141" t="s">
        <v>612</v>
      </c>
      <c r="AI29" s="141" t="s">
        <v>613</v>
      </c>
      <c r="AJ29" s="140" t="s">
        <v>256</v>
      </c>
      <c r="AK29" s="140" t="s">
        <v>256</v>
      </c>
      <c r="AL29" s="140" t="s">
        <v>256</v>
      </c>
      <c r="AM29" s="140" t="s">
        <v>256</v>
      </c>
      <c r="AN29" s="140" t="s">
        <v>256</v>
      </c>
      <c r="AO29" s="140" t="s">
        <v>256</v>
      </c>
      <c r="AP29" s="140" t="s">
        <v>256</v>
      </c>
    </row>
    <row r="30" spans="1:42" s="135" customFormat="1" ht="12.75" customHeight="1" x14ac:dyDescent="0.2">
      <c r="A30" s="66" t="s">
        <v>393</v>
      </c>
      <c r="B30" s="140" t="s">
        <v>394</v>
      </c>
      <c r="C30" s="140" t="s">
        <v>272</v>
      </c>
      <c r="D30" s="140" t="s">
        <v>298</v>
      </c>
      <c r="E30" s="140" t="s">
        <v>395</v>
      </c>
      <c r="F30" s="140" t="s">
        <v>274</v>
      </c>
      <c r="G30" s="140">
        <v>92</v>
      </c>
      <c r="H30" s="140">
        <v>91</v>
      </c>
      <c r="I30" s="140">
        <v>0</v>
      </c>
      <c r="J30" s="149">
        <v>23661551</v>
      </c>
      <c r="K30" s="142">
        <v>14250000</v>
      </c>
      <c r="L30" s="153">
        <v>1011674</v>
      </c>
      <c r="M30" s="153">
        <v>0</v>
      </c>
      <c r="N30" s="66" t="s">
        <v>270</v>
      </c>
      <c r="O30" s="66"/>
      <c r="P30" s="66" t="s">
        <v>271</v>
      </c>
      <c r="Q30" s="140">
        <v>110</v>
      </c>
      <c r="R30" s="140">
        <v>20</v>
      </c>
      <c r="S30" s="140">
        <v>0</v>
      </c>
      <c r="T30" s="140">
        <v>20</v>
      </c>
      <c r="U30" s="140">
        <v>10</v>
      </c>
      <c r="V30" s="140">
        <v>10</v>
      </c>
      <c r="W30" s="140">
        <v>0</v>
      </c>
      <c r="X30" s="140">
        <v>8</v>
      </c>
      <c r="Y30" s="140">
        <v>10</v>
      </c>
      <c r="Z30" s="140">
        <v>0</v>
      </c>
      <c r="AA30" s="140">
        <v>10</v>
      </c>
      <c r="AB30" s="140">
        <v>10</v>
      </c>
      <c r="AC30" s="140">
        <v>12</v>
      </c>
      <c r="AD30" s="154">
        <v>1.43181</v>
      </c>
      <c r="AE30" s="155" t="s">
        <v>258</v>
      </c>
      <c r="AF30" s="140" t="s">
        <v>251</v>
      </c>
      <c r="AG30" s="140" t="s">
        <v>523</v>
      </c>
      <c r="AH30" s="140" t="s">
        <v>614</v>
      </c>
      <c r="AI30" s="140" t="s">
        <v>615</v>
      </c>
      <c r="AJ30" s="140" t="s">
        <v>523</v>
      </c>
      <c r="AK30" s="140" t="s">
        <v>616</v>
      </c>
      <c r="AL30" s="140" t="s">
        <v>617</v>
      </c>
      <c r="AM30" s="140" t="s">
        <v>283</v>
      </c>
      <c r="AN30" s="140" t="s">
        <v>256</v>
      </c>
      <c r="AO30" s="140" t="s">
        <v>256</v>
      </c>
      <c r="AP30" s="140" t="s">
        <v>256</v>
      </c>
    </row>
    <row r="31" spans="1:42" s="135" customFormat="1" ht="12.75" customHeight="1" x14ac:dyDescent="0.2">
      <c r="A31" s="66" t="s">
        <v>396</v>
      </c>
      <c r="B31" s="140" t="s">
        <v>397</v>
      </c>
      <c r="C31" s="140" t="s">
        <v>272</v>
      </c>
      <c r="D31" s="140" t="s">
        <v>273</v>
      </c>
      <c r="E31" s="140" t="s">
        <v>398</v>
      </c>
      <c r="F31" s="140" t="s">
        <v>285</v>
      </c>
      <c r="G31" s="140">
        <v>200</v>
      </c>
      <c r="H31" s="140">
        <v>198</v>
      </c>
      <c r="I31" s="140">
        <v>0</v>
      </c>
      <c r="J31" s="149">
        <v>82044447</v>
      </c>
      <c r="K31" s="142">
        <v>39668600</v>
      </c>
      <c r="L31" s="153">
        <v>3303303</v>
      </c>
      <c r="M31" s="153">
        <v>0</v>
      </c>
      <c r="N31" s="66" t="s">
        <v>270</v>
      </c>
      <c r="O31" s="66"/>
      <c r="P31" s="66" t="s">
        <v>261</v>
      </c>
      <c r="Q31" s="140">
        <v>110</v>
      </c>
      <c r="R31" s="140">
        <v>20</v>
      </c>
      <c r="S31" s="140">
        <v>0</v>
      </c>
      <c r="T31" s="140">
        <v>20</v>
      </c>
      <c r="U31" s="140">
        <v>10</v>
      </c>
      <c r="V31" s="140">
        <v>10</v>
      </c>
      <c r="W31" s="140">
        <v>0</v>
      </c>
      <c r="X31" s="140">
        <v>8</v>
      </c>
      <c r="Y31" s="140">
        <v>10</v>
      </c>
      <c r="Z31" s="140">
        <v>0</v>
      </c>
      <c r="AA31" s="140">
        <v>10</v>
      </c>
      <c r="AB31" s="140">
        <v>10</v>
      </c>
      <c r="AC31" s="140">
        <v>12</v>
      </c>
      <c r="AD31" s="154">
        <v>1.0944504245839499</v>
      </c>
      <c r="AE31" s="155" t="s">
        <v>258</v>
      </c>
      <c r="AF31" s="140" t="s">
        <v>252</v>
      </c>
      <c r="AG31" s="140" t="s">
        <v>524</v>
      </c>
      <c r="AH31" s="140" t="s">
        <v>618</v>
      </c>
      <c r="AI31" s="140" t="s">
        <v>299</v>
      </c>
      <c r="AJ31" s="140" t="s">
        <v>619</v>
      </c>
      <c r="AK31" s="140" t="s">
        <v>620</v>
      </c>
      <c r="AL31" s="140" t="s">
        <v>299</v>
      </c>
      <c r="AM31" s="140" t="s">
        <v>300</v>
      </c>
      <c r="AN31" s="140" t="s">
        <v>256</v>
      </c>
      <c r="AO31" s="140" t="s">
        <v>256</v>
      </c>
      <c r="AP31" s="140" t="s">
        <v>256</v>
      </c>
    </row>
    <row r="32" spans="1:42" s="135" customFormat="1" ht="12.75" customHeight="1" x14ac:dyDescent="0.2">
      <c r="A32" s="66" t="s">
        <v>399</v>
      </c>
      <c r="B32" s="140" t="s">
        <v>400</v>
      </c>
      <c r="C32" s="140" t="s">
        <v>272</v>
      </c>
      <c r="D32" s="140" t="s">
        <v>273</v>
      </c>
      <c r="E32" s="140" t="s">
        <v>401</v>
      </c>
      <c r="F32" s="140" t="s">
        <v>274</v>
      </c>
      <c r="G32" s="140">
        <v>139</v>
      </c>
      <c r="H32" s="140">
        <v>138</v>
      </c>
      <c r="I32" s="140">
        <v>1</v>
      </c>
      <c r="J32" s="149">
        <v>101311285</v>
      </c>
      <c r="K32" s="142">
        <v>48640047</v>
      </c>
      <c r="L32" s="153">
        <v>3842268.2</v>
      </c>
      <c r="M32" s="153">
        <v>0</v>
      </c>
      <c r="N32" s="66" t="s">
        <v>270</v>
      </c>
      <c r="O32" s="66"/>
      <c r="P32" s="66" t="s">
        <v>271</v>
      </c>
      <c r="Q32" s="140">
        <v>110</v>
      </c>
      <c r="R32" s="140">
        <v>20</v>
      </c>
      <c r="S32" s="140">
        <v>0</v>
      </c>
      <c r="T32" s="140">
        <v>20</v>
      </c>
      <c r="U32" s="140">
        <v>10</v>
      </c>
      <c r="V32" s="140">
        <v>10</v>
      </c>
      <c r="W32" s="140">
        <v>0</v>
      </c>
      <c r="X32" s="140">
        <v>8</v>
      </c>
      <c r="Y32" s="140">
        <v>10</v>
      </c>
      <c r="Z32" s="140">
        <v>0</v>
      </c>
      <c r="AA32" s="140">
        <v>10</v>
      </c>
      <c r="AB32" s="140">
        <v>10</v>
      </c>
      <c r="AC32" s="140">
        <v>12</v>
      </c>
      <c r="AD32" s="154">
        <v>0.8063714106708112</v>
      </c>
      <c r="AE32" s="155" t="s">
        <v>258</v>
      </c>
      <c r="AF32" s="140" t="s">
        <v>251</v>
      </c>
      <c r="AG32" s="140" t="s">
        <v>525</v>
      </c>
      <c r="AH32" s="140" t="s">
        <v>621</v>
      </c>
      <c r="AI32" s="140" t="s">
        <v>606</v>
      </c>
      <c r="AJ32" s="140" t="s">
        <v>607</v>
      </c>
      <c r="AK32" s="140" t="s">
        <v>622</v>
      </c>
      <c r="AL32" s="140" t="s">
        <v>623</v>
      </c>
      <c r="AM32" s="140" t="s">
        <v>610</v>
      </c>
      <c r="AN32" s="140" t="s">
        <v>256</v>
      </c>
      <c r="AO32" s="140" t="s">
        <v>256</v>
      </c>
      <c r="AP32" s="140" t="s">
        <v>256</v>
      </c>
    </row>
    <row r="33" spans="1:42" s="135" customFormat="1" ht="12.75" customHeight="1" x14ac:dyDescent="0.2">
      <c r="A33" s="66" t="s">
        <v>402</v>
      </c>
      <c r="B33" s="141" t="s">
        <v>403</v>
      </c>
      <c r="C33" s="141" t="s">
        <v>272</v>
      </c>
      <c r="D33" s="141" t="s">
        <v>273</v>
      </c>
      <c r="E33" s="140" t="s">
        <v>260</v>
      </c>
      <c r="F33" s="141" t="s">
        <v>260</v>
      </c>
      <c r="G33" s="141">
        <v>68</v>
      </c>
      <c r="H33" s="141">
        <v>67</v>
      </c>
      <c r="I33" s="152">
        <v>0</v>
      </c>
      <c r="J33" s="143">
        <v>25865249</v>
      </c>
      <c r="K33" s="143">
        <v>13285369</v>
      </c>
      <c r="L33" s="153">
        <v>1090345.8999999999</v>
      </c>
      <c r="M33" s="153">
        <v>0</v>
      </c>
      <c r="N33" s="66" t="s">
        <v>270</v>
      </c>
      <c r="O33" s="66"/>
      <c r="P33" s="66" t="s">
        <v>275</v>
      </c>
      <c r="Q33" s="141">
        <v>110</v>
      </c>
      <c r="R33" s="141">
        <v>20</v>
      </c>
      <c r="S33" s="141">
        <v>0</v>
      </c>
      <c r="T33" s="141">
        <v>20</v>
      </c>
      <c r="U33" s="141">
        <v>10</v>
      </c>
      <c r="V33" s="141">
        <v>10</v>
      </c>
      <c r="W33" s="141">
        <v>0</v>
      </c>
      <c r="X33" s="141">
        <v>8</v>
      </c>
      <c r="Y33" s="141">
        <v>10</v>
      </c>
      <c r="Z33" s="141">
        <v>0</v>
      </c>
      <c r="AA33" s="141">
        <v>10</v>
      </c>
      <c r="AB33" s="141">
        <v>10</v>
      </c>
      <c r="AC33" s="141">
        <v>12</v>
      </c>
      <c r="AD33" s="154">
        <v>1.6346700000000001</v>
      </c>
      <c r="AE33" s="155" t="s">
        <v>258</v>
      </c>
      <c r="AF33" s="140" t="s">
        <v>492</v>
      </c>
      <c r="AG33" s="141" t="s">
        <v>526</v>
      </c>
      <c r="AH33" s="141" t="s">
        <v>624</v>
      </c>
      <c r="AI33" s="141" t="s">
        <v>625</v>
      </c>
      <c r="AJ33" s="141" t="s">
        <v>626</v>
      </c>
      <c r="AK33" s="140" t="s">
        <v>256</v>
      </c>
      <c r="AL33" s="140" t="s">
        <v>256</v>
      </c>
      <c r="AM33" s="140" t="s">
        <v>256</v>
      </c>
      <c r="AN33" s="140" t="s">
        <v>256</v>
      </c>
      <c r="AO33" s="140" t="s">
        <v>256</v>
      </c>
      <c r="AP33" s="140" t="s">
        <v>256</v>
      </c>
    </row>
    <row r="34" spans="1:42" s="135" customFormat="1" ht="12.75" customHeight="1" x14ac:dyDescent="0.2">
      <c r="A34" s="66" t="s">
        <v>404</v>
      </c>
      <c r="B34" s="140" t="s">
        <v>405</v>
      </c>
      <c r="C34" s="140" t="s">
        <v>254</v>
      </c>
      <c r="D34" s="140" t="s">
        <v>273</v>
      </c>
      <c r="E34" s="140" t="s">
        <v>392</v>
      </c>
      <c r="F34" s="140" t="s">
        <v>307</v>
      </c>
      <c r="G34" s="140">
        <v>146</v>
      </c>
      <c r="H34" s="140">
        <v>145</v>
      </c>
      <c r="I34" s="140">
        <v>0</v>
      </c>
      <c r="J34" s="149">
        <v>83839077.700000003</v>
      </c>
      <c r="K34" s="142">
        <v>42799116</v>
      </c>
      <c r="L34" s="153">
        <v>2848898</v>
      </c>
      <c r="M34" s="153">
        <v>0</v>
      </c>
      <c r="N34" s="66" t="s">
        <v>254</v>
      </c>
      <c r="O34" s="66" t="s">
        <v>255</v>
      </c>
      <c r="P34" s="66" t="s">
        <v>261</v>
      </c>
      <c r="Q34" s="140">
        <v>119</v>
      </c>
      <c r="R34" s="140">
        <v>0</v>
      </c>
      <c r="S34" s="140">
        <v>10</v>
      </c>
      <c r="T34" s="140">
        <v>20</v>
      </c>
      <c r="U34" s="140">
        <v>10</v>
      </c>
      <c r="V34" s="140">
        <v>10</v>
      </c>
      <c r="W34" s="140">
        <v>10</v>
      </c>
      <c r="X34" s="140">
        <v>8</v>
      </c>
      <c r="Y34" s="140">
        <v>10</v>
      </c>
      <c r="Z34" s="140">
        <v>9</v>
      </c>
      <c r="AA34" s="140">
        <v>10</v>
      </c>
      <c r="AB34" s="140">
        <v>10</v>
      </c>
      <c r="AC34" s="140">
        <v>12</v>
      </c>
      <c r="AD34" s="154">
        <v>1.5506</v>
      </c>
      <c r="AE34" s="155" t="s">
        <v>258</v>
      </c>
      <c r="AF34" s="140" t="s">
        <v>492</v>
      </c>
      <c r="AG34" s="140" t="s">
        <v>527</v>
      </c>
      <c r="AH34" s="140" t="s">
        <v>627</v>
      </c>
      <c r="AI34" s="140" t="s">
        <v>628</v>
      </c>
      <c r="AJ34" s="140" t="s">
        <v>629</v>
      </c>
      <c r="AK34" s="140" t="s">
        <v>256</v>
      </c>
      <c r="AL34" s="140" t="s">
        <v>256</v>
      </c>
      <c r="AM34" s="140" t="s">
        <v>256</v>
      </c>
      <c r="AN34" s="140" t="s">
        <v>256</v>
      </c>
      <c r="AO34" s="140" t="s">
        <v>256</v>
      </c>
      <c r="AP34" s="140" t="s">
        <v>256</v>
      </c>
    </row>
    <row r="35" spans="1:42" s="135" customFormat="1" ht="12.75" customHeight="1" x14ac:dyDescent="0.2">
      <c r="A35" s="66" t="s">
        <v>406</v>
      </c>
      <c r="B35" s="140" t="s">
        <v>407</v>
      </c>
      <c r="C35" s="140" t="s">
        <v>272</v>
      </c>
      <c r="D35" s="140" t="s">
        <v>259</v>
      </c>
      <c r="E35" t="s">
        <v>408</v>
      </c>
      <c r="F35" s="140" t="s">
        <v>287</v>
      </c>
      <c r="G35" s="140">
        <v>62</v>
      </c>
      <c r="H35" s="140">
        <v>61</v>
      </c>
      <c r="I35" s="140">
        <v>0</v>
      </c>
      <c r="J35" s="149">
        <v>19770604</v>
      </c>
      <c r="K35" s="142">
        <v>9910368</v>
      </c>
      <c r="L35" s="153">
        <v>803296.7</v>
      </c>
      <c r="M35" s="153">
        <v>0</v>
      </c>
      <c r="N35" s="66" t="s">
        <v>270</v>
      </c>
      <c r="O35" s="66"/>
      <c r="P35" s="66" t="s">
        <v>275</v>
      </c>
      <c r="Q35" s="140">
        <v>95</v>
      </c>
      <c r="R35" s="140">
        <v>20</v>
      </c>
      <c r="S35" s="140">
        <v>0</v>
      </c>
      <c r="T35" s="140">
        <v>17.999999999999993</v>
      </c>
      <c r="U35" s="140">
        <v>10</v>
      </c>
      <c r="V35" s="140">
        <v>10</v>
      </c>
      <c r="W35" s="140">
        <v>0</v>
      </c>
      <c r="X35" s="140">
        <v>0</v>
      </c>
      <c r="Y35" s="140">
        <v>10</v>
      </c>
      <c r="Z35" s="140">
        <v>0</v>
      </c>
      <c r="AA35" s="140">
        <v>10</v>
      </c>
      <c r="AB35" s="140">
        <v>5</v>
      </c>
      <c r="AC35" s="140">
        <v>12</v>
      </c>
      <c r="AD35" s="154">
        <v>1.860015692656418</v>
      </c>
      <c r="AE35" s="155" t="s">
        <v>258</v>
      </c>
      <c r="AF35" s="140" t="s">
        <v>493</v>
      </c>
      <c r="AG35" s="140" t="s">
        <v>528</v>
      </c>
      <c r="AH35" s="140" t="s">
        <v>630</v>
      </c>
      <c r="AI35" s="140" t="s">
        <v>631</v>
      </c>
      <c r="AJ35" s="140" t="s">
        <v>632</v>
      </c>
      <c r="AK35" s="140" t="s">
        <v>256</v>
      </c>
      <c r="AL35" s="140" t="s">
        <v>256</v>
      </c>
      <c r="AM35" s="140" t="s">
        <v>256</v>
      </c>
      <c r="AN35" s="140" t="s">
        <v>256</v>
      </c>
      <c r="AO35" s="140" t="s">
        <v>256</v>
      </c>
      <c r="AP35" s="140" t="s">
        <v>256</v>
      </c>
    </row>
    <row r="36" spans="1:42" s="135" customFormat="1" ht="12.75" customHeight="1" x14ac:dyDescent="0.2">
      <c r="A36" s="66" t="s">
        <v>409</v>
      </c>
      <c r="B36" s="140" t="s">
        <v>410</v>
      </c>
      <c r="C36" s="140" t="s">
        <v>272</v>
      </c>
      <c r="D36" s="140" t="s">
        <v>273</v>
      </c>
      <c r="E36" t="s">
        <v>411</v>
      </c>
      <c r="F36" s="140" t="s">
        <v>339</v>
      </c>
      <c r="G36" s="140">
        <v>136</v>
      </c>
      <c r="H36" s="140">
        <v>135</v>
      </c>
      <c r="I36" s="140">
        <v>0</v>
      </c>
      <c r="J36" s="149">
        <v>67462288.829999998</v>
      </c>
      <c r="K36" s="142">
        <v>31780663</v>
      </c>
      <c r="L36" s="153">
        <v>2631650.6</v>
      </c>
      <c r="M36" s="153">
        <v>0</v>
      </c>
      <c r="N36" s="66" t="s">
        <v>270</v>
      </c>
      <c r="O36" s="66"/>
      <c r="P36" s="66" t="s">
        <v>261</v>
      </c>
      <c r="Q36" s="140">
        <v>110</v>
      </c>
      <c r="R36" s="140">
        <v>20</v>
      </c>
      <c r="S36" s="140">
        <v>0</v>
      </c>
      <c r="T36" s="140">
        <v>20</v>
      </c>
      <c r="U36" s="140">
        <v>10</v>
      </c>
      <c r="V36" s="140">
        <v>10</v>
      </c>
      <c r="W36" s="140">
        <v>0</v>
      </c>
      <c r="X36" s="140">
        <v>8</v>
      </c>
      <c r="Y36" s="140">
        <v>10</v>
      </c>
      <c r="Z36" s="140">
        <v>0</v>
      </c>
      <c r="AA36" s="140">
        <v>10</v>
      </c>
      <c r="AB36" s="140">
        <v>10</v>
      </c>
      <c r="AC36" s="140">
        <v>12</v>
      </c>
      <c r="AD36" s="154">
        <v>0.94225000000000003</v>
      </c>
      <c r="AE36" s="155" t="s">
        <v>258</v>
      </c>
      <c r="AF36" s="140" t="s">
        <v>251</v>
      </c>
      <c r="AG36" s="140" t="s">
        <v>529</v>
      </c>
      <c r="AH36" s="140" t="s">
        <v>633</v>
      </c>
      <c r="AI36" s="140" t="s">
        <v>634</v>
      </c>
      <c r="AJ36" s="140" t="s">
        <v>635</v>
      </c>
      <c r="AK36" s="140" t="s">
        <v>636</v>
      </c>
      <c r="AL36" s="140" t="s">
        <v>280</v>
      </c>
      <c r="AM36" s="140" t="s">
        <v>279</v>
      </c>
      <c r="AN36" s="140" t="s">
        <v>256</v>
      </c>
      <c r="AO36" s="140" t="s">
        <v>256</v>
      </c>
      <c r="AP36" s="140" t="s">
        <v>256</v>
      </c>
    </row>
    <row r="37" spans="1:42" s="135" customFormat="1" ht="12.75" customHeight="1" x14ac:dyDescent="0.2">
      <c r="A37" s="66" t="s">
        <v>412</v>
      </c>
      <c r="B37" s="140" t="s">
        <v>413</v>
      </c>
      <c r="C37" s="140" t="s">
        <v>272</v>
      </c>
      <c r="D37" s="140" t="s">
        <v>259</v>
      </c>
      <c r="E37" t="s">
        <v>414</v>
      </c>
      <c r="F37" s="140" t="s">
        <v>287</v>
      </c>
      <c r="G37" s="140">
        <v>124</v>
      </c>
      <c r="H37" s="140">
        <v>123</v>
      </c>
      <c r="I37" s="140">
        <v>0</v>
      </c>
      <c r="J37" s="149">
        <v>37114272</v>
      </c>
      <c r="K37" s="142">
        <v>18883000</v>
      </c>
      <c r="L37" s="153">
        <v>1508849.1</v>
      </c>
      <c r="M37" s="153">
        <v>0</v>
      </c>
      <c r="N37" s="66" t="s">
        <v>270</v>
      </c>
      <c r="O37" s="66"/>
      <c r="P37" s="66" t="s">
        <v>275</v>
      </c>
      <c r="Q37" s="140">
        <v>97</v>
      </c>
      <c r="R37" s="140">
        <v>20</v>
      </c>
      <c r="S37" s="140">
        <v>0</v>
      </c>
      <c r="T37" s="140">
        <v>19.999999999999996</v>
      </c>
      <c r="U37" s="140">
        <v>10</v>
      </c>
      <c r="V37" s="140">
        <v>10</v>
      </c>
      <c r="W37" s="140">
        <v>0</v>
      </c>
      <c r="X37" s="140">
        <v>0</v>
      </c>
      <c r="Y37" s="140">
        <v>10</v>
      </c>
      <c r="Z37" s="140">
        <v>0</v>
      </c>
      <c r="AA37" s="140">
        <v>10</v>
      </c>
      <c r="AB37" s="140">
        <v>5</v>
      </c>
      <c r="AC37" s="140">
        <v>12</v>
      </c>
      <c r="AD37" s="154">
        <v>2.2007954164116539</v>
      </c>
      <c r="AE37" s="155" t="s">
        <v>258</v>
      </c>
      <c r="AF37" s="140" t="s">
        <v>251</v>
      </c>
      <c r="AG37" s="140" t="s">
        <v>530</v>
      </c>
      <c r="AH37" s="140" t="s">
        <v>637</v>
      </c>
      <c r="AI37" s="140" t="s">
        <v>638</v>
      </c>
      <c r="AJ37" s="140" t="s">
        <v>639</v>
      </c>
      <c r="AK37" s="140" t="s">
        <v>256</v>
      </c>
      <c r="AL37" s="140" t="s">
        <v>256</v>
      </c>
      <c r="AM37" s="140" t="s">
        <v>256</v>
      </c>
      <c r="AN37" s="140" t="s">
        <v>256</v>
      </c>
      <c r="AO37" s="140" t="s">
        <v>256</v>
      </c>
      <c r="AP37" s="140" t="s">
        <v>256</v>
      </c>
    </row>
    <row r="38" spans="1:42" s="135" customFormat="1" ht="12.75" customHeight="1" x14ac:dyDescent="0.2">
      <c r="A38" s="66" t="s">
        <v>415</v>
      </c>
      <c r="B38" s="140" t="s">
        <v>416</v>
      </c>
      <c r="C38" s="140" t="s">
        <v>272</v>
      </c>
      <c r="D38" s="140" t="s">
        <v>259</v>
      </c>
      <c r="E38" t="s">
        <v>417</v>
      </c>
      <c r="F38" s="140" t="s">
        <v>339</v>
      </c>
      <c r="G38" s="140">
        <v>86</v>
      </c>
      <c r="H38" s="140">
        <v>84</v>
      </c>
      <c r="I38" s="140">
        <v>0</v>
      </c>
      <c r="J38" s="149">
        <v>61439840</v>
      </c>
      <c r="K38" s="142">
        <v>30502828</v>
      </c>
      <c r="L38" s="153">
        <v>2277190</v>
      </c>
      <c r="M38" s="153">
        <v>0</v>
      </c>
      <c r="N38" s="66" t="s">
        <v>270</v>
      </c>
      <c r="O38" s="66"/>
      <c r="P38" s="66" t="s">
        <v>261</v>
      </c>
      <c r="Q38" s="140">
        <v>109</v>
      </c>
      <c r="R38" s="140">
        <v>20</v>
      </c>
      <c r="S38" s="140">
        <v>0</v>
      </c>
      <c r="T38" s="140">
        <v>20</v>
      </c>
      <c r="U38" s="140">
        <v>10</v>
      </c>
      <c r="V38" s="140">
        <v>10</v>
      </c>
      <c r="W38" s="140">
        <v>0</v>
      </c>
      <c r="X38" s="140">
        <v>8</v>
      </c>
      <c r="Y38" s="140">
        <v>10</v>
      </c>
      <c r="Z38" s="140">
        <v>0</v>
      </c>
      <c r="AA38" s="140">
        <v>10</v>
      </c>
      <c r="AB38" s="140">
        <v>9</v>
      </c>
      <c r="AC38" s="140">
        <v>12</v>
      </c>
      <c r="AD38" s="154">
        <v>0.84069861676785296</v>
      </c>
      <c r="AE38" s="155" t="s">
        <v>258</v>
      </c>
      <c r="AF38" s="140" t="s">
        <v>251</v>
      </c>
      <c r="AG38" s="140" t="s">
        <v>531</v>
      </c>
      <c r="AH38" s="140" t="s">
        <v>640</v>
      </c>
      <c r="AI38" s="140" t="s">
        <v>641</v>
      </c>
      <c r="AJ38" s="140" t="s">
        <v>286</v>
      </c>
      <c r="AK38" s="140" t="s">
        <v>256</v>
      </c>
      <c r="AL38" s="140" t="s">
        <v>256</v>
      </c>
      <c r="AM38" s="140" t="s">
        <v>256</v>
      </c>
      <c r="AN38" s="140" t="s">
        <v>256</v>
      </c>
      <c r="AO38" s="140" t="s">
        <v>256</v>
      </c>
      <c r="AP38" s="140" t="s">
        <v>256</v>
      </c>
    </row>
    <row r="39" spans="1:42" s="135" customFormat="1" ht="12.75" customHeight="1" x14ac:dyDescent="0.2">
      <c r="A39" s="66" t="s">
        <v>418</v>
      </c>
      <c r="B39" s="140" t="s">
        <v>419</v>
      </c>
      <c r="C39" s="140" t="s">
        <v>254</v>
      </c>
      <c r="D39" s="140" t="s">
        <v>273</v>
      </c>
      <c r="E39" t="s">
        <v>307</v>
      </c>
      <c r="F39" s="140" t="s">
        <v>307</v>
      </c>
      <c r="G39" s="140">
        <v>184</v>
      </c>
      <c r="H39" s="140">
        <v>182</v>
      </c>
      <c r="I39" s="140">
        <v>2</v>
      </c>
      <c r="J39" s="149">
        <v>183187876</v>
      </c>
      <c r="K39" s="142">
        <v>95866019</v>
      </c>
      <c r="L39" s="153">
        <v>9063696</v>
      </c>
      <c r="M39" s="153">
        <v>0</v>
      </c>
      <c r="N39" s="66" t="s">
        <v>254</v>
      </c>
      <c r="O39" s="66" t="s">
        <v>55</v>
      </c>
      <c r="P39" s="66" t="s">
        <v>261</v>
      </c>
      <c r="Q39" s="140">
        <v>119</v>
      </c>
      <c r="R39" s="140">
        <v>0</v>
      </c>
      <c r="S39" s="140">
        <v>10</v>
      </c>
      <c r="T39" s="140">
        <v>20</v>
      </c>
      <c r="U39" s="140">
        <v>10</v>
      </c>
      <c r="V39" s="140">
        <v>10</v>
      </c>
      <c r="W39" s="140">
        <v>10</v>
      </c>
      <c r="X39" s="140">
        <v>8</v>
      </c>
      <c r="Y39" s="140">
        <v>10</v>
      </c>
      <c r="Z39" s="140">
        <v>9</v>
      </c>
      <c r="AA39" s="140">
        <v>10</v>
      </c>
      <c r="AB39" s="140">
        <v>10</v>
      </c>
      <c r="AC39" s="140">
        <v>12</v>
      </c>
      <c r="AD39" s="154">
        <v>1.38558</v>
      </c>
      <c r="AE39" s="155" t="s">
        <v>258</v>
      </c>
      <c r="AF39" s="140" t="s">
        <v>253</v>
      </c>
      <c r="AG39" s="140" t="s">
        <v>532</v>
      </c>
      <c r="AH39" s="140" t="s">
        <v>642</v>
      </c>
      <c r="AI39" s="140" t="s">
        <v>643</v>
      </c>
      <c r="AJ39" s="140" t="s">
        <v>629</v>
      </c>
      <c r="AK39" s="140" t="s">
        <v>256</v>
      </c>
      <c r="AL39" s="140" t="s">
        <v>256</v>
      </c>
      <c r="AM39" s="140" t="s">
        <v>256</v>
      </c>
      <c r="AN39" s="140" t="s">
        <v>256</v>
      </c>
      <c r="AO39" s="140" t="s">
        <v>256</v>
      </c>
      <c r="AP39" s="140" t="s">
        <v>256</v>
      </c>
    </row>
    <row r="40" spans="1:42" s="135" customFormat="1" ht="12.75" customHeight="1" x14ac:dyDescent="0.2">
      <c r="A40" s="66" t="s">
        <v>420</v>
      </c>
      <c r="B40" s="140" t="s">
        <v>421</v>
      </c>
      <c r="C40" s="140" t="s">
        <v>272</v>
      </c>
      <c r="D40" s="140" t="s">
        <v>298</v>
      </c>
      <c r="E40" t="s">
        <v>274</v>
      </c>
      <c r="F40" s="140" t="s">
        <v>274</v>
      </c>
      <c r="G40" s="140">
        <v>170</v>
      </c>
      <c r="H40" s="140">
        <v>168</v>
      </c>
      <c r="I40" s="140">
        <v>0</v>
      </c>
      <c r="J40" s="149">
        <v>80771685.214455843</v>
      </c>
      <c r="K40" s="142">
        <v>40000000</v>
      </c>
      <c r="L40" s="153">
        <v>3053096</v>
      </c>
      <c r="M40" s="153">
        <v>0</v>
      </c>
      <c r="N40" s="66" t="s">
        <v>270</v>
      </c>
      <c r="O40" s="66"/>
      <c r="P40" s="66" t="s">
        <v>239</v>
      </c>
      <c r="Q40" s="140">
        <v>90</v>
      </c>
      <c r="R40" s="140">
        <v>0</v>
      </c>
      <c r="S40" s="140">
        <v>0</v>
      </c>
      <c r="T40" s="140">
        <v>20</v>
      </c>
      <c r="U40" s="140">
        <v>10</v>
      </c>
      <c r="V40" s="140">
        <v>10</v>
      </c>
      <c r="W40" s="140">
        <v>0</v>
      </c>
      <c r="X40" s="140">
        <v>8</v>
      </c>
      <c r="Y40" s="140">
        <v>10</v>
      </c>
      <c r="Z40" s="140">
        <v>0</v>
      </c>
      <c r="AA40" s="140">
        <v>10</v>
      </c>
      <c r="AB40" s="140">
        <v>10</v>
      </c>
      <c r="AC40" s="140">
        <v>12</v>
      </c>
      <c r="AD40" s="154">
        <v>1.2310965379730319</v>
      </c>
      <c r="AE40" s="155" t="s">
        <v>258</v>
      </c>
      <c r="AF40" s="140" t="s">
        <v>251</v>
      </c>
      <c r="AG40" s="140" t="s">
        <v>533</v>
      </c>
      <c r="AH40" s="140" t="s">
        <v>644</v>
      </c>
      <c r="AI40" s="140" t="s">
        <v>645</v>
      </c>
      <c r="AJ40" s="140" t="s">
        <v>646</v>
      </c>
      <c r="AK40" s="140" t="s">
        <v>533</v>
      </c>
      <c r="AL40" s="140" t="s">
        <v>647</v>
      </c>
      <c r="AM40" s="140" t="s">
        <v>648</v>
      </c>
      <c r="AN40" s="140" t="s">
        <v>256</v>
      </c>
      <c r="AO40" s="140" t="s">
        <v>256</v>
      </c>
      <c r="AP40" s="140" t="s">
        <v>256</v>
      </c>
    </row>
    <row r="41" spans="1:42" s="135" customFormat="1" ht="12.75" customHeight="1" x14ac:dyDescent="0.2">
      <c r="A41" s="66" t="s">
        <v>422</v>
      </c>
      <c r="B41" s="140" t="s">
        <v>423</v>
      </c>
      <c r="C41" s="140" t="s">
        <v>272</v>
      </c>
      <c r="D41" s="140" t="s">
        <v>259</v>
      </c>
      <c r="E41" t="s">
        <v>306</v>
      </c>
      <c r="F41" s="140" t="s">
        <v>274</v>
      </c>
      <c r="G41" s="140">
        <v>96</v>
      </c>
      <c r="H41" s="140">
        <v>94</v>
      </c>
      <c r="I41" s="140">
        <v>0</v>
      </c>
      <c r="J41" s="149">
        <v>27122111</v>
      </c>
      <c r="K41" s="142">
        <v>13192000</v>
      </c>
      <c r="L41" s="153">
        <v>937180</v>
      </c>
      <c r="M41" s="153">
        <v>13804682</v>
      </c>
      <c r="N41" s="66" t="s">
        <v>270</v>
      </c>
      <c r="O41" s="66"/>
      <c r="P41" s="66" t="s">
        <v>271</v>
      </c>
      <c r="Q41" s="140">
        <v>110</v>
      </c>
      <c r="R41" s="140">
        <v>20</v>
      </c>
      <c r="S41" s="140">
        <v>0</v>
      </c>
      <c r="T41" s="140">
        <v>20</v>
      </c>
      <c r="U41" s="140">
        <v>10</v>
      </c>
      <c r="V41" s="140">
        <v>10</v>
      </c>
      <c r="W41" s="140">
        <v>0</v>
      </c>
      <c r="X41" s="140">
        <v>8</v>
      </c>
      <c r="Y41" s="140">
        <v>10</v>
      </c>
      <c r="Z41" s="140">
        <v>0</v>
      </c>
      <c r="AA41" s="140">
        <v>10</v>
      </c>
      <c r="AB41" s="140">
        <v>10</v>
      </c>
      <c r="AC41" s="140">
        <v>12</v>
      </c>
      <c r="AD41" s="154">
        <v>1.27918</v>
      </c>
      <c r="AE41" s="155" t="s">
        <v>258</v>
      </c>
      <c r="AF41" s="140" t="s">
        <v>251</v>
      </c>
      <c r="AG41" s="140" t="s">
        <v>534</v>
      </c>
      <c r="AH41" s="140" t="s">
        <v>534</v>
      </c>
      <c r="AI41" s="140" t="s">
        <v>649</v>
      </c>
      <c r="AJ41" s="140" t="s">
        <v>256</v>
      </c>
      <c r="AK41" s="140" t="s">
        <v>256</v>
      </c>
      <c r="AL41" s="140" t="s">
        <v>256</v>
      </c>
      <c r="AM41" s="140" t="s">
        <v>256</v>
      </c>
      <c r="AN41" s="140" t="s">
        <v>256</v>
      </c>
      <c r="AO41" s="140" t="s">
        <v>256</v>
      </c>
      <c r="AP41" s="140" t="s">
        <v>256</v>
      </c>
    </row>
    <row r="42" spans="1:42" s="135" customFormat="1" ht="12.75" customHeight="1" x14ac:dyDescent="0.2">
      <c r="A42" s="66" t="s">
        <v>424</v>
      </c>
      <c r="B42" s="140" t="s">
        <v>425</v>
      </c>
      <c r="C42" s="140" t="s">
        <v>254</v>
      </c>
      <c r="D42" s="140" t="s">
        <v>259</v>
      </c>
      <c r="E42" t="s">
        <v>377</v>
      </c>
      <c r="F42" s="140" t="s">
        <v>377</v>
      </c>
      <c r="G42" s="140">
        <v>113</v>
      </c>
      <c r="H42" s="140">
        <v>112</v>
      </c>
      <c r="I42" s="140">
        <v>0</v>
      </c>
      <c r="J42" s="149">
        <v>69738054</v>
      </c>
      <c r="K42" s="142">
        <v>34908011</v>
      </c>
      <c r="L42" s="153">
        <v>3357718</v>
      </c>
      <c r="M42" s="153">
        <v>0</v>
      </c>
      <c r="N42" s="66" t="s">
        <v>254</v>
      </c>
      <c r="O42" s="66" t="s">
        <v>55</v>
      </c>
      <c r="P42" s="66" t="s">
        <v>277</v>
      </c>
      <c r="Q42" s="140">
        <v>119</v>
      </c>
      <c r="R42" s="140">
        <v>0</v>
      </c>
      <c r="S42" s="140">
        <v>10</v>
      </c>
      <c r="T42" s="140">
        <v>20</v>
      </c>
      <c r="U42" s="140">
        <v>10</v>
      </c>
      <c r="V42" s="140">
        <v>10</v>
      </c>
      <c r="W42" s="140">
        <v>10</v>
      </c>
      <c r="X42" s="140">
        <v>8</v>
      </c>
      <c r="Y42" s="140">
        <v>10</v>
      </c>
      <c r="Z42" s="140">
        <v>9</v>
      </c>
      <c r="AA42" s="140">
        <v>10</v>
      </c>
      <c r="AB42" s="140">
        <v>10</v>
      </c>
      <c r="AC42" s="140">
        <v>12</v>
      </c>
      <c r="AD42" s="154">
        <v>0.92521387028716962</v>
      </c>
      <c r="AE42" s="155" t="s">
        <v>258</v>
      </c>
      <c r="AF42" s="140" t="s">
        <v>494</v>
      </c>
      <c r="AG42" s="140" t="s">
        <v>535</v>
      </c>
      <c r="AH42" s="140" t="s">
        <v>650</v>
      </c>
      <c r="AI42" s="140" t="s">
        <v>651</v>
      </c>
      <c r="AJ42" s="140" t="s">
        <v>652</v>
      </c>
      <c r="AK42" s="140" t="s">
        <v>256</v>
      </c>
      <c r="AL42" s="140" t="s">
        <v>256</v>
      </c>
      <c r="AM42" s="140" t="s">
        <v>256</v>
      </c>
      <c r="AN42" s="140" t="s">
        <v>256</v>
      </c>
      <c r="AO42" s="140" t="s">
        <v>256</v>
      </c>
      <c r="AP42" s="140" t="s">
        <v>256</v>
      </c>
    </row>
    <row r="43" spans="1:42" s="135" customFormat="1" ht="12.75" customHeight="1" x14ac:dyDescent="0.2">
      <c r="A43" s="66" t="s">
        <v>426</v>
      </c>
      <c r="B43" s="140" t="s">
        <v>427</v>
      </c>
      <c r="C43" s="140" t="s">
        <v>254</v>
      </c>
      <c r="D43" s="140" t="s">
        <v>289</v>
      </c>
      <c r="E43" t="s">
        <v>428</v>
      </c>
      <c r="F43" s="140" t="s">
        <v>274</v>
      </c>
      <c r="G43" s="140">
        <v>40</v>
      </c>
      <c r="H43" s="140">
        <v>39</v>
      </c>
      <c r="I43" s="140">
        <v>0</v>
      </c>
      <c r="J43" s="149">
        <v>36763473</v>
      </c>
      <c r="K43" s="142">
        <v>18468316</v>
      </c>
      <c r="L43" s="153">
        <v>1746130</v>
      </c>
      <c r="M43" s="153">
        <v>0</v>
      </c>
      <c r="N43" s="66" t="s">
        <v>254</v>
      </c>
      <c r="O43" s="66" t="s">
        <v>255</v>
      </c>
      <c r="P43" s="66" t="s">
        <v>239</v>
      </c>
      <c r="Q43" s="140">
        <v>119</v>
      </c>
      <c r="R43" s="140">
        <v>0</v>
      </c>
      <c r="S43" s="140">
        <v>10</v>
      </c>
      <c r="T43" s="140">
        <v>20</v>
      </c>
      <c r="U43" s="140">
        <v>10</v>
      </c>
      <c r="V43" s="140">
        <v>10</v>
      </c>
      <c r="W43" s="140">
        <v>10</v>
      </c>
      <c r="X43" s="140">
        <v>8</v>
      </c>
      <c r="Y43" s="140">
        <v>10</v>
      </c>
      <c r="Z43" s="140">
        <v>9</v>
      </c>
      <c r="AA43" s="140">
        <v>10</v>
      </c>
      <c r="AB43" s="140">
        <v>10</v>
      </c>
      <c r="AC43" s="140">
        <v>12</v>
      </c>
      <c r="AD43" s="154">
        <v>1.0801331205800913</v>
      </c>
      <c r="AE43" s="155" t="s">
        <v>258</v>
      </c>
      <c r="AF43" s="140" t="s">
        <v>239</v>
      </c>
      <c r="AG43" s="140" t="s">
        <v>536</v>
      </c>
      <c r="AH43" s="140" t="s">
        <v>653</v>
      </c>
      <c r="AI43" s="140" t="s">
        <v>654</v>
      </c>
      <c r="AJ43" s="140" t="s">
        <v>655</v>
      </c>
      <c r="AK43" s="140" t="s">
        <v>653</v>
      </c>
      <c r="AL43" s="140" t="s">
        <v>656</v>
      </c>
      <c r="AM43" s="140" t="s">
        <v>657</v>
      </c>
      <c r="AN43" s="140" t="s">
        <v>653</v>
      </c>
      <c r="AO43" s="140" t="s">
        <v>658</v>
      </c>
      <c r="AP43" s="140" t="s">
        <v>659</v>
      </c>
    </row>
    <row r="44" spans="1:42" s="135" customFormat="1" ht="12.75" customHeight="1" x14ac:dyDescent="0.2">
      <c r="A44" s="66" t="s">
        <v>429</v>
      </c>
      <c r="B44" s="140" t="s">
        <v>430</v>
      </c>
      <c r="C44" s="140" t="s">
        <v>272</v>
      </c>
      <c r="D44" s="140" t="s">
        <v>297</v>
      </c>
      <c r="E44" t="s">
        <v>377</v>
      </c>
      <c r="F44" s="140" t="s">
        <v>377</v>
      </c>
      <c r="G44" s="140">
        <v>78</v>
      </c>
      <c r="H44" s="140">
        <v>77</v>
      </c>
      <c r="I44" s="140">
        <v>0</v>
      </c>
      <c r="J44" s="149">
        <v>35388416</v>
      </c>
      <c r="K44" s="142">
        <v>17750000</v>
      </c>
      <c r="L44" s="153">
        <v>1322568.1000000001</v>
      </c>
      <c r="M44" s="153">
        <v>0</v>
      </c>
      <c r="N44" s="66" t="s">
        <v>281</v>
      </c>
      <c r="O44" s="66"/>
      <c r="P44" s="66" t="s">
        <v>277</v>
      </c>
      <c r="Q44" s="140">
        <v>110</v>
      </c>
      <c r="R44" s="140">
        <v>20</v>
      </c>
      <c r="S44" s="140">
        <v>0</v>
      </c>
      <c r="T44" s="140">
        <v>20</v>
      </c>
      <c r="U44" s="140">
        <v>10</v>
      </c>
      <c r="V44" s="140">
        <v>10</v>
      </c>
      <c r="W44" s="140">
        <v>0</v>
      </c>
      <c r="X44" s="140">
        <v>8</v>
      </c>
      <c r="Y44" s="140">
        <v>10</v>
      </c>
      <c r="Z44" s="140">
        <v>0</v>
      </c>
      <c r="AA44" s="140">
        <v>10</v>
      </c>
      <c r="AB44" s="140">
        <v>10</v>
      </c>
      <c r="AC44" s="140">
        <v>12</v>
      </c>
      <c r="AD44" s="154">
        <v>1.11429</v>
      </c>
      <c r="AE44" s="155" t="s">
        <v>258</v>
      </c>
      <c r="AF44" s="140" t="s">
        <v>494</v>
      </c>
      <c r="AG44" s="140" t="s">
        <v>537</v>
      </c>
      <c r="AH44" s="140" t="s">
        <v>660</v>
      </c>
      <c r="AI44" s="140" t="s">
        <v>661</v>
      </c>
      <c r="AJ44" s="140" t="s">
        <v>662</v>
      </c>
      <c r="AK44" s="140" t="s">
        <v>663</v>
      </c>
      <c r="AL44" s="140" t="s">
        <v>664</v>
      </c>
      <c r="AM44" s="140" t="s">
        <v>256</v>
      </c>
      <c r="AN44" s="140" t="s">
        <v>256</v>
      </c>
      <c r="AO44" s="140" t="s">
        <v>256</v>
      </c>
      <c r="AP44" s="140" t="s">
        <v>256</v>
      </c>
    </row>
    <row r="45" spans="1:42" s="135" customFormat="1" ht="12.75" customHeight="1" x14ac:dyDescent="0.2">
      <c r="A45" s="66" t="s">
        <v>431</v>
      </c>
      <c r="B45" s="140" t="s">
        <v>432</v>
      </c>
      <c r="C45" s="140" t="s">
        <v>254</v>
      </c>
      <c r="D45" s="140" t="s">
        <v>289</v>
      </c>
      <c r="E45" t="s">
        <v>433</v>
      </c>
      <c r="F45" s="140" t="s">
        <v>274</v>
      </c>
      <c r="G45" s="140">
        <v>50</v>
      </c>
      <c r="H45" s="140">
        <v>49</v>
      </c>
      <c r="I45" s="140">
        <v>0</v>
      </c>
      <c r="J45" s="149">
        <v>43779642</v>
      </c>
      <c r="K45" s="142">
        <v>21758110</v>
      </c>
      <c r="L45" s="153">
        <v>2062953</v>
      </c>
      <c r="M45" s="153">
        <v>0</v>
      </c>
      <c r="N45" s="66" t="s">
        <v>254</v>
      </c>
      <c r="O45" s="66" t="s">
        <v>255</v>
      </c>
      <c r="P45" s="66" t="s">
        <v>239</v>
      </c>
      <c r="Q45" s="140">
        <v>119</v>
      </c>
      <c r="R45" s="140">
        <v>0</v>
      </c>
      <c r="S45" s="140">
        <v>10</v>
      </c>
      <c r="T45" s="140">
        <v>20</v>
      </c>
      <c r="U45" s="140">
        <v>10</v>
      </c>
      <c r="V45" s="140">
        <v>10</v>
      </c>
      <c r="W45" s="140">
        <v>10</v>
      </c>
      <c r="X45" s="140">
        <v>8</v>
      </c>
      <c r="Y45" s="140">
        <v>10</v>
      </c>
      <c r="Z45" s="140">
        <v>9</v>
      </c>
      <c r="AA45" s="140">
        <v>10</v>
      </c>
      <c r="AB45" s="140">
        <v>10</v>
      </c>
      <c r="AC45" s="140">
        <v>12</v>
      </c>
      <c r="AD45" s="154">
        <v>1.2347679502105331</v>
      </c>
      <c r="AE45" s="155" t="s">
        <v>258</v>
      </c>
      <c r="AF45" s="140" t="s">
        <v>239</v>
      </c>
      <c r="AG45" s="140" t="s">
        <v>538</v>
      </c>
      <c r="AH45" s="140" t="s">
        <v>665</v>
      </c>
      <c r="AI45" s="140" t="s">
        <v>654</v>
      </c>
      <c r="AJ45" s="140" t="s">
        <v>666</v>
      </c>
      <c r="AK45" s="140" t="s">
        <v>665</v>
      </c>
      <c r="AL45" s="140" t="s">
        <v>667</v>
      </c>
      <c r="AM45" s="140" t="s">
        <v>657</v>
      </c>
      <c r="AN45" s="140" t="s">
        <v>665</v>
      </c>
      <c r="AO45" s="140" t="s">
        <v>658</v>
      </c>
      <c r="AP45" s="140" t="s">
        <v>659</v>
      </c>
    </row>
    <row r="46" spans="1:42" s="135" customFormat="1" ht="12.75" customHeight="1" x14ac:dyDescent="0.2">
      <c r="A46" s="66" t="s">
        <v>434</v>
      </c>
      <c r="B46" s="140" t="s">
        <v>435</v>
      </c>
      <c r="C46" s="140" t="s">
        <v>272</v>
      </c>
      <c r="D46" s="140" t="s">
        <v>259</v>
      </c>
      <c r="E46" t="s">
        <v>436</v>
      </c>
      <c r="F46" s="140" t="s">
        <v>287</v>
      </c>
      <c r="G46" s="140">
        <v>76</v>
      </c>
      <c r="H46" s="140">
        <v>75</v>
      </c>
      <c r="I46" s="140">
        <v>0</v>
      </c>
      <c r="J46" s="149">
        <v>40935554.133391015</v>
      </c>
      <c r="K46" s="142">
        <v>20609881</v>
      </c>
      <c r="L46" s="153">
        <v>1640934</v>
      </c>
      <c r="M46" s="153">
        <v>0</v>
      </c>
      <c r="N46" s="66" t="s">
        <v>270</v>
      </c>
      <c r="O46" s="66"/>
      <c r="P46" s="66" t="s">
        <v>275</v>
      </c>
      <c r="Q46" s="140">
        <v>102</v>
      </c>
      <c r="R46" s="140">
        <v>20</v>
      </c>
      <c r="S46" s="140">
        <v>0</v>
      </c>
      <c r="T46" s="140">
        <v>20</v>
      </c>
      <c r="U46" s="140">
        <v>10</v>
      </c>
      <c r="V46" s="140">
        <v>10</v>
      </c>
      <c r="W46" s="140">
        <v>0</v>
      </c>
      <c r="X46" s="140">
        <v>8</v>
      </c>
      <c r="Y46" s="140">
        <v>10</v>
      </c>
      <c r="Z46" s="140">
        <v>0</v>
      </c>
      <c r="AA46" s="140">
        <v>10</v>
      </c>
      <c r="AB46" s="140">
        <v>10</v>
      </c>
      <c r="AC46" s="140">
        <v>12</v>
      </c>
      <c r="AD46" s="154">
        <v>1.45959592041546</v>
      </c>
      <c r="AE46" s="155" t="s">
        <v>258</v>
      </c>
      <c r="AF46" s="140" t="s">
        <v>491</v>
      </c>
      <c r="AG46" s="140" t="s">
        <v>539</v>
      </c>
      <c r="AH46" s="140" t="s">
        <v>539</v>
      </c>
      <c r="AI46" s="140" t="s">
        <v>668</v>
      </c>
      <c r="AJ46" s="140" t="s">
        <v>256</v>
      </c>
      <c r="AK46" s="140" t="s">
        <v>256</v>
      </c>
      <c r="AL46" s="140" t="s">
        <v>256</v>
      </c>
      <c r="AM46" s="140" t="s">
        <v>256</v>
      </c>
      <c r="AN46" s="140" t="s">
        <v>256</v>
      </c>
      <c r="AO46" s="140" t="s">
        <v>256</v>
      </c>
      <c r="AP46" s="140" t="s">
        <v>256</v>
      </c>
    </row>
    <row r="47" spans="1:42" s="135" customFormat="1" ht="12.75" customHeight="1" x14ac:dyDescent="0.2">
      <c r="A47" s="66" t="s">
        <v>437</v>
      </c>
      <c r="B47" s="140" t="s">
        <v>438</v>
      </c>
      <c r="C47" s="140" t="s">
        <v>272</v>
      </c>
      <c r="D47" s="140" t="s">
        <v>259</v>
      </c>
      <c r="E47" t="s">
        <v>439</v>
      </c>
      <c r="F47" s="140" t="s">
        <v>440</v>
      </c>
      <c r="G47" s="140">
        <v>152</v>
      </c>
      <c r="H47" s="140">
        <v>150</v>
      </c>
      <c r="I47" s="140">
        <v>0</v>
      </c>
      <c r="J47" s="149">
        <v>64326516.026714951</v>
      </c>
      <c r="K47" s="142">
        <v>32895715</v>
      </c>
      <c r="L47" s="153">
        <v>2302531</v>
      </c>
      <c r="M47" s="153">
        <v>0</v>
      </c>
      <c r="N47" s="66" t="s">
        <v>270</v>
      </c>
      <c r="O47" s="66"/>
      <c r="P47" s="66" t="s">
        <v>257</v>
      </c>
      <c r="Q47" s="140">
        <v>110</v>
      </c>
      <c r="R47" s="140">
        <v>20</v>
      </c>
      <c r="S47" s="140">
        <v>0</v>
      </c>
      <c r="T47" s="140">
        <v>20</v>
      </c>
      <c r="U47" s="140">
        <v>10</v>
      </c>
      <c r="V47" s="140">
        <v>10</v>
      </c>
      <c r="W47" s="140">
        <v>0</v>
      </c>
      <c r="X47" s="140">
        <v>8</v>
      </c>
      <c r="Y47" s="140">
        <v>10</v>
      </c>
      <c r="Z47" s="140">
        <v>0</v>
      </c>
      <c r="AA47" s="140">
        <v>10</v>
      </c>
      <c r="AB47" s="140">
        <v>10</v>
      </c>
      <c r="AC47" s="140">
        <v>12</v>
      </c>
      <c r="AD47" s="154">
        <v>1.2117417810595301</v>
      </c>
      <c r="AE47" s="155" t="s">
        <v>258</v>
      </c>
      <c r="AF47" s="140" t="s">
        <v>491</v>
      </c>
      <c r="AG47" s="140" t="s">
        <v>539</v>
      </c>
      <c r="AH47" s="140" t="s">
        <v>539</v>
      </c>
      <c r="AI47" s="140" t="s">
        <v>668</v>
      </c>
      <c r="AJ47" s="140" t="s">
        <v>539</v>
      </c>
      <c r="AK47" s="140" t="s">
        <v>256</v>
      </c>
      <c r="AL47" s="140" t="s">
        <v>256</v>
      </c>
      <c r="AM47" s="140" t="s">
        <v>256</v>
      </c>
      <c r="AN47" s="140" t="s">
        <v>256</v>
      </c>
      <c r="AO47" s="140" t="s">
        <v>256</v>
      </c>
      <c r="AP47" s="140" t="s">
        <v>256</v>
      </c>
    </row>
    <row r="48" spans="1:42" s="135" customFormat="1" ht="12.75" customHeight="1" x14ac:dyDescent="0.2">
      <c r="A48" s="66" t="s">
        <v>441</v>
      </c>
      <c r="B48" s="140" t="s">
        <v>442</v>
      </c>
      <c r="C48" s="140" t="s">
        <v>254</v>
      </c>
      <c r="D48" s="140" t="s">
        <v>298</v>
      </c>
      <c r="E48" t="s">
        <v>284</v>
      </c>
      <c r="F48" s="140" t="s">
        <v>285</v>
      </c>
      <c r="G48" s="140">
        <v>97</v>
      </c>
      <c r="H48" s="140">
        <v>96</v>
      </c>
      <c r="I48" s="140">
        <v>0</v>
      </c>
      <c r="J48" s="149">
        <v>95655204.107201964</v>
      </c>
      <c r="K48" s="142">
        <v>49392351</v>
      </c>
      <c r="L48" s="153">
        <v>4400664.7</v>
      </c>
      <c r="M48" s="153">
        <v>0</v>
      </c>
      <c r="N48" s="66" t="s">
        <v>254</v>
      </c>
      <c r="O48" s="66" t="s">
        <v>255</v>
      </c>
      <c r="P48" s="66" t="s">
        <v>261</v>
      </c>
      <c r="Q48" s="140">
        <v>119</v>
      </c>
      <c r="R48" s="140">
        <v>0</v>
      </c>
      <c r="S48" s="140">
        <v>10</v>
      </c>
      <c r="T48" s="140">
        <v>20</v>
      </c>
      <c r="U48" s="140">
        <v>10</v>
      </c>
      <c r="V48" s="140">
        <v>10</v>
      </c>
      <c r="W48" s="140">
        <v>10</v>
      </c>
      <c r="X48" s="140">
        <v>8</v>
      </c>
      <c r="Y48" s="140">
        <v>10</v>
      </c>
      <c r="Z48" s="140">
        <v>9</v>
      </c>
      <c r="AA48" s="140">
        <v>10</v>
      </c>
      <c r="AB48" s="140">
        <v>10</v>
      </c>
      <c r="AC48" s="140">
        <v>12</v>
      </c>
      <c r="AD48" s="154">
        <v>0.80562</v>
      </c>
      <c r="AE48" s="155" t="s">
        <v>258</v>
      </c>
      <c r="AF48" s="140" t="s">
        <v>251</v>
      </c>
      <c r="AG48" s="140" t="s">
        <v>540</v>
      </c>
      <c r="AH48" s="140" t="s">
        <v>669</v>
      </c>
      <c r="AI48" s="140" t="s">
        <v>670</v>
      </c>
      <c r="AJ48" s="140" t="s">
        <v>286</v>
      </c>
      <c r="AK48" s="140" t="s">
        <v>256</v>
      </c>
      <c r="AL48" s="140" t="s">
        <v>256</v>
      </c>
      <c r="AM48" s="140" t="s">
        <v>256</v>
      </c>
      <c r="AN48" s="140" t="s">
        <v>256</v>
      </c>
      <c r="AO48" s="140" t="s">
        <v>256</v>
      </c>
      <c r="AP48" s="140" t="s">
        <v>256</v>
      </c>
    </row>
    <row r="49" spans="1:42" s="135" customFormat="1" ht="12.75" customHeight="1" x14ac:dyDescent="0.2">
      <c r="A49" s="66" t="s">
        <v>443</v>
      </c>
      <c r="B49" s="140" t="s">
        <v>444</v>
      </c>
      <c r="C49" s="140" t="s">
        <v>254</v>
      </c>
      <c r="D49" s="140" t="s">
        <v>259</v>
      </c>
      <c r="E49" t="s">
        <v>260</v>
      </c>
      <c r="F49" s="140" t="s">
        <v>260</v>
      </c>
      <c r="G49" s="140">
        <v>73</v>
      </c>
      <c r="H49" s="140">
        <v>72</v>
      </c>
      <c r="I49" s="140">
        <v>0</v>
      </c>
      <c r="J49" s="149">
        <v>67701303</v>
      </c>
      <c r="K49" s="142">
        <v>34769000</v>
      </c>
      <c r="L49" s="153">
        <v>3219230</v>
      </c>
      <c r="M49" s="153">
        <v>0</v>
      </c>
      <c r="N49" s="66" t="s">
        <v>254</v>
      </c>
      <c r="O49" s="66" t="s">
        <v>55</v>
      </c>
      <c r="P49" s="66" t="s">
        <v>275</v>
      </c>
      <c r="Q49" s="140">
        <v>119</v>
      </c>
      <c r="R49" s="140">
        <v>0</v>
      </c>
      <c r="S49" s="140">
        <v>10</v>
      </c>
      <c r="T49" s="140">
        <v>19.999999999999996</v>
      </c>
      <c r="U49" s="140">
        <v>10</v>
      </c>
      <c r="V49" s="140">
        <v>10</v>
      </c>
      <c r="W49" s="140">
        <v>10</v>
      </c>
      <c r="X49" s="140">
        <v>8</v>
      </c>
      <c r="Y49" s="140">
        <v>10</v>
      </c>
      <c r="Z49" s="140">
        <v>9</v>
      </c>
      <c r="AA49" s="140">
        <v>10</v>
      </c>
      <c r="AB49" s="140">
        <v>10</v>
      </c>
      <c r="AC49" s="140">
        <v>12</v>
      </c>
      <c r="AD49" s="154">
        <v>1.2411413874081425</v>
      </c>
      <c r="AE49" s="155" t="s">
        <v>258</v>
      </c>
      <c r="AF49" s="140" t="s">
        <v>252</v>
      </c>
      <c r="AG49" s="140" t="s">
        <v>305</v>
      </c>
      <c r="AH49" s="140" t="s">
        <v>671</v>
      </c>
      <c r="AI49" s="140" t="s">
        <v>672</v>
      </c>
      <c r="AJ49" s="140" t="s">
        <v>305</v>
      </c>
      <c r="AK49" s="140" t="s">
        <v>256</v>
      </c>
      <c r="AL49" s="140" t="s">
        <v>256</v>
      </c>
      <c r="AM49" s="140" t="s">
        <v>256</v>
      </c>
      <c r="AN49" s="140" t="s">
        <v>256</v>
      </c>
      <c r="AO49" s="140" t="s">
        <v>256</v>
      </c>
      <c r="AP49" s="140" t="s">
        <v>256</v>
      </c>
    </row>
    <row r="50" spans="1:42" s="135" customFormat="1" ht="12.75" customHeight="1" x14ac:dyDescent="0.2">
      <c r="A50" s="66" t="s">
        <v>445</v>
      </c>
      <c r="B50" s="140" t="s">
        <v>446</v>
      </c>
      <c r="C50" s="140" t="s">
        <v>272</v>
      </c>
      <c r="D50" s="140" t="s">
        <v>273</v>
      </c>
      <c r="E50" t="s">
        <v>285</v>
      </c>
      <c r="F50" s="140" t="s">
        <v>285</v>
      </c>
      <c r="G50" s="140">
        <v>40</v>
      </c>
      <c r="H50" s="140">
        <v>39</v>
      </c>
      <c r="I50" s="140">
        <v>0</v>
      </c>
      <c r="J50" s="149">
        <v>28880089.442363773</v>
      </c>
      <c r="K50" s="142">
        <v>14370000</v>
      </c>
      <c r="L50" s="153">
        <v>1053058</v>
      </c>
      <c r="M50" s="153">
        <v>0</v>
      </c>
      <c r="N50" s="66" t="s">
        <v>270</v>
      </c>
      <c r="O50" s="66"/>
      <c r="P50" s="66" t="s">
        <v>261</v>
      </c>
      <c r="Q50" s="140">
        <v>110</v>
      </c>
      <c r="R50" s="140">
        <v>20</v>
      </c>
      <c r="S50" s="140">
        <v>0</v>
      </c>
      <c r="T50" s="140">
        <v>20</v>
      </c>
      <c r="U50" s="140">
        <v>10</v>
      </c>
      <c r="V50" s="140">
        <v>10</v>
      </c>
      <c r="W50" s="140">
        <v>0</v>
      </c>
      <c r="X50" s="140">
        <v>8</v>
      </c>
      <c r="Y50" s="140">
        <v>10</v>
      </c>
      <c r="Z50" s="140">
        <v>0</v>
      </c>
      <c r="AA50" s="140">
        <v>10</v>
      </c>
      <c r="AB50" s="140">
        <v>10</v>
      </c>
      <c r="AC50" s="140">
        <v>12</v>
      </c>
      <c r="AD50" s="154">
        <v>1.24793</v>
      </c>
      <c r="AE50" s="155" t="s">
        <v>258</v>
      </c>
      <c r="AF50" s="140" t="s">
        <v>252</v>
      </c>
      <c r="AG50" s="140" t="s">
        <v>541</v>
      </c>
      <c r="AH50" s="140" t="s">
        <v>673</v>
      </c>
      <c r="AI50" s="140" t="s">
        <v>674</v>
      </c>
      <c r="AJ50" s="140" t="s">
        <v>256</v>
      </c>
      <c r="AK50" s="140" t="s">
        <v>675</v>
      </c>
      <c r="AL50" s="140" t="s">
        <v>676</v>
      </c>
      <c r="AM50" s="140" t="s">
        <v>677</v>
      </c>
      <c r="AN50" s="140" t="s">
        <v>256</v>
      </c>
      <c r="AO50" s="140" t="s">
        <v>256</v>
      </c>
      <c r="AP50" s="140" t="s">
        <v>256</v>
      </c>
    </row>
    <row r="51" spans="1:42" s="135" customFormat="1" ht="12.75" customHeight="1" x14ac:dyDescent="0.2">
      <c r="A51" s="66" t="s">
        <v>447</v>
      </c>
      <c r="B51" s="140" t="s">
        <v>448</v>
      </c>
      <c r="C51" s="140" t="s">
        <v>254</v>
      </c>
      <c r="D51" s="140" t="s">
        <v>298</v>
      </c>
      <c r="E51" t="s">
        <v>449</v>
      </c>
      <c r="F51" s="140" t="s">
        <v>260</v>
      </c>
      <c r="G51" s="140">
        <v>32</v>
      </c>
      <c r="H51" s="140">
        <v>32</v>
      </c>
      <c r="I51" s="140">
        <v>0</v>
      </c>
      <c r="J51" s="149">
        <v>16898534</v>
      </c>
      <c r="K51" s="142">
        <v>8400000</v>
      </c>
      <c r="L51" s="153">
        <v>804010.8</v>
      </c>
      <c r="M51" s="153">
        <v>0</v>
      </c>
      <c r="N51" s="66" t="s">
        <v>254</v>
      </c>
      <c r="O51" s="66"/>
      <c r="P51" s="66" t="s">
        <v>275</v>
      </c>
      <c r="Q51" s="140">
        <v>119</v>
      </c>
      <c r="R51" s="140">
        <v>0</v>
      </c>
      <c r="S51" s="140">
        <v>10</v>
      </c>
      <c r="T51" s="140">
        <v>20</v>
      </c>
      <c r="U51" s="140">
        <v>10</v>
      </c>
      <c r="V51" s="140">
        <v>10</v>
      </c>
      <c r="W51" s="140">
        <v>10</v>
      </c>
      <c r="X51" s="140">
        <v>8</v>
      </c>
      <c r="Y51" s="140">
        <v>10</v>
      </c>
      <c r="Z51" s="140">
        <v>9</v>
      </c>
      <c r="AA51" s="140">
        <v>10</v>
      </c>
      <c r="AB51" s="140">
        <v>10</v>
      </c>
      <c r="AC51" s="140">
        <v>12</v>
      </c>
      <c r="AD51" s="154">
        <v>0.60688010279172999</v>
      </c>
      <c r="AE51" s="155" t="s">
        <v>258</v>
      </c>
      <c r="AF51" s="140" t="s">
        <v>251</v>
      </c>
      <c r="AG51" s="140" t="s">
        <v>542</v>
      </c>
      <c r="AH51" s="140" t="s">
        <v>678</v>
      </c>
      <c r="AI51" s="140" t="s">
        <v>679</v>
      </c>
      <c r="AJ51" s="140" t="s">
        <v>680</v>
      </c>
      <c r="AK51" s="140" t="s">
        <v>681</v>
      </c>
      <c r="AL51" s="140" t="s">
        <v>288</v>
      </c>
      <c r="AM51" s="140" t="s">
        <v>256</v>
      </c>
      <c r="AN51" s="140" t="s">
        <v>256</v>
      </c>
      <c r="AO51" s="140" t="s">
        <v>256</v>
      </c>
      <c r="AP51" s="140" t="s">
        <v>256</v>
      </c>
    </row>
    <row r="52" spans="1:42" s="135" customFormat="1" ht="12.75" customHeight="1" x14ac:dyDescent="0.2">
      <c r="A52" s="66" t="s">
        <v>450</v>
      </c>
      <c r="B52" s="140" t="s">
        <v>451</v>
      </c>
      <c r="C52" s="140" t="s">
        <v>272</v>
      </c>
      <c r="D52" s="140" t="s">
        <v>273</v>
      </c>
      <c r="E52" t="s">
        <v>284</v>
      </c>
      <c r="F52" s="140" t="s">
        <v>285</v>
      </c>
      <c r="G52" s="140">
        <v>115</v>
      </c>
      <c r="H52" s="140">
        <v>114</v>
      </c>
      <c r="I52" s="140">
        <v>0</v>
      </c>
      <c r="J52" s="149">
        <v>52517739.028908081</v>
      </c>
      <c r="K52" s="142">
        <v>27045422</v>
      </c>
      <c r="L52" s="153">
        <v>2121349</v>
      </c>
      <c r="M52" s="153">
        <v>0</v>
      </c>
      <c r="N52" s="66" t="s">
        <v>281</v>
      </c>
      <c r="O52" s="66"/>
      <c r="P52" s="66" t="s">
        <v>261</v>
      </c>
      <c r="Q52" s="140">
        <v>110</v>
      </c>
      <c r="R52" s="140">
        <v>20</v>
      </c>
      <c r="S52" s="140">
        <v>0</v>
      </c>
      <c r="T52" s="140">
        <v>19.999999999999996</v>
      </c>
      <c r="U52" s="140">
        <v>10</v>
      </c>
      <c r="V52" s="140">
        <v>10</v>
      </c>
      <c r="W52" s="140">
        <v>0</v>
      </c>
      <c r="X52" s="140">
        <v>8</v>
      </c>
      <c r="Y52" s="140">
        <v>10</v>
      </c>
      <c r="Z52" s="140">
        <v>0</v>
      </c>
      <c r="AA52" s="140">
        <v>10</v>
      </c>
      <c r="AB52" s="140">
        <v>10</v>
      </c>
      <c r="AC52" s="140">
        <v>12</v>
      </c>
      <c r="AD52" s="154">
        <v>2.3738468974951821</v>
      </c>
      <c r="AE52" s="155" t="s">
        <v>258</v>
      </c>
      <c r="AF52" s="140" t="s">
        <v>252</v>
      </c>
      <c r="AG52" s="140" t="s">
        <v>543</v>
      </c>
      <c r="AH52" s="140" t="s">
        <v>682</v>
      </c>
      <c r="AI52" s="140" t="s">
        <v>683</v>
      </c>
      <c r="AJ52" s="140" t="s">
        <v>684</v>
      </c>
      <c r="AK52" s="140" t="s">
        <v>685</v>
      </c>
      <c r="AL52" s="140" t="s">
        <v>686</v>
      </c>
      <c r="AM52" s="140" t="s">
        <v>286</v>
      </c>
      <c r="AN52" s="140" t="s">
        <v>256</v>
      </c>
      <c r="AO52" s="140" t="s">
        <v>256</v>
      </c>
      <c r="AP52" s="140" t="s">
        <v>256</v>
      </c>
    </row>
    <row r="53" spans="1:42" s="135" customFormat="1" ht="12.75" customHeight="1" x14ac:dyDescent="0.2">
      <c r="A53" s="66" t="s">
        <v>452</v>
      </c>
      <c r="B53" s="140" t="s">
        <v>453</v>
      </c>
      <c r="C53" s="140" t="s">
        <v>254</v>
      </c>
      <c r="D53" s="140" t="s">
        <v>259</v>
      </c>
      <c r="E53" t="s">
        <v>274</v>
      </c>
      <c r="F53" s="140" t="s">
        <v>274</v>
      </c>
      <c r="G53" s="140">
        <v>47</v>
      </c>
      <c r="H53" s="140">
        <v>46</v>
      </c>
      <c r="I53" s="140">
        <v>0</v>
      </c>
      <c r="J53" s="149">
        <v>43190075</v>
      </c>
      <c r="K53" s="142">
        <v>22460305</v>
      </c>
      <c r="L53" s="153">
        <v>1947908.6</v>
      </c>
      <c r="M53" s="153">
        <v>0</v>
      </c>
      <c r="N53" s="66" t="s">
        <v>254</v>
      </c>
      <c r="O53" s="66" t="s">
        <v>55</v>
      </c>
      <c r="P53" s="66" t="s">
        <v>239</v>
      </c>
      <c r="Q53" s="140">
        <v>119</v>
      </c>
      <c r="R53" s="140">
        <v>0</v>
      </c>
      <c r="S53" s="140">
        <v>10</v>
      </c>
      <c r="T53" s="140">
        <v>20</v>
      </c>
      <c r="U53" s="140">
        <v>10</v>
      </c>
      <c r="V53" s="140">
        <v>10</v>
      </c>
      <c r="W53" s="140">
        <v>10</v>
      </c>
      <c r="X53" s="140">
        <v>8</v>
      </c>
      <c r="Y53" s="140">
        <v>10</v>
      </c>
      <c r="Z53" s="140">
        <v>9</v>
      </c>
      <c r="AA53" s="140">
        <v>10</v>
      </c>
      <c r="AB53" s="140">
        <v>10</v>
      </c>
      <c r="AC53" s="140">
        <v>12</v>
      </c>
      <c r="AD53" s="154">
        <v>1.0927459006440199</v>
      </c>
      <c r="AE53" s="155" t="s">
        <v>258</v>
      </c>
      <c r="AF53" s="140" t="s">
        <v>495</v>
      </c>
      <c r="AG53" s="140" t="s">
        <v>544</v>
      </c>
      <c r="AH53" s="140" t="s">
        <v>687</v>
      </c>
      <c r="AI53" s="140" t="s">
        <v>688</v>
      </c>
      <c r="AJ53" s="140" t="s">
        <v>256</v>
      </c>
      <c r="AK53" s="140" t="s">
        <v>689</v>
      </c>
      <c r="AL53" s="140" t="s">
        <v>690</v>
      </c>
      <c r="AM53" s="140" t="s">
        <v>256</v>
      </c>
      <c r="AN53" s="140" t="s">
        <v>691</v>
      </c>
      <c r="AO53" s="140" t="s">
        <v>692</v>
      </c>
      <c r="AP53" s="140" t="s">
        <v>256</v>
      </c>
    </row>
    <row r="54" spans="1:42" s="135" customFormat="1" ht="12.75" customHeight="1" x14ac:dyDescent="0.2">
      <c r="A54" s="66" t="s">
        <v>454</v>
      </c>
      <c r="B54" s="140" t="s">
        <v>455</v>
      </c>
      <c r="C54" s="140" t="s">
        <v>254</v>
      </c>
      <c r="D54" s="140" t="s">
        <v>259</v>
      </c>
      <c r="E54" t="s">
        <v>456</v>
      </c>
      <c r="F54" s="140" t="s">
        <v>260</v>
      </c>
      <c r="G54" s="140">
        <v>228</v>
      </c>
      <c r="H54" s="140">
        <v>226</v>
      </c>
      <c r="I54" s="140">
        <v>0</v>
      </c>
      <c r="J54" s="149">
        <v>89389242</v>
      </c>
      <c r="K54" s="142">
        <v>45599495</v>
      </c>
      <c r="L54" s="153">
        <v>4259225</v>
      </c>
      <c r="M54" s="153">
        <v>0</v>
      </c>
      <c r="N54" s="66" t="s">
        <v>254</v>
      </c>
      <c r="O54" s="66"/>
      <c r="P54" s="66" t="s">
        <v>275</v>
      </c>
      <c r="Q54" s="140">
        <v>117</v>
      </c>
      <c r="R54" s="140">
        <v>0</v>
      </c>
      <c r="S54" s="140">
        <v>10</v>
      </c>
      <c r="T54" s="140">
        <v>20</v>
      </c>
      <c r="U54" s="140">
        <v>10</v>
      </c>
      <c r="V54" s="140">
        <v>10</v>
      </c>
      <c r="W54" s="140">
        <v>10</v>
      </c>
      <c r="X54" s="140">
        <v>8</v>
      </c>
      <c r="Y54" s="140">
        <v>10</v>
      </c>
      <c r="Z54" s="140">
        <v>10</v>
      </c>
      <c r="AA54" s="140">
        <v>10</v>
      </c>
      <c r="AB54" s="140">
        <v>10</v>
      </c>
      <c r="AC54" s="140">
        <v>12</v>
      </c>
      <c r="AD54" s="154">
        <v>1.07667</v>
      </c>
      <c r="AE54" s="155" t="s">
        <v>258</v>
      </c>
      <c r="AF54" s="140" t="s">
        <v>251</v>
      </c>
      <c r="AG54" s="140" t="s">
        <v>545</v>
      </c>
      <c r="AH54" s="140" t="s">
        <v>596</v>
      </c>
      <c r="AI54" s="140" t="s">
        <v>597</v>
      </c>
      <c r="AJ54" s="140" t="s">
        <v>304</v>
      </c>
      <c r="AK54" s="140" t="s">
        <v>693</v>
      </c>
      <c r="AL54" s="140" t="s">
        <v>599</v>
      </c>
      <c r="AM54" s="140" t="s">
        <v>600</v>
      </c>
      <c r="AN54" s="140" t="s">
        <v>256</v>
      </c>
      <c r="AO54" s="140" t="s">
        <v>256</v>
      </c>
      <c r="AP54" s="140" t="s">
        <v>256</v>
      </c>
    </row>
    <row r="55" spans="1:42" s="135" customFormat="1" ht="12.75" customHeight="1" x14ac:dyDescent="0.2">
      <c r="A55" s="66" t="s">
        <v>457</v>
      </c>
      <c r="B55" s="140" t="s">
        <v>458</v>
      </c>
      <c r="C55" s="140" t="s">
        <v>272</v>
      </c>
      <c r="D55" s="140" t="s">
        <v>273</v>
      </c>
      <c r="E55" t="s">
        <v>274</v>
      </c>
      <c r="F55" s="140" t="s">
        <v>274</v>
      </c>
      <c r="G55" s="140">
        <v>96</v>
      </c>
      <c r="H55" s="140">
        <v>93</v>
      </c>
      <c r="I55" s="140">
        <v>0</v>
      </c>
      <c r="J55" s="149">
        <v>31882392</v>
      </c>
      <c r="K55" s="142">
        <v>13660000</v>
      </c>
      <c r="L55" s="153"/>
      <c r="M55" s="153"/>
      <c r="N55" s="66" t="s">
        <v>270</v>
      </c>
      <c r="O55" s="66"/>
      <c r="P55" s="66" t="s">
        <v>239</v>
      </c>
      <c r="Q55" s="140">
        <v>90</v>
      </c>
      <c r="R55" s="140">
        <v>0</v>
      </c>
      <c r="S55" s="140">
        <v>0</v>
      </c>
      <c r="T55" s="140">
        <v>20</v>
      </c>
      <c r="U55" s="140">
        <v>10</v>
      </c>
      <c r="V55" s="140">
        <v>10</v>
      </c>
      <c r="W55" s="140">
        <v>0</v>
      </c>
      <c r="X55" s="140">
        <v>8</v>
      </c>
      <c r="Y55" s="140">
        <v>10</v>
      </c>
      <c r="Z55" s="140">
        <v>0</v>
      </c>
      <c r="AA55" s="140">
        <v>10</v>
      </c>
      <c r="AB55" s="140">
        <v>10</v>
      </c>
      <c r="AC55" s="140">
        <v>12</v>
      </c>
      <c r="AD55" s="154">
        <v>1.8344100000000001</v>
      </c>
      <c r="AE55" s="155" t="s">
        <v>258</v>
      </c>
      <c r="AF55" s="140" t="s">
        <v>491</v>
      </c>
      <c r="AG55" s="140" t="s">
        <v>546</v>
      </c>
      <c r="AH55" s="140" t="s">
        <v>694</v>
      </c>
      <c r="AI55" s="140" t="s">
        <v>695</v>
      </c>
      <c r="AJ55" s="140" t="s">
        <v>256</v>
      </c>
      <c r="AK55" s="140" t="s">
        <v>696</v>
      </c>
      <c r="AL55" s="140" t="s">
        <v>697</v>
      </c>
      <c r="AM55" s="140" t="s">
        <v>256</v>
      </c>
      <c r="AN55" s="140" t="s">
        <v>256</v>
      </c>
      <c r="AO55" s="140" t="s">
        <v>256</v>
      </c>
      <c r="AP55" s="140" t="s">
        <v>256</v>
      </c>
    </row>
    <row r="56" spans="1:42" s="135" customFormat="1" ht="12.75" customHeight="1" x14ac:dyDescent="0.2">
      <c r="A56" s="66" t="s">
        <v>459</v>
      </c>
      <c r="B56" s="140" t="s">
        <v>460</v>
      </c>
      <c r="C56" s="140" t="s">
        <v>272</v>
      </c>
      <c r="D56" s="140" t="s">
        <v>273</v>
      </c>
      <c r="E56" t="s">
        <v>274</v>
      </c>
      <c r="F56" s="140" t="s">
        <v>274</v>
      </c>
      <c r="G56" s="140">
        <v>65</v>
      </c>
      <c r="H56" s="140">
        <v>64</v>
      </c>
      <c r="I56" s="140">
        <v>0</v>
      </c>
      <c r="J56" s="149">
        <v>26898987</v>
      </c>
      <c r="K56" s="142">
        <v>12900000</v>
      </c>
      <c r="L56" s="153">
        <v>1253150.3999999999</v>
      </c>
      <c r="M56" s="153">
        <v>0</v>
      </c>
      <c r="N56" s="66" t="s">
        <v>270</v>
      </c>
      <c r="O56" s="66"/>
      <c r="P56" s="66" t="s">
        <v>239</v>
      </c>
      <c r="Q56" s="140">
        <v>90</v>
      </c>
      <c r="R56" s="140">
        <v>0</v>
      </c>
      <c r="S56" s="140">
        <v>0</v>
      </c>
      <c r="T56" s="140">
        <v>20</v>
      </c>
      <c r="U56" s="140">
        <v>10</v>
      </c>
      <c r="V56" s="140">
        <v>10</v>
      </c>
      <c r="W56" s="140">
        <v>0</v>
      </c>
      <c r="X56" s="140">
        <v>8</v>
      </c>
      <c r="Y56" s="140">
        <v>10</v>
      </c>
      <c r="Z56" s="140">
        <v>0</v>
      </c>
      <c r="AA56" s="140">
        <v>10</v>
      </c>
      <c r="AB56" s="140">
        <v>10</v>
      </c>
      <c r="AC56" s="140">
        <v>12</v>
      </c>
      <c r="AD56" s="154">
        <v>1.4596199999999999</v>
      </c>
      <c r="AE56" s="155" t="s">
        <v>258</v>
      </c>
      <c r="AF56" s="140" t="s">
        <v>491</v>
      </c>
      <c r="AG56" s="140" t="s">
        <v>547</v>
      </c>
      <c r="AH56" s="140" t="s">
        <v>698</v>
      </c>
      <c r="AI56" s="140" t="s">
        <v>695</v>
      </c>
      <c r="AJ56" s="140" t="s">
        <v>256</v>
      </c>
      <c r="AK56" s="140" t="s">
        <v>696</v>
      </c>
      <c r="AL56" s="140" t="s">
        <v>697</v>
      </c>
      <c r="AM56" s="140" t="s">
        <v>256</v>
      </c>
      <c r="AN56" s="140" t="s">
        <v>256</v>
      </c>
      <c r="AO56" s="140" t="s">
        <v>256</v>
      </c>
      <c r="AP56" s="140" t="s">
        <v>256</v>
      </c>
    </row>
    <row r="57" spans="1:42" s="135" customFormat="1" ht="12.75" customHeight="1" x14ac:dyDescent="0.2">
      <c r="A57" s="66" t="s">
        <v>461</v>
      </c>
      <c r="B57" s="140" t="s">
        <v>462</v>
      </c>
      <c r="C57" s="140" t="s">
        <v>272</v>
      </c>
      <c r="D57" s="140" t="s">
        <v>273</v>
      </c>
      <c r="E57" t="s">
        <v>463</v>
      </c>
      <c r="F57" s="140" t="s">
        <v>285</v>
      </c>
      <c r="G57" s="140">
        <v>62</v>
      </c>
      <c r="H57" s="140">
        <v>61</v>
      </c>
      <c r="I57" s="140">
        <v>0</v>
      </c>
      <c r="J57" s="149">
        <v>47207781.211974002</v>
      </c>
      <c r="K57" s="142">
        <v>24000000</v>
      </c>
      <c r="L57" s="153">
        <v>1052423</v>
      </c>
      <c r="M57" s="153">
        <v>0</v>
      </c>
      <c r="N57" s="66" t="s">
        <v>270</v>
      </c>
      <c r="O57" s="66"/>
      <c r="P57" s="66" t="s">
        <v>261</v>
      </c>
      <c r="Q57" s="140">
        <v>110</v>
      </c>
      <c r="R57" s="140">
        <v>20</v>
      </c>
      <c r="S57" s="140">
        <v>0</v>
      </c>
      <c r="T57" s="140">
        <v>20</v>
      </c>
      <c r="U57" s="140">
        <v>10</v>
      </c>
      <c r="V57" s="140">
        <v>10</v>
      </c>
      <c r="W57" s="140">
        <v>0</v>
      </c>
      <c r="X57" s="140">
        <v>8</v>
      </c>
      <c r="Y57" s="140">
        <v>10</v>
      </c>
      <c r="Z57" s="140">
        <v>0</v>
      </c>
      <c r="AA57" s="140">
        <v>10</v>
      </c>
      <c r="AB57" s="140">
        <v>10</v>
      </c>
      <c r="AC57" s="140">
        <v>12</v>
      </c>
      <c r="AD57" s="154">
        <v>1.1193958766204739</v>
      </c>
      <c r="AE57" s="155" t="s">
        <v>258</v>
      </c>
      <c r="AF57" s="140" t="s">
        <v>252</v>
      </c>
      <c r="AG57" s="140" t="s">
        <v>548</v>
      </c>
      <c r="AH57" s="140" t="s">
        <v>548</v>
      </c>
      <c r="AI57" s="140" t="s">
        <v>699</v>
      </c>
      <c r="AJ57" s="140" t="s">
        <v>700</v>
      </c>
      <c r="AK57" s="140" t="s">
        <v>296</v>
      </c>
      <c r="AL57" s="140" t="s">
        <v>295</v>
      </c>
      <c r="AM57" s="140" t="s">
        <v>256</v>
      </c>
      <c r="AN57" s="140" t="s">
        <v>256</v>
      </c>
      <c r="AO57" s="140" t="s">
        <v>256</v>
      </c>
      <c r="AP57" s="140" t="s">
        <v>256</v>
      </c>
    </row>
    <row r="58" spans="1:42" s="135" customFormat="1" ht="12.75" customHeight="1" x14ac:dyDescent="0.2">
      <c r="A58" s="66" t="s">
        <v>464</v>
      </c>
      <c r="B58" s="140" t="s">
        <v>465</v>
      </c>
      <c r="C58" s="140" t="s">
        <v>272</v>
      </c>
      <c r="D58" s="140" t="s">
        <v>298</v>
      </c>
      <c r="E58" t="s">
        <v>466</v>
      </c>
      <c r="F58" s="140" t="s">
        <v>274</v>
      </c>
      <c r="G58" s="140">
        <v>89</v>
      </c>
      <c r="H58" s="140">
        <v>87</v>
      </c>
      <c r="I58" s="140">
        <v>0</v>
      </c>
      <c r="J58" s="149">
        <v>37907347</v>
      </c>
      <c r="K58" s="142">
        <v>20000000</v>
      </c>
      <c r="L58" s="153">
        <v>1756089.9</v>
      </c>
      <c r="M58" s="153">
        <v>0</v>
      </c>
      <c r="N58" s="66" t="s">
        <v>270</v>
      </c>
      <c r="O58" s="66"/>
      <c r="P58" s="66" t="s">
        <v>239</v>
      </c>
      <c r="Q58" s="140">
        <v>90</v>
      </c>
      <c r="R58" s="140">
        <v>0</v>
      </c>
      <c r="S58" s="140">
        <v>0</v>
      </c>
      <c r="T58" s="140">
        <v>20</v>
      </c>
      <c r="U58" s="140">
        <v>10</v>
      </c>
      <c r="V58" s="140">
        <v>10</v>
      </c>
      <c r="W58" s="140">
        <v>0</v>
      </c>
      <c r="X58" s="140">
        <v>8</v>
      </c>
      <c r="Y58" s="140">
        <v>10</v>
      </c>
      <c r="Z58" s="140">
        <v>0</v>
      </c>
      <c r="AA58" s="140">
        <v>10</v>
      </c>
      <c r="AB58" s="140">
        <v>10</v>
      </c>
      <c r="AC58" s="140">
        <v>12</v>
      </c>
      <c r="AD58" s="154">
        <v>1.2504</v>
      </c>
      <c r="AE58" s="155" t="s">
        <v>258</v>
      </c>
      <c r="AF58" s="140" t="s">
        <v>491</v>
      </c>
      <c r="AG58" s="140" t="s">
        <v>549</v>
      </c>
      <c r="AH58" s="140" t="s">
        <v>701</v>
      </c>
      <c r="AI58" s="140" t="s">
        <v>695</v>
      </c>
      <c r="AJ58" s="140" t="s">
        <v>256</v>
      </c>
      <c r="AK58" s="140" t="s">
        <v>696</v>
      </c>
      <c r="AL58" s="140" t="s">
        <v>697</v>
      </c>
      <c r="AM58" s="140" t="s">
        <v>256</v>
      </c>
      <c r="AN58" s="140" t="s">
        <v>256</v>
      </c>
      <c r="AO58" s="140" t="s">
        <v>256</v>
      </c>
      <c r="AP58" s="140" t="s">
        <v>256</v>
      </c>
    </row>
    <row r="59" spans="1:42" s="135" customFormat="1" ht="12.75" customHeight="1" x14ac:dyDescent="0.2">
      <c r="A59" s="66" t="s">
        <v>467</v>
      </c>
      <c r="B59" s="140" t="s">
        <v>468</v>
      </c>
      <c r="C59" s="140" t="s">
        <v>272</v>
      </c>
      <c r="D59" s="140" t="s">
        <v>259</v>
      </c>
      <c r="E59" t="s">
        <v>307</v>
      </c>
      <c r="F59" s="140" t="s">
        <v>307</v>
      </c>
      <c r="G59" s="140">
        <v>157</v>
      </c>
      <c r="H59" s="140">
        <v>156</v>
      </c>
      <c r="I59" s="140">
        <v>0</v>
      </c>
      <c r="J59" s="149">
        <v>144109570.96730226</v>
      </c>
      <c r="K59" s="142">
        <v>73000000</v>
      </c>
      <c r="L59" s="153">
        <v>1269891</v>
      </c>
      <c r="M59" s="153">
        <v>0</v>
      </c>
      <c r="N59" s="66" t="s">
        <v>270</v>
      </c>
      <c r="O59" s="66"/>
      <c r="P59" s="66" t="s">
        <v>261</v>
      </c>
      <c r="Q59" s="140">
        <v>110</v>
      </c>
      <c r="R59" s="140">
        <v>20</v>
      </c>
      <c r="S59" s="140">
        <v>0</v>
      </c>
      <c r="T59" s="140">
        <v>20</v>
      </c>
      <c r="U59" s="140">
        <v>10</v>
      </c>
      <c r="V59" s="140">
        <v>10</v>
      </c>
      <c r="W59" s="140">
        <v>0</v>
      </c>
      <c r="X59" s="140">
        <v>8</v>
      </c>
      <c r="Y59" s="140">
        <v>10</v>
      </c>
      <c r="Z59" s="140">
        <v>0</v>
      </c>
      <c r="AA59" s="140">
        <v>10</v>
      </c>
      <c r="AB59" s="140">
        <v>10</v>
      </c>
      <c r="AC59" s="140">
        <v>12</v>
      </c>
      <c r="AD59" s="154">
        <v>1.5273025023223632</v>
      </c>
      <c r="AE59" s="155" t="s">
        <v>258</v>
      </c>
      <c r="AF59" s="140" t="s">
        <v>492</v>
      </c>
      <c r="AG59" s="140" t="s">
        <v>550</v>
      </c>
      <c r="AH59" s="140" t="s">
        <v>702</v>
      </c>
      <c r="AI59" s="140" t="s">
        <v>703</v>
      </c>
      <c r="AJ59" s="140" t="s">
        <v>256</v>
      </c>
      <c r="AK59" s="140" t="s">
        <v>704</v>
      </c>
      <c r="AL59" s="140" t="s">
        <v>647</v>
      </c>
      <c r="AM59" s="140" t="s">
        <v>648</v>
      </c>
      <c r="AN59" s="140" t="s">
        <v>256</v>
      </c>
      <c r="AO59" s="140" t="s">
        <v>256</v>
      </c>
      <c r="AP59" s="140" t="s">
        <v>256</v>
      </c>
    </row>
    <row r="60" spans="1:42" s="135" customFormat="1" ht="12.75" customHeight="1" x14ac:dyDescent="0.2">
      <c r="A60" s="66" t="s">
        <v>469</v>
      </c>
      <c r="B60" s="140" t="s">
        <v>470</v>
      </c>
      <c r="C60" s="140" t="s">
        <v>272</v>
      </c>
      <c r="D60" s="140" t="s">
        <v>259</v>
      </c>
      <c r="E60" t="s">
        <v>307</v>
      </c>
      <c r="F60" s="140" t="s">
        <v>307</v>
      </c>
      <c r="G60" s="140">
        <v>146</v>
      </c>
      <c r="H60" s="140">
        <v>144</v>
      </c>
      <c r="I60" s="140">
        <v>0</v>
      </c>
      <c r="J60" s="149">
        <v>113149547.78704357</v>
      </c>
      <c r="K60" s="142">
        <v>57000000</v>
      </c>
      <c r="L60" s="153">
        <v>5705935.2000000002</v>
      </c>
      <c r="M60" s="153">
        <v>0</v>
      </c>
      <c r="N60" s="66" t="s">
        <v>270</v>
      </c>
      <c r="O60" s="66"/>
      <c r="P60" s="66" t="s">
        <v>261</v>
      </c>
      <c r="Q60" s="140">
        <v>110</v>
      </c>
      <c r="R60" s="140">
        <v>20</v>
      </c>
      <c r="S60" s="140">
        <v>0</v>
      </c>
      <c r="T60" s="140">
        <v>20</v>
      </c>
      <c r="U60" s="140">
        <v>10</v>
      </c>
      <c r="V60" s="140">
        <v>10</v>
      </c>
      <c r="W60" s="140">
        <v>0</v>
      </c>
      <c r="X60" s="140">
        <v>8</v>
      </c>
      <c r="Y60" s="140">
        <v>10</v>
      </c>
      <c r="Z60" s="140">
        <v>0</v>
      </c>
      <c r="AA60" s="140">
        <v>10</v>
      </c>
      <c r="AB60" s="140">
        <v>10</v>
      </c>
      <c r="AC60" s="140">
        <v>12</v>
      </c>
      <c r="AD60" s="154">
        <v>1.6479222349048332</v>
      </c>
      <c r="AE60" s="155" t="s">
        <v>258</v>
      </c>
      <c r="AF60" s="140" t="s">
        <v>492</v>
      </c>
      <c r="AG60" s="140" t="s">
        <v>551</v>
      </c>
      <c r="AH60" s="140" t="s">
        <v>702</v>
      </c>
      <c r="AI60" s="140" t="s">
        <v>703</v>
      </c>
      <c r="AJ60" s="140" t="s">
        <v>256</v>
      </c>
      <c r="AK60" s="140" t="s">
        <v>705</v>
      </c>
      <c r="AL60" s="140" t="s">
        <v>647</v>
      </c>
      <c r="AM60" s="140" t="s">
        <v>648</v>
      </c>
      <c r="AN60" s="140" t="s">
        <v>256</v>
      </c>
      <c r="AO60" s="140" t="s">
        <v>256</v>
      </c>
      <c r="AP60" s="140" t="s">
        <v>256</v>
      </c>
    </row>
    <row r="61" spans="1:42" s="135" customFormat="1" x14ac:dyDescent="0.2">
      <c r="A61" s="66" t="s">
        <v>471</v>
      </c>
      <c r="B61" s="140" t="s">
        <v>472</v>
      </c>
      <c r="C61" s="140" t="s">
        <v>272</v>
      </c>
      <c r="D61" s="140" t="s">
        <v>259</v>
      </c>
      <c r="E61" t="s">
        <v>307</v>
      </c>
      <c r="F61" s="140" t="s">
        <v>307</v>
      </c>
      <c r="G61" s="140">
        <v>145</v>
      </c>
      <c r="H61" s="140">
        <v>142</v>
      </c>
      <c r="I61" s="140">
        <v>0</v>
      </c>
      <c r="J61" s="149">
        <v>127672997.08019939</v>
      </c>
      <c r="K61" s="142">
        <v>63500000</v>
      </c>
      <c r="L61" s="153">
        <v>4524406.2</v>
      </c>
      <c r="M61" s="153">
        <v>0</v>
      </c>
      <c r="N61" s="66" t="s">
        <v>270</v>
      </c>
      <c r="O61" s="66"/>
      <c r="P61" s="66" t="s">
        <v>261</v>
      </c>
      <c r="Q61" s="140">
        <v>110</v>
      </c>
      <c r="R61" s="140">
        <v>20</v>
      </c>
      <c r="S61" s="140">
        <v>0</v>
      </c>
      <c r="T61" s="140">
        <v>20</v>
      </c>
      <c r="U61" s="140">
        <v>10</v>
      </c>
      <c r="V61" s="140">
        <v>10</v>
      </c>
      <c r="W61" s="140">
        <v>0</v>
      </c>
      <c r="X61" s="140">
        <v>8</v>
      </c>
      <c r="Y61" s="140">
        <v>10</v>
      </c>
      <c r="Z61" s="140">
        <v>0</v>
      </c>
      <c r="AA61" s="140">
        <v>10</v>
      </c>
      <c r="AB61" s="140">
        <v>10</v>
      </c>
      <c r="AC61" s="140">
        <v>12</v>
      </c>
      <c r="AD61" s="154">
        <v>1.5663504804038131</v>
      </c>
      <c r="AE61" s="155" t="s">
        <v>258</v>
      </c>
      <c r="AF61" s="140" t="s">
        <v>492</v>
      </c>
      <c r="AG61" s="140" t="s">
        <v>552</v>
      </c>
      <c r="AH61" s="140" t="s">
        <v>702</v>
      </c>
      <c r="AI61" s="140" t="s">
        <v>703</v>
      </c>
      <c r="AJ61" s="140" t="s">
        <v>256</v>
      </c>
      <c r="AK61" s="140" t="s">
        <v>706</v>
      </c>
      <c r="AL61" s="140" t="s">
        <v>647</v>
      </c>
      <c r="AM61" s="140" t="s">
        <v>648</v>
      </c>
      <c r="AN61" s="140" t="s">
        <v>256</v>
      </c>
      <c r="AO61" s="140" t="s">
        <v>256</v>
      </c>
      <c r="AP61" s="140" t="s">
        <v>256</v>
      </c>
    </row>
    <row r="62" spans="1:42" s="135" customFormat="1" x14ac:dyDescent="0.2">
      <c r="A62" s="66" t="s">
        <v>473</v>
      </c>
      <c r="B62" s="140" t="s">
        <v>474</v>
      </c>
      <c r="C62" s="140" t="s">
        <v>272</v>
      </c>
      <c r="D62" s="140" t="s">
        <v>273</v>
      </c>
      <c r="E62" t="s">
        <v>284</v>
      </c>
      <c r="F62" s="140" t="s">
        <v>285</v>
      </c>
      <c r="G62" s="140">
        <v>146</v>
      </c>
      <c r="H62" s="140">
        <v>145</v>
      </c>
      <c r="I62" s="140">
        <v>0</v>
      </c>
      <c r="J62" s="149">
        <v>64160390.199104711</v>
      </c>
      <c r="K62" s="142">
        <v>32265881</v>
      </c>
      <c r="L62" s="153">
        <v>5077618.2</v>
      </c>
      <c r="M62" s="153">
        <v>0</v>
      </c>
      <c r="N62" s="66" t="s">
        <v>281</v>
      </c>
      <c r="O62" s="66"/>
      <c r="P62" s="66" t="s">
        <v>261</v>
      </c>
      <c r="Q62" s="140">
        <v>110</v>
      </c>
      <c r="R62" s="140">
        <v>20</v>
      </c>
      <c r="S62" s="140">
        <v>0</v>
      </c>
      <c r="T62" s="140">
        <v>20</v>
      </c>
      <c r="U62" s="140">
        <v>10</v>
      </c>
      <c r="V62" s="140">
        <v>10</v>
      </c>
      <c r="W62" s="140">
        <v>0</v>
      </c>
      <c r="X62" s="140">
        <v>8</v>
      </c>
      <c r="Y62" s="140">
        <v>10</v>
      </c>
      <c r="Z62" s="140">
        <v>0</v>
      </c>
      <c r="AA62" s="140">
        <v>10</v>
      </c>
      <c r="AB62" s="140">
        <v>10</v>
      </c>
      <c r="AC62" s="140">
        <v>12</v>
      </c>
      <c r="AD62" s="154">
        <v>2.3696799999999998</v>
      </c>
      <c r="AE62" s="155" t="s">
        <v>258</v>
      </c>
      <c r="AF62" s="140" t="s">
        <v>252</v>
      </c>
      <c r="AG62" s="140" t="s">
        <v>553</v>
      </c>
      <c r="AH62" s="140" t="s">
        <v>682</v>
      </c>
      <c r="AI62" s="140" t="s">
        <v>683</v>
      </c>
      <c r="AJ62" s="140" t="s">
        <v>684</v>
      </c>
      <c r="AK62" s="140" t="s">
        <v>685</v>
      </c>
      <c r="AL62" s="140" t="s">
        <v>256</v>
      </c>
      <c r="AM62" s="140" t="s">
        <v>286</v>
      </c>
      <c r="AN62" s="140" t="s">
        <v>256</v>
      </c>
      <c r="AO62" s="140" t="s">
        <v>256</v>
      </c>
      <c r="AP62" s="140" t="s">
        <v>256</v>
      </c>
    </row>
    <row r="63" spans="1:42" s="135" customFormat="1" x14ac:dyDescent="0.2">
      <c r="A63" s="66" t="s">
        <v>475</v>
      </c>
      <c r="B63" s="140" t="s">
        <v>476</v>
      </c>
      <c r="C63" s="140" t="s">
        <v>272</v>
      </c>
      <c r="D63" s="140" t="s">
        <v>259</v>
      </c>
      <c r="E63" t="s">
        <v>307</v>
      </c>
      <c r="F63" s="140" t="s">
        <v>307</v>
      </c>
      <c r="G63" s="140">
        <v>156</v>
      </c>
      <c r="H63" s="140">
        <v>154</v>
      </c>
      <c r="I63" s="140">
        <v>0</v>
      </c>
      <c r="J63" s="149">
        <v>140636278.26555723</v>
      </c>
      <c r="K63" s="142">
        <v>71000000</v>
      </c>
      <c r="L63" s="153">
        <v>2549618.4</v>
      </c>
      <c r="M63" s="153">
        <v>0</v>
      </c>
      <c r="N63" s="66" t="s">
        <v>270</v>
      </c>
      <c r="O63" s="66"/>
      <c r="P63" s="66" t="s">
        <v>261</v>
      </c>
      <c r="Q63" s="140">
        <v>110</v>
      </c>
      <c r="R63" s="140">
        <v>20</v>
      </c>
      <c r="S63" s="140">
        <v>0</v>
      </c>
      <c r="T63" s="140">
        <v>20</v>
      </c>
      <c r="U63" s="140">
        <v>10</v>
      </c>
      <c r="V63" s="140">
        <v>10</v>
      </c>
      <c r="W63" s="140">
        <v>0</v>
      </c>
      <c r="X63" s="140">
        <v>8</v>
      </c>
      <c r="Y63" s="140">
        <v>10</v>
      </c>
      <c r="Z63" s="140">
        <v>0</v>
      </c>
      <c r="AA63" s="140">
        <v>10</v>
      </c>
      <c r="AB63" s="140">
        <v>10</v>
      </c>
      <c r="AC63" s="140">
        <v>12</v>
      </c>
      <c r="AD63" s="154">
        <v>1.531319182810998</v>
      </c>
      <c r="AE63" s="155" t="s">
        <v>258</v>
      </c>
      <c r="AF63" s="140" t="s">
        <v>492</v>
      </c>
      <c r="AG63" s="140" t="s">
        <v>554</v>
      </c>
      <c r="AH63" s="140" t="s">
        <v>702</v>
      </c>
      <c r="AI63" s="140" t="s">
        <v>703</v>
      </c>
      <c r="AJ63" s="140" t="s">
        <v>256</v>
      </c>
      <c r="AK63" s="140" t="s">
        <v>707</v>
      </c>
      <c r="AL63" s="140" t="s">
        <v>647</v>
      </c>
      <c r="AM63" s="140" t="s">
        <v>648</v>
      </c>
      <c r="AN63" s="140" t="s">
        <v>256</v>
      </c>
      <c r="AO63" s="140" t="s">
        <v>256</v>
      </c>
      <c r="AP63" s="140" t="s">
        <v>256</v>
      </c>
    </row>
    <row r="64" spans="1:42" s="135" customFormat="1" x14ac:dyDescent="0.2">
      <c r="A64" s="66" t="s">
        <v>477</v>
      </c>
      <c r="B64" s="140" t="s">
        <v>478</v>
      </c>
      <c r="C64" s="140" t="s">
        <v>272</v>
      </c>
      <c r="D64" s="140" t="s">
        <v>273</v>
      </c>
      <c r="E64" t="s">
        <v>260</v>
      </c>
      <c r="F64" s="140" t="s">
        <v>260</v>
      </c>
      <c r="G64" s="140">
        <v>268</v>
      </c>
      <c r="H64" s="140">
        <v>267</v>
      </c>
      <c r="I64" s="140">
        <v>0</v>
      </c>
      <c r="J64" s="149">
        <v>154481788.87015355</v>
      </c>
      <c r="K64" s="142">
        <v>75000000</v>
      </c>
      <c r="L64" s="153">
        <v>5612035.2000000002</v>
      </c>
      <c r="M64" s="153">
        <v>0</v>
      </c>
      <c r="N64" s="66" t="s">
        <v>270</v>
      </c>
      <c r="O64" s="66"/>
      <c r="P64" s="66" t="s">
        <v>275</v>
      </c>
      <c r="Q64" s="140">
        <v>110</v>
      </c>
      <c r="R64" s="140">
        <v>20</v>
      </c>
      <c r="S64" s="140">
        <v>0</v>
      </c>
      <c r="T64" s="140">
        <v>20</v>
      </c>
      <c r="U64" s="140">
        <v>10</v>
      </c>
      <c r="V64" s="140">
        <v>10</v>
      </c>
      <c r="W64" s="140">
        <v>0</v>
      </c>
      <c r="X64" s="140">
        <v>8</v>
      </c>
      <c r="Y64" s="140">
        <v>10</v>
      </c>
      <c r="Z64" s="140">
        <v>0</v>
      </c>
      <c r="AA64" s="140">
        <v>10</v>
      </c>
      <c r="AB64" s="140">
        <v>10</v>
      </c>
      <c r="AC64" s="140">
        <v>12</v>
      </c>
      <c r="AD64" s="154">
        <v>1.8625445400490597</v>
      </c>
      <c r="AE64" s="155" t="s">
        <v>258</v>
      </c>
      <c r="AF64" s="140" t="s">
        <v>489</v>
      </c>
      <c r="AG64" s="140" t="s">
        <v>555</v>
      </c>
      <c r="AH64" s="140" t="s">
        <v>708</v>
      </c>
      <c r="AI64" s="140" t="s">
        <v>709</v>
      </c>
      <c r="AJ64" s="140" t="s">
        <v>710</v>
      </c>
      <c r="AK64" s="140" t="s">
        <v>711</v>
      </c>
      <c r="AL64" s="140" t="s">
        <v>301</v>
      </c>
      <c r="AM64" s="140" t="s">
        <v>302</v>
      </c>
      <c r="AN64" s="140" t="s">
        <v>256</v>
      </c>
      <c r="AO64" s="140" t="s">
        <v>256</v>
      </c>
      <c r="AP64" s="140" t="s">
        <v>256</v>
      </c>
    </row>
    <row r="65" spans="1:42" s="135" customFormat="1" x14ac:dyDescent="0.2">
      <c r="A65" s="66" t="s">
        <v>479</v>
      </c>
      <c r="B65" s="140" t="s">
        <v>480</v>
      </c>
      <c r="C65" s="140" t="s">
        <v>272</v>
      </c>
      <c r="D65" s="140" t="s">
        <v>259</v>
      </c>
      <c r="E65" t="s">
        <v>481</v>
      </c>
      <c r="F65" s="140" t="s">
        <v>260</v>
      </c>
      <c r="G65" s="140">
        <v>69</v>
      </c>
      <c r="H65" s="140">
        <v>68</v>
      </c>
      <c r="I65" s="140">
        <v>0</v>
      </c>
      <c r="J65" s="149">
        <v>22981811</v>
      </c>
      <c r="K65" s="142">
        <v>11700000</v>
      </c>
      <c r="L65" s="153">
        <v>5814441.5999999996</v>
      </c>
      <c r="M65" s="153">
        <v>0</v>
      </c>
      <c r="N65" s="66" t="s">
        <v>270</v>
      </c>
      <c r="O65" s="66"/>
      <c r="P65" s="66" t="s">
        <v>275</v>
      </c>
      <c r="Q65" s="140">
        <v>110</v>
      </c>
      <c r="R65" s="140">
        <v>20</v>
      </c>
      <c r="S65" s="140">
        <v>0</v>
      </c>
      <c r="T65" s="140">
        <v>19.999999999999996</v>
      </c>
      <c r="U65" s="140">
        <v>10</v>
      </c>
      <c r="V65" s="140">
        <v>10</v>
      </c>
      <c r="W65" s="140">
        <v>0</v>
      </c>
      <c r="X65" s="140">
        <v>8</v>
      </c>
      <c r="Y65" s="140">
        <v>10</v>
      </c>
      <c r="Z65" s="140">
        <v>0</v>
      </c>
      <c r="AA65" s="140">
        <v>10</v>
      </c>
      <c r="AB65" s="140">
        <v>10</v>
      </c>
      <c r="AC65" s="140">
        <v>12</v>
      </c>
      <c r="AD65" s="154">
        <v>1.58518</v>
      </c>
      <c r="AE65" s="155" t="s">
        <v>258</v>
      </c>
      <c r="AF65" s="140" t="s">
        <v>251</v>
      </c>
      <c r="AG65" s="140" t="s">
        <v>556</v>
      </c>
      <c r="AH65" s="140" t="s">
        <v>712</v>
      </c>
      <c r="AI65" s="140" t="s">
        <v>713</v>
      </c>
      <c r="AJ65" s="140" t="s">
        <v>714</v>
      </c>
      <c r="AK65" s="140" t="s">
        <v>715</v>
      </c>
      <c r="AL65" s="140" t="s">
        <v>716</v>
      </c>
      <c r="AM65" s="140" t="s">
        <v>717</v>
      </c>
      <c r="AN65" s="140" t="s">
        <v>256</v>
      </c>
      <c r="AO65" s="140" t="s">
        <v>256</v>
      </c>
      <c r="AP65" s="140" t="s">
        <v>256</v>
      </c>
    </row>
    <row r="66" spans="1:42" s="135" customFormat="1" x14ac:dyDescent="0.2">
      <c r="A66" s="66" t="s">
        <v>482</v>
      </c>
      <c r="B66" s="140" t="s">
        <v>483</v>
      </c>
      <c r="C66" s="140" t="s">
        <v>254</v>
      </c>
      <c r="D66" s="140" t="s">
        <v>289</v>
      </c>
      <c r="E66" t="s">
        <v>484</v>
      </c>
      <c r="F66" s="140" t="s">
        <v>303</v>
      </c>
      <c r="G66" s="140">
        <v>24</v>
      </c>
      <c r="H66" s="140">
        <v>23</v>
      </c>
      <c r="I66" s="140">
        <v>0</v>
      </c>
      <c r="J66" s="149">
        <v>18836671</v>
      </c>
      <c r="K66" s="142">
        <v>12720240</v>
      </c>
      <c r="L66" s="153">
        <v>898222</v>
      </c>
      <c r="M66" s="153">
        <v>0</v>
      </c>
      <c r="N66" s="66" t="s">
        <v>254</v>
      </c>
      <c r="O66" s="66" t="s">
        <v>255</v>
      </c>
      <c r="P66" s="66" t="s">
        <v>275</v>
      </c>
      <c r="Q66" s="140">
        <v>120</v>
      </c>
      <c r="R66" s="140">
        <v>0</v>
      </c>
      <c r="S66" s="140">
        <v>10</v>
      </c>
      <c r="T66" s="140">
        <v>20</v>
      </c>
      <c r="U66" s="140">
        <v>10</v>
      </c>
      <c r="V66" s="140">
        <v>10</v>
      </c>
      <c r="W66" s="140">
        <v>10</v>
      </c>
      <c r="X66" s="140">
        <v>8</v>
      </c>
      <c r="Y66" s="140">
        <v>10</v>
      </c>
      <c r="Z66" s="140">
        <v>10</v>
      </c>
      <c r="AA66" s="140">
        <v>10</v>
      </c>
      <c r="AB66" s="140">
        <v>10</v>
      </c>
      <c r="AC66" s="140">
        <v>12</v>
      </c>
      <c r="AD66" s="154">
        <v>0.50778427732579112</v>
      </c>
      <c r="AE66" s="155" t="s">
        <v>258</v>
      </c>
      <c r="AF66" s="140" t="s">
        <v>496</v>
      </c>
      <c r="AG66" s="140" t="s">
        <v>557</v>
      </c>
      <c r="AH66" s="140" t="s">
        <v>718</v>
      </c>
      <c r="AI66" s="140" t="s">
        <v>719</v>
      </c>
      <c r="AJ66" s="140" t="s">
        <v>256</v>
      </c>
      <c r="AK66" s="140" t="s">
        <v>720</v>
      </c>
      <c r="AL66" s="140" t="s">
        <v>721</v>
      </c>
      <c r="AM66" s="140" t="s">
        <v>256</v>
      </c>
      <c r="AN66" s="140" t="s">
        <v>722</v>
      </c>
      <c r="AO66" s="140" t="s">
        <v>721</v>
      </c>
      <c r="AP66" s="140" t="s">
        <v>256</v>
      </c>
    </row>
    <row r="67" spans="1:42" s="135" customFormat="1" x14ac:dyDescent="0.2">
      <c r="A67" s="66" t="s">
        <v>485</v>
      </c>
      <c r="B67" s="141" t="s">
        <v>486</v>
      </c>
      <c r="C67" s="141" t="s">
        <v>272</v>
      </c>
      <c r="D67" s="141" t="s">
        <v>259</v>
      </c>
      <c r="E67" t="s">
        <v>487</v>
      </c>
      <c r="F67" s="141" t="s">
        <v>260</v>
      </c>
      <c r="G67" s="141">
        <v>138</v>
      </c>
      <c r="H67" s="141">
        <v>136</v>
      </c>
      <c r="I67" s="141">
        <v>0</v>
      </c>
      <c r="J67" s="150">
        <v>64876151</v>
      </c>
      <c r="K67" s="142">
        <v>32453732</v>
      </c>
      <c r="L67" s="153">
        <v>807550</v>
      </c>
      <c r="M67" s="153">
        <v>4234298</v>
      </c>
      <c r="N67" s="66" t="s">
        <v>270</v>
      </c>
      <c r="O67" s="66"/>
      <c r="P67" s="141" t="s">
        <v>275</v>
      </c>
      <c r="Q67" s="140">
        <v>110</v>
      </c>
      <c r="R67" s="141">
        <v>20</v>
      </c>
      <c r="S67" s="141">
        <v>0</v>
      </c>
      <c r="T67" s="141">
        <v>20</v>
      </c>
      <c r="U67" s="141">
        <v>10</v>
      </c>
      <c r="V67" s="141">
        <v>10</v>
      </c>
      <c r="W67" s="141">
        <v>0</v>
      </c>
      <c r="X67" s="141">
        <v>8</v>
      </c>
      <c r="Y67" s="141">
        <v>10</v>
      </c>
      <c r="Z67" s="141">
        <v>0</v>
      </c>
      <c r="AA67" s="141">
        <v>10</v>
      </c>
      <c r="AB67" s="141">
        <v>10</v>
      </c>
      <c r="AC67" s="141">
        <v>12</v>
      </c>
      <c r="AD67" s="154">
        <v>1.6203099999999999</v>
      </c>
      <c r="AE67" s="155" t="s">
        <v>258</v>
      </c>
      <c r="AF67" s="140" t="s">
        <v>251</v>
      </c>
      <c r="AG67" s="141" t="s">
        <v>558</v>
      </c>
      <c r="AH67" s="141" t="s">
        <v>558</v>
      </c>
      <c r="AI67" s="141" t="s">
        <v>723</v>
      </c>
      <c r="AJ67" s="140" t="s">
        <v>256</v>
      </c>
      <c r="AK67" s="140" t="s">
        <v>256</v>
      </c>
      <c r="AL67" s="140" t="s">
        <v>256</v>
      </c>
      <c r="AM67" s="140" t="s">
        <v>256</v>
      </c>
      <c r="AN67" s="140" t="s">
        <v>256</v>
      </c>
      <c r="AO67" s="140" t="s">
        <v>256</v>
      </c>
      <c r="AP67" s="140" t="s">
        <v>256</v>
      </c>
    </row>
    <row r="68" spans="1:42" s="135" customFormat="1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50"/>
      <c r="K68" s="143"/>
      <c r="L68" s="143"/>
      <c r="M68" s="143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3"/>
      <c r="AE68" s="136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</row>
    <row r="69" spans="1:42" s="135" customFormat="1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50"/>
      <c r="K69" s="143"/>
      <c r="L69" s="143"/>
      <c r="M69" s="143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3"/>
      <c r="AE69" s="136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</row>
    <row r="70" spans="1:42" s="135" customFormat="1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50"/>
      <c r="K70" s="143"/>
      <c r="L70" s="143"/>
      <c r="M70" s="143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3"/>
      <c r="AE70" s="136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</row>
    <row r="71" spans="1:42" s="135" customFormat="1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50"/>
      <c r="K71" s="143"/>
      <c r="L71" s="143"/>
      <c r="M71" s="143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3"/>
      <c r="AE71" s="136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</row>
    <row r="72" spans="1:42" s="135" customFormat="1" x14ac:dyDescent="0.2">
      <c r="A72" s="141"/>
      <c r="B72" s="141"/>
      <c r="C72" s="141"/>
      <c r="D72" s="141"/>
      <c r="E72" s="141"/>
      <c r="F72" s="141"/>
      <c r="G72" s="141"/>
      <c r="H72" s="141"/>
      <c r="I72" s="141"/>
      <c r="J72" s="150"/>
      <c r="K72" s="143"/>
      <c r="L72" s="143"/>
      <c r="M72" s="143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3"/>
      <c r="AE72" s="136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</row>
    <row r="73" spans="1:42" s="135" customFormat="1" x14ac:dyDescent="0.2">
      <c r="A73" s="141"/>
      <c r="B73" s="141"/>
      <c r="C73" s="141"/>
      <c r="D73" s="141"/>
      <c r="E73" s="141"/>
      <c r="F73" s="141"/>
      <c r="G73" s="141"/>
      <c r="H73" s="141"/>
      <c r="I73" s="141"/>
      <c r="J73" s="150"/>
      <c r="K73" s="143"/>
      <c r="L73" s="143"/>
      <c r="M73" s="143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3"/>
      <c r="AE73" s="136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</row>
    <row r="74" spans="1:42" s="135" customFormat="1" x14ac:dyDescent="0.2">
      <c r="A74" s="141"/>
      <c r="B74" s="141"/>
      <c r="C74" s="141"/>
      <c r="D74" s="141"/>
      <c r="E74" s="141"/>
      <c r="F74" s="141"/>
      <c r="G74" s="141"/>
      <c r="H74" s="141"/>
      <c r="I74" s="141"/>
      <c r="J74" s="150"/>
      <c r="K74" s="143"/>
      <c r="L74" s="143"/>
      <c r="M74" s="143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3"/>
      <c r="AE74" s="136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</row>
    <row r="75" spans="1:42" s="135" customFormat="1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50"/>
      <c r="K75" s="143"/>
      <c r="L75" s="143"/>
      <c r="M75" s="143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3"/>
      <c r="AE75" s="136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</row>
    <row r="76" spans="1:42" s="135" customForma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50"/>
      <c r="K76" s="143"/>
      <c r="L76" s="143"/>
      <c r="M76" s="143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3"/>
      <c r="AE76" s="136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</row>
    <row r="77" spans="1:42" s="135" customFormat="1" x14ac:dyDescent="0.2">
      <c r="A77" s="141"/>
      <c r="B77" s="141"/>
      <c r="C77" s="141"/>
      <c r="D77" s="141"/>
      <c r="E77" s="141"/>
      <c r="F77" s="141"/>
      <c r="G77" s="141"/>
      <c r="H77" s="141"/>
      <c r="I77" s="141"/>
      <c r="J77" s="150"/>
      <c r="K77" s="143"/>
      <c r="L77" s="143"/>
      <c r="M77" s="143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3"/>
      <c r="AE77" s="136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</row>
    <row r="78" spans="1:42" s="135" customFormat="1" x14ac:dyDescent="0.2">
      <c r="A78" s="141"/>
      <c r="B78" s="141"/>
      <c r="C78" s="141"/>
      <c r="D78" s="141"/>
      <c r="E78" s="141"/>
      <c r="F78" s="141"/>
      <c r="G78" s="141"/>
      <c r="H78" s="141"/>
      <c r="I78" s="141"/>
      <c r="J78" s="150"/>
      <c r="K78" s="143"/>
      <c r="L78" s="143"/>
      <c r="M78" s="143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3"/>
      <c r="AE78" s="136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</row>
    <row r="79" spans="1:42" s="135" customFormat="1" x14ac:dyDescent="0.2">
      <c r="A79" s="141"/>
      <c r="B79" s="141"/>
      <c r="C79" s="141"/>
      <c r="D79" s="141"/>
      <c r="E79" s="141"/>
      <c r="F79" s="141"/>
      <c r="G79" s="141"/>
      <c r="H79" s="141"/>
      <c r="I79" s="141"/>
      <c r="J79" s="150"/>
      <c r="K79" s="143"/>
      <c r="L79" s="143"/>
      <c r="M79" s="143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3"/>
      <c r="AE79" s="136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</row>
    <row r="80" spans="1:42" s="135" customFormat="1" x14ac:dyDescent="0.2">
      <c r="A80" s="141"/>
      <c r="B80" s="141"/>
      <c r="C80" s="141"/>
      <c r="D80" s="141"/>
      <c r="E80" s="141"/>
      <c r="F80" s="141"/>
      <c r="G80" s="141"/>
      <c r="H80" s="141"/>
      <c r="I80" s="141"/>
      <c r="J80" s="150"/>
      <c r="K80" s="143"/>
      <c r="L80" s="143"/>
      <c r="M80" s="143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3"/>
      <c r="AE80" s="136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</row>
    <row r="81" spans="1:42" s="135" customFormat="1" x14ac:dyDescent="0.2">
      <c r="A81" s="141"/>
      <c r="B81" s="141"/>
      <c r="C81" s="141"/>
      <c r="D81" s="141"/>
      <c r="E81" s="141"/>
      <c r="F81" s="141"/>
      <c r="G81" s="141"/>
      <c r="H81" s="141"/>
      <c r="I81" s="141"/>
      <c r="J81" s="150"/>
      <c r="K81" s="143"/>
      <c r="L81" s="143"/>
      <c r="M81" s="143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3"/>
      <c r="AE81" s="136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</row>
    <row r="82" spans="1:42" s="135" customFormat="1" x14ac:dyDescent="0.2">
      <c r="A82" s="141"/>
      <c r="B82" s="141"/>
      <c r="C82" s="141"/>
      <c r="D82" s="141"/>
      <c r="E82" s="141"/>
      <c r="F82" s="141"/>
      <c r="G82" s="141"/>
      <c r="H82" s="141"/>
      <c r="I82" s="141"/>
      <c r="J82" s="150"/>
      <c r="K82" s="143"/>
      <c r="L82" s="143"/>
      <c r="M82" s="143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3"/>
      <c r="AE82" s="136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</row>
    <row r="83" spans="1:42" s="135" customFormat="1" x14ac:dyDescent="0.2">
      <c r="A83" s="141"/>
      <c r="B83" s="141"/>
      <c r="C83" s="141"/>
      <c r="D83" s="141"/>
      <c r="E83" s="141"/>
      <c r="F83" s="141"/>
      <c r="G83" s="141"/>
      <c r="H83" s="141"/>
      <c r="I83" s="141"/>
      <c r="J83" s="150"/>
      <c r="K83" s="143"/>
      <c r="L83" s="143"/>
      <c r="M83" s="143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3"/>
      <c r="AE83" s="136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</row>
    <row r="84" spans="1:42" s="135" customFormat="1" x14ac:dyDescent="0.2">
      <c r="A84" s="141"/>
      <c r="B84" s="141"/>
      <c r="C84" s="141"/>
      <c r="D84" s="141"/>
      <c r="E84" s="141"/>
      <c r="F84" s="141"/>
      <c r="G84" s="141"/>
      <c r="H84" s="141"/>
      <c r="I84" s="141"/>
      <c r="J84" s="150"/>
      <c r="K84" s="143"/>
      <c r="L84" s="143"/>
      <c r="M84" s="143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3"/>
      <c r="AE84" s="136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</row>
    <row r="85" spans="1:42" s="135" customFormat="1" x14ac:dyDescent="0.2">
      <c r="A85" s="141"/>
      <c r="B85" s="141"/>
      <c r="C85" s="141"/>
      <c r="D85" s="141"/>
      <c r="E85" s="141"/>
      <c r="F85" s="141"/>
      <c r="G85" s="141"/>
      <c r="H85" s="141"/>
      <c r="I85" s="141"/>
      <c r="J85" s="150"/>
      <c r="K85" s="143"/>
      <c r="L85" s="143"/>
      <c r="M85" s="143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3"/>
      <c r="AE85" s="136"/>
      <c r="AF85" s="141"/>
      <c r="AG85" s="141"/>
      <c r="AH85" s="141"/>
      <c r="AI85" s="141"/>
      <c r="AJ85" s="141"/>
      <c r="AK85" s="141"/>
      <c r="AL85" s="141"/>
      <c r="AM85" s="141"/>
      <c r="AN85" s="141"/>
      <c r="AO85" s="141"/>
      <c r="AP85" s="141"/>
    </row>
    <row r="86" spans="1:42" s="135" customFormat="1" x14ac:dyDescent="0.2">
      <c r="A86" s="141"/>
      <c r="B86" s="141"/>
      <c r="C86" s="141"/>
      <c r="D86" s="141"/>
      <c r="E86" s="141"/>
      <c r="F86" s="141"/>
      <c r="G86" s="141"/>
      <c r="H86" s="141"/>
      <c r="I86" s="141"/>
      <c r="J86" s="150"/>
      <c r="K86" s="143"/>
      <c r="L86" s="143"/>
      <c r="M86" s="143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3"/>
      <c r="AE86" s="136"/>
      <c r="AF86" s="141"/>
      <c r="AG86" s="141"/>
      <c r="AH86" s="141"/>
      <c r="AI86" s="141"/>
      <c r="AJ86" s="141"/>
      <c r="AK86" s="141"/>
      <c r="AL86" s="141"/>
      <c r="AM86" s="141"/>
      <c r="AN86" s="141"/>
      <c r="AO86" s="141"/>
      <c r="AP86" s="141"/>
    </row>
    <row r="87" spans="1:42" s="135" customFormat="1" x14ac:dyDescent="0.2">
      <c r="A87" s="141"/>
      <c r="B87" s="141"/>
      <c r="C87" s="141"/>
      <c r="D87" s="141"/>
      <c r="E87" s="141"/>
      <c r="F87" s="141"/>
      <c r="G87" s="141"/>
      <c r="H87" s="141"/>
      <c r="I87" s="141"/>
      <c r="J87" s="150"/>
      <c r="K87" s="143"/>
      <c r="L87" s="143"/>
      <c r="M87" s="143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3"/>
      <c r="AE87" s="136"/>
      <c r="AF87" s="141"/>
      <c r="AG87" s="141"/>
      <c r="AH87" s="141"/>
      <c r="AI87" s="141"/>
      <c r="AJ87" s="141"/>
      <c r="AK87" s="141"/>
      <c r="AL87" s="141"/>
      <c r="AM87" s="141"/>
      <c r="AN87" s="141"/>
      <c r="AO87" s="141"/>
      <c r="AP87" s="141"/>
    </row>
    <row r="88" spans="1:42" s="135" customFormat="1" x14ac:dyDescent="0.2">
      <c r="A88" s="141"/>
      <c r="B88" s="141"/>
      <c r="C88" s="141"/>
      <c r="D88" s="141"/>
      <c r="E88" s="141"/>
      <c r="F88" s="141"/>
      <c r="G88" s="141"/>
      <c r="H88" s="141"/>
      <c r="I88" s="141"/>
      <c r="J88" s="150"/>
      <c r="K88" s="143"/>
      <c r="L88" s="143"/>
      <c r="M88" s="143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3"/>
      <c r="AE88" s="136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</row>
    <row r="89" spans="1:42" s="135" customFormat="1" x14ac:dyDescent="0.2">
      <c r="A89" s="141"/>
      <c r="B89" s="141"/>
      <c r="C89" s="141"/>
      <c r="D89" s="141"/>
      <c r="E89" s="141"/>
      <c r="F89" s="141"/>
      <c r="G89" s="141"/>
      <c r="H89" s="141"/>
      <c r="I89" s="141"/>
      <c r="J89" s="150"/>
      <c r="K89" s="143"/>
      <c r="L89" s="143"/>
      <c r="M89" s="143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1"/>
      <c r="AB89" s="141"/>
      <c r="AC89" s="141"/>
      <c r="AD89" s="143"/>
      <c r="AE89" s="136"/>
      <c r="AF89" s="141"/>
      <c r="AG89" s="141"/>
      <c r="AH89" s="141"/>
      <c r="AI89" s="141"/>
      <c r="AJ89" s="141"/>
      <c r="AK89" s="141"/>
      <c r="AL89" s="141"/>
      <c r="AM89" s="141"/>
      <c r="AN89" s="141"/>
      <c r="AO89" s="141"/>
      <c r="AP89" s="141"/>
    </row>
    <row r="90" spans="1:42" s="135" customFormat="1" x14ac:dyDescent="0.2">
      <c r="A90" s="141"/>
      <c r="B90" s="141"/>
      <c r="C90" s="141"/>
      <c r="D90" s="141"/>
      <c r="E90" s="141"/>
      <c r="F90" s="141"/>
      <c r="G90" s="141"/>
      <c r="H90" s="141"/>
      <c r="I90" s="141"/>
      <c r="J90" s="150"/>
      <c r="K90" s="143"/>
      <c r="L90" s="143"/>
      <c r="M90" s="143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1"/>
      <c r="AC90" s="141"/>
      <c r="AD90" s="143"/>
      <c r="AE90" s="136"/>
      <c r="AF90" s="141"/>
      <c r="AG90" s="141"/>
      <c r="AH90" s="141"/>
      <c r="AI90" s="141"/>
      <c r="AJ90" s="141"/>
      <c r="AK90" s="141"/>
      <c r="AL90" s="141"/>
      <c r="AM90" s="141"/>
      <c r="AN90" s="141"/>
      <c r="AO90" s="141"/>
      <c r="AP90" s="141"/>
    </row>
    <row r="91" spans="1:42" s="135" customFormat="1" x14ac:dyDescent="0.2">
      <c r="A91" s="141"/>
      <c r="B91" s="141"/>
      <c r="C91" s="141"/>
      <c r="D91" s="141"/>
      <c r="E91" s="141"/>
      <c r="F91" s="141"/>
      <c r="G91" s="141"/>
      <c r="H91" s="141"/>
      <c r="I91" s="141"/>
      <c r="J91" s="150"/>
      <c r="K91" s="143"/>
      <c r="L91" s="143"/>
      <c r="M91" s="143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41"/>
      <c r="AD91" s="143"/>
      <c r="AE91" s="136"/>
      <c r="AF91" s="141"/>
      <c r="AG91" s="141"/>
      <c r="AH91" s="141"/>
      <c r="AI91" s="141"/>
      <c r="AJ91" s="141"/>
      <c r="AK91" s="141"/>
      <c r="AL91" s="141"/>
      <c r="AM91" s="141"/>
      <c r="AN91" s="141"/>
      <c r="AO91" s="141"/>
      <c r="AP91" s="141"/>
    </row>
    <row r="92" spans="1:42" s="135" customFormat="1" x14ac:dyDescent="0.2">
      <c r="A92" s="141"/>
      <c r="B92" s="141"/>
      <c r="C92" s="141"/>
      <c r="D92" s="141"/>
      <c r="E92" s="141"/>
      <c r="F92" s="141"/>
      <c r="G92" s="141"/>
      <c r="H92" s="141"/>
      <c r="I92" s="141"/>
      <c r="J92" s="150"/>
      <c r="K92" s="143"/>
      <c r="L92" s="143"/>
      <c r="M92" s="143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3"/>
      <c r="AE92" s="136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</row>
    <row r="93" spans="1:42" s="135" customFormat="1" x14ac:dyDescent="0.2">
      <c r="A93" s="141"/>
      <c r="B93" s="141"/>
      <c r="C93" s="141"/>
      <c r="D93" s="141"/>
      <c r="E93" s="141"/>
      <c r="F93" s="141"/>
      <c r="G93" s="141"/>
      <c r="H93" s="141"/>
      <c r="I93" s="141"/>
      <c r="J93" s="150"/>
      <c r="K93" s="143"/>
      <c r="L93" s="143"/>
      <c r="M93" s="143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43"/>
      <c r="AE93" s="136"/>
      <c r="AF93" s="141"/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</row>
    <row r="94" spans="1:42" s="135" customFormat="1" x14ac:dyDescent="0.2">
      <c r="A94" s="141"/>
      <c r="B94" s="141"/>
      <c r="C94" s="141"/>
      <c r="D94" s="141"/>
      <c r="E94" s="141"/>
      <c r="F94" s="141"/>
      <c r="G94" s="141"/>
      <c r="H94" s="141"/>
      <c r="I94" s="141"/>
      <c r="J94" s="150"/>
      <c r="K94" s="143"/>
      <c r="L94" s="143"/>
      <c r="M94" s="143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3"/>
      <c r="AE94" s="136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</row>
    <row r="95" spans="1:42" s="135" customFormat="1" x14ac:dyDescent="0.2">
      <c r="A95" s="141"/>
      <c r="B95" s="141"/>
      <c r="C95" s="141"/>
      <c r="D95" s="141"/>
      <c r="E95" s="141"/>
      <c r="F95" s="141"/>
      <c r="G95" s="141"/>
      <c r="H95" s="141"/>
      <c r="I95" s="141"/>
      <c r="J95" s="150"/>
      <c r="K95" s="143"/>
      <c r="L95" s="143"/>
      <c r="M95" s="143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3"/>
      <c r="AE95" s="136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</row>
    <row r="96" spans="1:42" s="135" customFormat="1" x14ac:dyDescent="0.2">
      <c r="A96" s="141"/>
      <c r="B96" s="141"/>
      <c r="C96" s="141"/>
      <c r="D96" s="141"/>
      <c r="E96" s="141"/>
      <c r="F96" s="141"/>
      <c r="G96" s="141"/>
      <c r="H96" s="141"/>
      <c r="I96" s="141"/>
      <c r="J96" s="150"/>
      <c r="K96" s="143"/>
      <c r="L96" s="143"/>
      <c r="M96" s="143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41"/>
      <c r="AD96" s="143"/>
      <c r="AE96" s="136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</row>
    <row r="97" spans="1:42" s="135" customFormat="1" x14ac:dyDescent="0.2">
      <c r="A97" s="141"/>
      <c r="B97" s="141"/>
      <c r="C97" s="141"/>
      <c r="D97" s="141"/>
      <c r="E97" s="141"/>
      <c r="F97" s="141"/>
      <c r="G97" s="141"/>
      <c r="H97" s="141"/>
      <c r="I97" s="141"/>
      <c r="J97" s="150"/>
      <c r="K97" s="143"/>
      <c r="L97" s="143"/>
      <c r="M97" s="143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  <c r="AA97" s="141"/>
      <c r="AB97" s="141"/>
      <c r="AC97" s="141"/>
      <c r="AD97" s="143"/>
      <c r="AE97" s="136"/>
      <c r="AF97" s="141"/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</row>
    <row r="98" spans="1:42" s="135" customFormat="1" x14ac:dyDescent="0.2">
      <c r="A98" s="141"/>
      <c r="B98" s="141"/>
      <c r="C98" s="141"/>
      <c r="D98" s="141"/>
      <c r="E98" s="141"/>
      <c r="F98" s="141"/>
      <c r="G98" s="141"/>
      <c r="H98" s="141"/>
      <c r="I98" s="141"/>
      <c r="J98" s="150"/>
      <c r="K98" s="143"/>
      <c r="L98" s="143"/>
      <c r="M98" s="143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141"/>
      <c r="AD98" s="143"/>
      <c r="AE98" s="136"/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</row>
    <row r="99" spans="1:42" s="135" customFormat="1" x14ac:dyDescent="0.2">
      <c r="A99" s="141"/>
      <c r="B99" s="141"/>
      <c r="C99" s="141"/>
      <c r="D99" s="141"/>
      <c r="E99" s="141"/>
      <c r="F99" s="141"/>
      <c r="G99" s="141"/>
      <c r="H99" s="141"/>
      <c r="I99" s="141"/>
      <c r="J99" s="150"/>
      <c r="K99" s="143"/>
      <c r="L99" s="143"/>
      <c r="M99" s="143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  <c r="AD99" s="143"/>
      <c r="AE99" s="136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</row>
    <row r="100" spans="1:42" s="135" customFormat="1" x14ac:dyDescent="0.2">
      <c r="A100" s="141"/>
      <c r="B100" s="141"/>
      <c r="C100" s="141"/>
      <c r="D100" s="141"/>
      <c r="E100" s="141"/>
      <c r="F100" s="141"/>
      <c r="G100" s="141"/>
      <c r="H100" s="141"/>
      <c r="I100" s="141"/>
      <c r="J100" s="150"/>
      <c r="K100" s="143"/>
      <c r="L100" s="143"/>
      <c r="M100" s="143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1"/>
      <c r="AC100" s="141"/>
      <c r="AD100" s="143"/>
      <c r="AE100" s="136"/>
      <c r="AF100" s="141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</row>
    <row r="101" spans="1:42" s="135" customFormat="1" x14ac:dyDescent="0.2">
      <c r="A101" s="141"/>
      <c r="B101" s="141"/>
      <c r="C101" s="141"/>
      <c r="D101" s="141"/>
      <c r="E101" s="141"/>
      <c r="F101" s="141"/>
      <c r="G101" s="141"/>
      <c r="H101" s="141"/>
      <c r="I101" s="141"/>
      <c r="J101" s="150"/>
      <c r="K101" s="143"/>
      <c r="L101" s="143"/>
      <c r="M101" s="143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  <c r="AA101" s="141"/>
      <c r="AB101" s="141"/>
      <c r="AC101" s="141"/>
      <c r="AD101" s="143"/>
      <c r="AE101" s="136"/>
      <c r="AF101" s="141"/>
      <c r="AG101" s="141"/>
      <c r="AH101" s="141"/>
      <c r="AI101" s="141"/>
      <c r="AJ101" s="141"/>
      <c r="AK101" s="141"/>
      <c r="AL101" s="141"/>
      <c r="AM101" s="141"/>
      <c r="AN101" s="141"/>
      <c r="AO101" s="141"/>
      <c r="AP101" s="141"/>
    </row>
    <row r="102" spans="1:42" s="135" customFormat="1" x14ac:dyDescent="0.2">
      <c r="A102" s="141"/>
      <c r="B102" s="141"/>
      <c r="C102" s="141"/>
      <c r="D102" s="141"/>
      <c r="E102" s="141"/>
      <c r="F102" s="141"/>
      <c r="G102" s="141"/>
      <c r="H102" s="141"/>
      <c r="I102" s="141"/>
      <c r="J102" s="150"/>
      <c r="K102" s="143"/>
      <c r="L102" s="143"/>
      <c r="M102" s="143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43"/>
      <c r="AE102" s="136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</row>
    <row r="103" spans="1:42" s="135" customFormat="1" x14ac:dyDescent="0.2">
      <c r="A103" s="141"/>
      <c r="B103" s="141"/>
      <c r="C103" s="141"/>
      <c r="D103" s="141"/>
      <c r="E103" s="141"/>
      <c r="F103" s="141"/>
      <c r="G103" s="141"/>
      <c r="H103" s="141"/>
      <c r="I103" s="141"/>
      <c r="J103" s="150"/>
      <c r="K103" s="143"/>
      <c r="L103" s="143"/>
      <c r="M103" s="143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  <c r="AD103" s="143"/>
      <c r="AE103" s="136"/>
      <c r="AF103" s="141"/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</row>
    <row r="104" spans="1:42" s="135" customFormat="1" x14ac:dyDescent="0.2">
      <c r="A104" s="141"/>
      <c r="B104" s="141"/>
      <c r="C104" s="141"/>
      <c r="D104" s="141"/>
      <c r="E104" s="141"/>
      <c r="F104" s="141"/>
      <c r="G104" s="141"/>
      <c r="H104" s="141"/>
      <c r="I104" s="141"/>
      <c r="J104" s="150"/>
      <c r="K104" s="143"/>
      <c r="L104" s="143"/>
      <c r="M104" s="143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3"/>
      <c r="AE104" s="136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</row>
    <row r="105" spans="1:42" s="135" customFormat="1" x14ac:dyDescent="0.2">
      <c r="A105" s="141"/>
      <c r="B105" s="141"/>
      <c r="C105" s="141"/>
      <c r="D105" s="141"/>
      <c r="E105" s="141"/>
      <c r="F105" s="141"/>
      <c r="G105" s="141"/>
      <c r="H105" s="141"/>
      <c r="I105" s="141"/>
      <c r="J105" s="150"/>
      <c r="K105" s="143"/>
      <c r="L105" s="143"/>
      <c r="M105" s="143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D105" s="143"/>
      <c r="AE105" s="136"/>
      <c r="AF105" s="141"/>
      <c r="AG105" s="141"/>
      <c r="AH105" s="141"/>
      <c r="AI105" s="141"/>
      <c r="AJ105" s="141"/>
      <c r="AK105" s="141"/>
      <c r="AL105" s="141"/>
      <c r="AM105" s="141"/>
      <c r="AN105" s="141"/>
      <c r="AO105" s="141"/>
      <c r="AP105" s="141"/>
    </row>
    <row r="106" spans="1:42" s="135" customFormat="1" x14ac:dyDescent="0.2">
      <c r="A106" s="141"/>
      <c r="B106" s="141"/>
      <c r="C106" s="141"/>
      <c r="D106" s="141"/>
      <c r="E106" s="141"/>
      <c r="F106" s="141"/>
      <c r="G106" s="141"/>
      <c r="H106" s="141"/>
      <c r="I106" s="141"/>
      <c r="J106" s="150"/>
      <c r="K106" s="143"/>
      <c r="L106" s="143"/>
      <c r="M106" s="143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D106" s="143"/>
      <c r="AE106" s="136"/>
      <c r="AF106" s="141"/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</row>
    <row r="107" spans="1:42" s="135" customFormat="1" x14ac:dyDescent="0.2">
      <c r="A107" s="141"/>
      <c r="B107" s="141"/>
      <c r="C107" s="141"/>
      <c r="D107" s="141"/>
      <c r="E107" s="141"/>
      <c r="F107" s="141"/>
      <c r="G107" s="141"/>
      <c r="H107" s="141"/>
      <c r="I107" s="141"/>
      <c r="J107" s="150"/>
      <c r="K107" s="143"/>
      <c r="L107" s="143"/>
      <c r="M107" s="143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D107" s="143"/>
      <c r="AE107" s="136"/>
      <c r="AF107" s="141"/>
      <c r="AG107" s="141"/>
      <c r="AH107" s="141"/>
      <c r="AI107" s="141"/>
      <c r="AJ107" s="141"/>
      <c r="AK107" s="141"/>
      <c r="AL107" s="141"/>
      <c r="AM107" s="141"/>
      <c r="AN107" s="141"/>
      <c r="AO107" s="141"/>
      <c r="AP107" s="141"/>
    </row>
    <row r="108" spans="1:42" s="135" customFormat="1" x14ac:dyDescent="0.2">
      <c r="A108" s="141"/>
      <c r="B108" s="141"/>
      <c r="C108" s="141"/>
      <c r="D108" s="141"/>
      <c r="E108" s="141"/>
      <c r="F108" s="141"/>
      <c r="G108" s="141"/>
      <c r="H108" s="141"/>
      <c r="I108" s="141"/>
      <c r="J108" s="150"/>
      <c r="K108" s="143"/>
      <c r="L108" s="143"/>
      <c r="M108" s="143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  <c r="AA108" s="141"/>
      <c r="AB108" s="141"/>
      <c r="AC108" s="141"/>
      <c r="AD108" s="143"/>
      <c r="AE108" s="136"/>
      <c r="AF108" s="141"/>
      <c r="AG108" s="141"/>
      <c r="AH108" s="141"/>
      <c r="AI108" s="141"/>
      <c r="AJ108" s="141"/>
      <c r="AK108" s="141"/>
      <c r="AL108" s="141"/>
      <c r="AM108" s="141"/>
      <c r="AN108" s="141"/>
      <c r="AO108" s="141"/>
      <c r="AP108" s="141"/>
    </row>
    <row r="109" spans="1:42" s="135" customFormat="1" x14ac:dyDescent="0.2">
      <c r="A109" s="141"/>
      <c r="B109" s="141"/>
      <c r="C109" s="141"/>
      <c r="D109" s="141"/>
      <c r="E109" s="141"/>
      <c r="F109" s="141"/>
      <c r="G109" s="141"/>
      <c r="H109" s="141"/>
      <c r="I109" s="141"/>
      <c r="J109" s="150"/>
      <c r="K109" s="143"/>
      <c r="L109" s="143"/>
      <c r="M109" s="143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41"/>
      <c r="AA109" s="141"/>
      <c r="AB109" s="141"/>
      <c r="AC109" s="141"/>
      <c r="AD109" s="143"/>
      <c r="AE109" s="136"/>
      <c r="AF109" s="141"/>
      <c r="AG109" s="141"/>
      <c r="AH109" s="141"/>
      <c r="AI109" s="141"/>
      <c r="AJ109" s="141"/>
      <c r="AK109" s="141"/>
      <c r="AL109" s="141"/>
      <c r="AM109" s="141"/>
      <c r="AN109" s="141"/>
      <c r="AO109" s="141"/>
      <c r="AP109" s="141"/>
    </row>
    <row r="110" spans="1:42" s="135" customFormat="1" x14ac:dyDescent="0.2">
      <c r="A110" s="141"/>
      <c r="B110" s="141"/>
      <c r="C110" s="141"/>
      <c r="D110" s="141"/>
      <c r="E110" s="141"/>
      <c r="F110" s="141"/>
      <c r="G110" s="141"/>
      <c r="H110" s="141"/>
      <c r="I110" s="141"/>
      <c r="J110" s="150"/>
      <c r="K110" s="143"/>
      <c r="L110" s="143"/>
      <c r="M110" s="143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  <c r="AA110" s="141"/>
      <c r="AB110" s="141"/>
      <c r="AC110" s="141"/>
      <c r="AD110" s="143"/>
      <c r="AE110" s="136"/>
      <c r="AF110" s="141"/>
      <c r="AG110" s="141"/>
      <c r="AH110" s="141"/>
      <c r="AI110" s="141"/>
      <c r="AJ110" s="141"/>
      <c r="AK110" s="141"/>
      <c r="AL110" s="141"/>
      <c r="AM110" s="141"/>
      <c r="AN110" s="141"/>
      <c r="AO110" s="141"/>
      <c r="AP110" s="141"/>
    </row>
    <row r="111" spans="1:42" s="135" customFormat="1" x14ac:dyDescent="0.2">
      <c r="A111" s="141"/>
      <c r="B111" s="141"/>
      <c r="C111" s="141"/>
      <c r="D111" s="141"/>
      <c r="E111" s="141"/>
      <c r="F111" s="141"/>
      <c r="G111" s="141"/>
      <c r="H111" s="141"/>
      <c r="I111" s="141"/>
      <c r="J111" s="150"/>
      <c r="K111" s="143"/>
      <c r="L111" s="143"/>
      <c r="M111" s="143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  <c r="AD111" s="143"/>
      <c r="AE111" s="136"/>
      <c r="AF111" s="141"/>
      <c r="AG111" s="141"/>
      <c r="AH111" s="141"/>
      <c r="AI111" s="141"/>
      <c r="AJ111" s="141"/>
      <c r="AK111" s="141"/>
      <c r="AL111" s="141"/>
      <c r="AM111" s="141"/>
      <c r="AN111" s="141"/>
      <c r="AO111" s="141"/>
      <c r="AP111" s="141"/>
    </row>
    <row r="112" spans="1:42" s="135" customFormat="1" x14ac:dyDescent="0.2">
      <c r="A112" s="141"/>
      <c r="B112" s="141"/>
      <c r="C112" s="141"/>
      <c r="D112" s="141"/>
      <c r="E112" s="141"/>
      <c r="F112" s="141"/>
      <c r="G112" s="141"/>
      <c r="H112" s="141"/>
      <c r="I112" s="141"/>
      <c r="J112" s="150"/>
      <c r="K112" s="143"/>
      <c r="L112" s="143"/>
      <c r="M112" s="143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  <c r="AA112" s="141"/>
      <c r="AB112" s="141"/>
      <c r="AC112" s="141"/>
      <c r="AD112" s="143"/>
      <c r="AE112" s="136"/>
      <c r="AF112" s="141"/>
      <c r="AG112" s="141"/>
      <c r="AH112" s="141"/>
      <c r="AI112" s="141"/>
      <c r="AJ112" s="141"/>
      <c r="AK112" s="141"/>
      <c r="AL112" s="141"/>
      <c r="AM112" s="141"/>
      <c r="AN112" s="141"/>
      <c r="AO112" s="141"/>
      <c r="AP112" s="141"/>
    </row>
    <row r="113" spans="1:42" s="135" customFormat="1" x14ac:dyDescent="0.2">
      <c r="A113" s="141"/>
      <c r="B113" s="141"/>
      <c r="C113" s="141"/>
      <c r="D113" s="141"/>
      <c r="E113" s="141"/>
      <c r="F113" s="141"/>
      <c r="G113" s="141"/>
      <c r="H113" s="141"/>
      <c r="I113" s="141"/>
      <c r="J113" s="150"/>
      <c r="K113" s="143"/>
      <c r="L113" s="143"/>
      <c r="M113" s="143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1"/>
      <c r="AA113" s="141"/>
      <c r="AB113" s="141"/>
      <c r="AC113" s="141"/>
      <c r="AD113" s="143"/>
      <c r="AE113" s="136"/>
      <c r="AF113" s="141"/>
      <c r="AG113" s="141"/>
      <c r="AH113" s="141"/>
      <c r="AI113" s="141"/>
      <c r="AJ113" s="141"/>
      <c r="AK113" s="141"/>
      <c r="AL113" s="141"/>
      <c r="AM113" s="141"/>
      <c r="AN113" s="141"/>
      <c r="AO113" s="141"/>
      <c r="AP113" s="141"/>
    </row>
    <row r="114" spans="1:42" s="135" customFormat="1" x14ac:dyDescent="0.2">
      <c r="A114" s="141"/>
      <c r="B114" s="141"/>
      <c r="C114" s="141"/>
      <c r="D114" s="141"/>
      <c r="E114" s="141"/>
      <c r="F114" s="141"/>
      <c r="G114" s="141"/>
      <c r="H114" s="141"/>
      <c r="I114" s="141"/>
      <c r="J114" s="150"/>
      <c r="K114" s="143"/>
      <c r="L114" s="143"/>
      <c r="M114" s="143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  <c r="AA114" s="141"/>
      <c r="AB114" s="141"/>
      <c r="AC114" s="141"/>
      <c r="AD114" s="143"/>
      <c r="AE114" s="136"/>
      <c r="AF114" s="141"/>
      <c r="AG114" s="141"/>
      <c r="AH114" s="141"/>
      <c r="AI114" s="141"/>
      <c r="AJ114" s="141"/>
      <c r="AK114" s="141"/>
      <c r="AL114" s="141"/>
      <c r="AM114" s="141"/>
      <c r="AN114" s="141"/>
      <c r="AO114" s="141"/>
      <c r="AP114" s="141"/>
    </row>
    <row r="115" spans="1:42" s="135" customFormat="1" x14ac:dyDescent="0.2">
      <c r="A115" s="141"/>
      <c r="B115" s="141"/>
      <c r="C115" s="141"/>
      <c r="D115" s="141"/>
      <c r="E115" s="141"/>
      <c r="F115" s="141"/>
      <c r="G115" s="141"/>
      <c r="H115" s="141"/>
      <c r="I115" s="141"/>
      <c r="J115" s="150"/>
      <c r="K115" s="143"/>
      <c r="L115" s="143"/>
      <c r="M115" s="143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1"/>
      <c r="AA115" s="141"/>
      <c r="AB115" s="141"/>
      <c r="AC115" s="141"/>
      <c r="AD115" s="143"/>
      <c r="AE115" s="136"/>
      <c r="AF115" s="141"/>
      <c r="AG115" s="141"/>
      <c r="AH115" s="141"/>
      <c r="AI115" s="141"/>
      <c r="AJ115" s="141"/>
      <c r="AK115" s="141"/>
      <c r="AL115" s="141"/>
      <c r="AM115" s="141"/>
      <c r="AN115" s="141"/>
      <c r="AO115" s="141"/>
      <c r="AP115" s="141"/>
    </row>
    <row r="116" spans="1:42" s="135" customFormat="1" x14ac:dyDescent="0.2">
      <c r="A116" s="141"/>
      <c r="B116" s="141"/>
      <c r="C116" s="141"/>
      <c r="D116" s="141"/>
      <c r="E116" s="141"/>
      <c r="F116" s="141"/>
      <c r="G116" s="141"/>
      <c r="H116" s="141"/>
      <c r="I116" s="141"/>
      <c r="J116" s="150"/>
      <c r="K116" s="143"/>
      <c r="L116" s="143"/>
      <c r="M116" s="143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3"/>
      <c r="AE116" s="136"/>
      <c r="AF116" s="141"/>
      <c r="AG116" s="141"/>
      <c r="AH116" s="141"/>
      <c r="AI116" s="141"/>
      <c r="AJ116" s="141"/>
      <c r="AK116" s="141"/>
      <c r="AL116" s="141"/>
      <c r="AM116" s="141"/>
      <c r="AN116" s="141"/>
      <c r="AO116" s="141"/>
      <c r="AP116" s="141"/>
    </row>
    <row r="117" spans="1:42" s="135" customFormat="1" x14ac:dyDescent="0.2">
      <c r="A117" s="141"/>
      <c r="B117" s="141"/>
      <c r="C117" s="141"/>
      <c r="D117" s="141"/>
      <c r="E117" s="141"/>
      <c r="F117" s="141"/>
      <c r="G117" s="141"/>
      <c r="H117" s="141"/>
      <c r="I117" s="141"/>
      <c r="J117" s="150"/>
      <c r="K117" s="143"/>
      <c r="L117" s="143"/>
      <c r="M117" s="143"/>
      <c r="N117" s="14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41"/>
      <c r="AA117" s="141"/>
      <c r="AB117" s="141"/>
      <c r="AC117" s="141"/>
      <c r="AD117" s="143"/>
      <c r="AE117" s="136"/>
      <c r="AF117" s="141"/>
      <c r="AG117" s="141"/>
      <c r="AH117" s="141"/>
      <c r="AI117" s="141"/>
      <c r="AJ117" s="141"/>
      <c r="AK117" s="141"/>
      <c r="AL117" s="141"/>
      <c r="AM117" s="141"/>
      <c r="AN117" s="141"/>
      <c r="AO117" s="141"/>
      <c r="AP117" s="141"/>
    </row>
    <row r="118" spans="1:42" s="135" customFormat="1" x14ac:dyDescent="0.2">
      <c r="A118" s="141"/>
      <c r="B118" s="141"/>
      <c r="C118" s="141"/>
      <c r="D118" s="141"/>
      <c r="E118" s="141"/>
      <c r="F118" s="141"/>
      <c r="G118" s="141"/>
      <c r="H118" s="141"/>
      <c r="I118" s="141"/>
      <c r="J118" s="150"/>
      <c r="K118" s="143"/>
      <c r="L118" s="143"/>
      <c r="M118" s="143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3"/>
      <c r="AE118" s="136"/>
      <c r="AF118" s="141"/>
      <c r="AG118" s="141"/>
      <c r="AH118" s="141"/>
      <c r="AI118" s="141"/>
      <c r="AJ118" s="141"/>
      <c r="AK118" s="141"/>
      <c r="AL118" s="141"/>
      <c r="AM118" s="141"/>
      <c r="AN118" s="141"/>
      <c r="AO118" s="141"/>
      <c r="AP118" s="141"/>
    </row>
    <row r="119" spans="1:42" s="135" customFormat="1" x14ac:dyDescent="0.2">
      <c r="A119" s="141"/>
      <c r="B119" s="141"/>
      <c r="C119" s="141"/>
      <c r="D119" s="141"/>
      <c r="E119" s="141"/>
      <c r="F119" s="141"/>
      <c r="G119" s="141"/>
      <c r="H119" s="141"/>
      <c r="I119" s="141"/>
      <c r="J119" s="150"/>
      <c r="K119" s="143"/>
      <c r="L119" s="143"/>
      <c r="M119" s="143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43"/>
      <c r="AE119" s="136"/>
      <c r="AF119" s="141"/>
      <c r="AG119" s="141"/>
      <c r="AH119" s="141"/>
      <c r="AI119" s="141"/>
      <c r="AJ119" s="141"/>
      <c r="AK119" s="141"/>
      <c r="AL119" s="141"/>
      <c r="AM119" s="141"/>
      <c r="AN119" s="141"/>
      <c r="AO119" s="141"/>
      <c r="AP119" s="141"/>
    </row>
    <row r="120" spans="1:42" s="135" customFormat="1" x14ac:dyDescent="0.2">
      <c r="A120" s="141"/>
      <c r="B120" s="141"/>
      <c r="C120" s="141"/>
      <c r="D120" s="141"/>
      <c r="E120" s="141"/>
      <c r="F120" s="141"/>
      <c r="G120" s="141"/>
      <c r="H120" s="141"/>
      <c r="I120" s="141"/>
      <c r="J120" s="150"/>
      <c r="K120" s="143"/>
      <c r="L120" s="143"/>
      <c r="M120" s="143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41"/>
      <c r="AA120" s="141"/>
      <c r="AB120" s="141"/>
      <c r="AC120" s="141"/>
      <c r="AD120" s="143"/>
      <c r="AE120" s="136"/>
      <c r="AF120" s="141"/>
      <c r="AG120" s="141"/>
      <c r="AH120" s="141"/>
      <c r="AI120" s="141"/>
      <c r="AJ120" s="141"/>
      <c r="AK120" s="141"/>
      <c r="AL120" s="141"/>
      <c r="AM120" s="141"/>
      <c r="AN120" s="141"/>
      <c r="AO120" s="141"/>
      <c r="AP120" s="141"/>
    </row>
    <row r="121" spans="1:42" s="135" customFormat="1" x14ac:dyDescent="0.2">
      <c r="A121" s="141"/>
      <c r="B121" s="141"/>
      <c r="C121" s="141"/>
      <c r="D121" s="141"/>
      <c r="E121" s="141"/>
      <c r="F121" s="141"/>
      <c r="G121" s="141"/>
      <c r="H121" s="141"/>
      <c r="I121" s="141"/>
      <c r="J121" s="150"/>
      <c r="K121" s="143"/>
      <c r="L121" s="143"/>
      <c r="M121" s="143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3"/>
      <c r="AE121" s="136"/>
      <c r="AF121" s="141"/>
      <c r="AG121" s="141"/>
      <c r="AH121" s="141"/>
      <c r="AI121" s="141"/>
      <c r="AJ121" s="141"/>
      <c r="AK121" s="141"/>
      <c r="AL121" s="141"/>
      <c r="AM121" s="141"/>
      <c r="AN121" s="141"/>
      <c r="AO121" s="141"/>
      <c r="AP121" s="141"/>
    </row>
    <row r="122" spans="1:42" s="135" customFormat="1" x14ac:dyDescent="0.2">
      <c r="A122" s="141"/>
      <c r="B122" s="141"/>
      <c r="C122" s="141"/>
      <c r="D122" s="141"/>
      <c r="E122" s="141"/>
      <c r="F122" s="141"/>
      <c r="G122" s="141"/>
      <c r="H122" s="141"/>
      <c r="I122" s="141"/>
      <c r="J122" s="150"/>
      <c r="K122" s="143"/>
      <c r="L122" s="143"/>
      <c r="M122" s="143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3"/>
      <c r="AE122" s="136"/>
      <c r="AF122" s="141"/>
      <c r="AG122" s="141"/>
      <c r="AH122" s="141"/>
      <c r="AI122" s="141"/>
      <c r="AJ122" s="141"/>
      <c r="AK122" s="141"/>
      <c r="AL122" s="141"/>
      <c r="AM122" s="141"/>
      <c r="AN122" s="141"/>
      <c r="AO122" s="141"/>
      <c r="AP122" s="141"/>
    </row>
    <row r="123" spans="1:42" s="135" customFormat="1" x14ac:dyDescent="0.2">
      <c r="A123" s="141"/>
      <c r="B123" s="141"/>
      <c r="C123" s="141"/>
      <c r="D123" s="141"/>
      <c r="E123" s="141"/>
      <c r="F123" s="141"/>
      <c r="G123" s="141"/>
      <c r="H123" s="141"/>
      <c r="I123" s="141"/>
      <c r="J123" s="150"/>
      <c r="K123" s="143"/>
      <c r="L123" s="143"/>
      <c r="M123" s="143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3"/>
      <c r="AE123" s="136"/>
      <c r="AF123" s="141"/>
      <c r="AG123" s="141"/>
      <c r="AH123" s="141"/>
      <c r="AI123" s="141"/>
      <c r="AJ123" s="141"/>
      <c r="AK123" s="141"/>
      <c r="AL123" s="141"/>
      <c r="AM123" s="141"/>
      <c r="AN123" s="141"/>
      <c r="AO123" s="141"/>
      <c r="AP123" s="141"/>
    </row>
    <row r="124" spans="1:42" s="135" customFormat="1" x14ac:dyDescent="0.2">
      <c r="A124" s="141"/>
      <c r="B124" s="141"/>
      <c r="C124" s="141"/>
      <c r="D124" s="141"/>
      <c r="E124" s="141"/>
      <c r="F124" s="141"/>
      <c r="G124" s="141"/>
      <c r="H124" s="141"/>
      <c r="I124" s="141"/>
      <c r="J124" s="150"/>
      <c r="K124" s="143"/>
      <c r="L124" s="143"/>
      <c r="M124" s="143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3"/>
      <c r="AE124" s="136"/>
      <c r="AF124" s="141"/>
      <c r="AG124" s="141"/>
      <c r="AH124" s="141"/>
      <c r="AI124" s="141"/>
      <c r="AJ124" s="141"/>
      <c r="AK124" s="141"/>
      <c r="AL124" s="141"/>
      <c r="AM124" s="141"/>
      <c r="AN124" s="141"/>
      <c r="AO124" s="141"/>
      <c r="AP124" s="141"/>
    </row>
    <row r="125" spans="1:42" s="135" customFormat="1" x14ac:dyDescent="0.2">
      <c r="A125" s="141"/>
      <c r="B125" s="141"/>
      <c r="C125" s="141"/>
      <c r="D125" s="141"/>
      <c r="E125" s="141"/>
      <c r="F125" s="141"/>
      <c r="G125" s="141"/>
      <c r="H125" s="141"/>
      <c r="I125" s="141"/>
      <c r="J125" s="150"/>
      <c r="K125" s="143"/>
      <c r="L125" s="143"/>
      <c r="M125" s="143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43"/>
      <c r="AE125" s="136"/>
      <c r="AF125" s="141"/>
      <c r="AG125" s="141"/>
      <c r="AH125" s="141"/>
      <c r="AI125" s="141"/>
      <c r="AJ125" s="141"/>
      <c r="AK125" s="141"/>
      <c r="AL125" s="141"/>
      <c r="AM125" s="141"/>
      <c r="AN125" s="141"/>
      <c r="AO125" s="141"/>
      <c r="AP125" s="141"/>
    </row>
    <row r="126" spans="1:42" s="135" customFormat="1" x14ac:dyDescent="0.2">
      <c r="A126" s="141"/>
      <c r="B126" s="141"/>
      <c r="C126" s="141"/>
      <c r="D126" s="141"/>
      <c r="E126" s="141"/>
      <c r="F126" s="141"/>
      <c r="G126" s="141"/>
      <c r="H126" s="141"/>
      <c r="I126" s="141"/>
      <c r="J126" s="150"/>
      <c r="K126" s="143"/>
      <c r="L126" s="143"/>
      <c r="M126" s="143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43"/>
      <c r="AE126" s="136"/>
      <c r="AF126" s="141"/>
      <c r="AG126" s="141"/>
      <c r="AH126" s="141"/>
      <c r="AI126" s="141"/>
      <c r="AJ126" s="141"/>
      <c r="AK126" s="141"/>
      <c r="AL126" s="141"/>
      <c r="AM126" s="141"/>
      <c r="AN126" s="141"/>
      <c r="AO126" s="141"/>
      <c r="AP126" s="141"/>
    </row>
    <row r="127" spans="1:42" s="135" customFormat="1" x14ac:dyDescent="0.2">
      <c r="A127" s="141"/>
      <c r="B127" s="141"/>
      <c r="C127" s="141"/>
      <c r="D127" s="141"/>
      <c r="E127" s="141"/>
      <c r="F127" s="141"/>
      <c r="G127" s="141"/>
      <c r="H127" s="141"/>
      <c r="I127" s="141"/>
      <c r="J127" s="150"/>
      <c r="K127" s="143"/>
      <c r="L127" s="143"/>
      <c r="M127" s="143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3"/>
      <c r="AE127" s="136"/>
      <c r="AF127" s="141"/>
      <c r="AG127" s="141"/>
      <c r="AH127" s="141"/>
      <c r="AI127" s="141"/>
      <c r="AJ127" s="141"/>
      <c r="AK127" s="141"/>
      <c r="AL127" s="141"/>
      <c r="AM127" s="141"/>
      <c r="AN127" s="141"/>
      <c r="AO127" s="141"/>
      <c r="AP127" s="141"/>
    </row>
    <row r="128" spans="1:42" s="135" customFormat="1" x14ac:dyDescent="0.2">
      <c r="A128" s="141"/>
      <c r="B128" s="141"/>
      <c r="C128" s="141"/>
      <c r="D128" s="141"/>
      <c r="E128" s="141"/>
      <c r="F128" s="141"/>
      <c r="G128" s="141"/>
      <c r="H128" s="141"/>
      <c r="I128" s="141"/>
      <c r="J128" s="150"/>
      <c r="K128" s="143"/>
      <c r="L128" s="143"/>
      <c r="M128" s="143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3"/>
      <c r="AE128" s="136"/>
      <c r="AF128" s="141"/>
      <c r="AG128" s="141"/>
      <c r="AH128" s="141"/>
      <c r="AI128" s="141"/>
      <c r="AJ128" s="141"/>
      <c r="AK128" s="141"/>
      <c r="AL128" s="141"/>
      <c r="AM128" s="141"/>
      <c r="AN128" s="141"/>
      <c r="AO128" s="141"/>
      <c r="AP128" s="141"/>
    </row>
    <row r="129" spans="1:42" s="135" customFormat="1" x14ac:dyDescent="0.2">
      <c r="A129" s="141"/>
      <c r="B129" s="141"/>
      <c r="C129" s="141"/>
      <c r="D129" s="141"/>
      <c r="E129" s="141"/>
      <c r="F129" s="141"/>
      <c r="G129" s="141"/>
      <c r="H129" s="141"/>
      <c r="I129" s="141"/>
      <c r="J129" s="150"/>
      <c r="K129" s="143"/>
      <c r="L129" s="143"/>
      <c r="M129" s="143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3"/>
      <c r="AE129" s="136"/>
      <c r="AF129" s="141"/>
      <c r="AG129" s="141"/>
      <c r="AH129" s="141"/>
      <c r="AI129" s="141"/>
      <c r="AJ129" s="141"/>
      <c r="AK129" s="141"/>
      <c r="AL129" s="141"/>
      <c r="AM129" s="141"/>
      <c r="AN129" s="141"/>
      <c r="AO129" s="141"/>
      <c r="AP129" s="141"/>
    </row>
    <row r="130" spans="1:42" s="135" customFormat="1" x14ac:dyDescent="0.2">
      <c r="A130" s="141"/>
      <c r="B130" s="141"/>
      <c r="C130" s="141"/>
      <c r="D130" s="141"/>
      <c r="E130" s="141"/>
      <c r="F130" s="141"/>
      <c r="G130" s="141"/>
      <c r="H130" s="141"/>
      <c r="I130" s="141"/>
      <c r="J130" s="150"/>
      <c r="K130" s="143"/>
      <c r="L130" s="143"/>
      <c r="M130" s="143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3"/>
      <c r="AE130" s="136"/>
      <c r="AF130" s="141"/>
      <c r="AG130" s="141"/>
      <c r="AH130" s="141"/>
      <c r="AI130" s="141"/>
      <c r="AJ130" s="141"/>
      <c r="AK130" s="141"/>
      <c r="AL130" s="141"/>
      <c r="AM130" s="141"/>
      <c r="AN130" s="141"/>
      <c r="AO130" s="141"/>
      <c r="AP130" s="141"/>
    </row>
    <row r="131" spans="1:42" s="135" customFormat="1" x14ac:dyDescent="0.2">
      <c r="A131" s="141"/>
      <c r="B131" s="141"/>
      <c r="C131" s="141"/>
      <c r="D131" s="141"/>
      <c r="E131" s="141"/>
      <c r="F131" s="141"/>
      <c r="G131" s="141"/>
      <c r="H131" s="141"/>
      <c r="I131" s="141"/>
      <c r="J131" s="150"/>
      <c r="K131" s="143"/>
      <c r="L131" s="143"/>
      <c r="M131" s="143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41"/>
      <c r="Y131" s="141"/>
      <c r="Z131" s="141"/>
      <c r="AA131" s="141"/>
      <c r="AB131" s="141"/>
      <c r="AC131" s="141"/>
      <c r="AD131" s="143"/>
      <c r="AE131" s="136"/>
      <c r="AF131" s="141"/>
      <c r="AG131" s="141"/>
      <c r="AH131" s="141"/>
      <c r="AI131" s="141"/>
      <c r="AJ131" s="141"/>
      <c r="AK131" s="141"/>
      <c r="AL131" s="141"/>
      <c r="AM131" s="141"/>
      <c r="AN131" s="141"/>
      <c r="AO131" s="141"/>
      <c r="AP131" s="141"/>
    </row>
    <row r="132" spans="1:42" s="135" customFormat="1" x14ac:dyDescent="0.2">
      <c r="A132" s="141"/>
      <c r="B132" s="141"/>
      <c r="C132" s="141"/>
      <c r="D132" s="141"/>
      <c r="E132" s="141"/>
      <c r="F132" s="141"/>
      <c r="G132" s="141"/>
      <c r="H132" s="141"/>
      <c r="I132" s="141"/>
      <c r="J132" s="150"/>
      <c r="K132" s="143"/>
      <c r="L132" s="143"/>
      <c r="M132" s="143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  <c r="AA132" s="141"/>
      <c r="AB132" s="141"/>
      <c r="AC132" s="141"/>
      <c r="AD132" s="143"/>
      <c r="AE132" s="136"/>
      <c r="AF132" s="141"/>
      <c r="AG132" s="141"/>
      <c r="AH132" s="141"/>
      <c r="AI132" s="141"/>
      <c r="AJ132" s="141"/>
      <c r="AK132" s="141"/>
      <c r="AL132" s="141"/>
      <c r="AM132" s="141"/>
      <c r="AN132" s="141"/>
      <c r="AO132" s="141"/>
      <c r="AP132" s="141"/>
    </row>
    <row r="133" spans="1:42" s="135" customFormat="1" x14ac:dyDescent="0.2">
      <c r="A133" s="141"/>
      <c r="B133" s="141"/>
      <c r="C133" s="141"/>
      <c r="D133" s="141"/>
      <c r="E133" s="141"/>
      <c r="F133" s="141"/>
      <c r="G133" s="141"/>
      <c r="H133" s="141"/>
      <c r="I133" s="141"/>
      <c r="J133" s="150"/>
      <c r="K133" s="143"/>
      <c r="L133" s="143"/>
      <c r="M133" s="143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1"/>
      <c r="AA133" s="141"/>
      <c r="AB133" s="141"/>
      <c r="AC133" s="141"/>
      <c r="AD133" s="143"/>
      <c r="AE133" s="136"/>
      <c r="AF133" s="141"/>
      <c r="AG133" s="141"/>
      <c r="AH133" s="141"/>
      <c r="AI133" s="141"/>
      <c r="AJ133" s="141"/>
      <c r="AK133" s="141"/>
      <c r="AL133" s="141"/>
      <c r="AM133" s="141"/>
      <c r="AN133" s="141"/>
      <c r="AO133" s="141"/>
      <c r="AP133" s="141"/>
    </row>
    <row r="134" spans="1:42" s="135" customFormat="1" x14ac:dyDescent="0.2">
      <c r="A134" s="141"/>
      <c r="B134" s="141"/>
      <c r="C134" s="141"/>
      <c r="D134" s="141"/>
      <c r="E134" s="141"/>
      <c r="F134" s="141"/>
      <c r="G134" s="141"/>
      <c r="H134" s="141"/>
      <c r="I134" s="141"/>
      <c r="J134" s="150"/>
      <c r="K134" s="143"/>
      <c r="L134" s="143"/>
      <c r="M134" s="143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141"/>
      <c r="Z134" s="141"/>
      <c r="AA134" s="141"/>
      <c r="AB134" s="141"/>
      <c r="AC134" s="141"/>
      <c r="AD134" s="143"/>
      <c r="AE134" s="136"/>
      <c r="AF134" s="141"/>
      <c r="AG134" s="141"/>
      <c r="AH134" s="141"/>
      <c r="AI134" s="141"/>
      <c r="AJ134" s="141"/>
      <c r="AK134" s="141"/>
      <c r="AL134" s="141"/>
      <c r="AM134" s="141"/>
      <c r="AN134" s="141"/>
      <c r="AO134" s="141"/>
      <c r="AP134" s="141"/>
    </row>
    <row r="135" spans="1:42" s="135" customFormat="1" x14ac:dyDescent="0.2">
      <c r="A135" s="141"/>
      <c r="B135" s="141"/>
      <c r="C135" s="141"/>
      <c r="D135" s="141"/>
      <c r="E135" s="141"/>
      <c r="F135" s="141"/>
      <c r="G135" s="141"/>
      <c r="H135" s="141"/>
      <c r="I135" s="141"/>
      <c r="J135" s="150"/>
      <c r="K135" s="143"/>
      <c r="L135" s="143"/>
      <c r="M135" s="143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  <c r="AA135" s="141"/>
      <c r="AB135" s="141"/>
      <c r="AC135" s="141"/>
      <c r="AD135" s="143"/>
      <c r="AE135" s="136"/>
      <c r="AF135" s="141"/>
      <c r="AG135" s="141"/>
      <c r="AH135" s="141"/>
      <c r="AI135" s="141"/>
      <c r="AJ135" s="141"/>
      <c r="AK135" s="141"/>
      <c r="AL135" s="141"/>
      <c r="AM135" s="141"/>
      <c r="AN135" s="141"/>
      <c r="AO135" s="141"/>
      <c r="AP135" s="141"/>
    </row>
    <row r="136" spans="1:42" s="135" customFormat="1" x14ac:dyDescent="0.2">
      <c r="A136" s="141"/>
      <c r="B136" s="141"/>
      <c r="C136" s="141"/>
      <c r="D136" s="141"/>
      <c r="E136" s="141"/>
      <c r="F136" s="141"/>
      <c r="G136" s="141"/>
      <c r="H136" s="141"/>
      <c r="I136" s="141"/>
      <c r="J136" s="150"/>
      <c r="K136" s="143"/>
      <c r="L136" s="143"/>
      <c r="M136" s="143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141"/>
      <c r="Y136" s="141"/>
      <c r="Z136" s="141"/>
      <c r="AA136" s="141"/>
      <c r="AB136" s="141"/>
      <c r="AC136" s="141"/>
      <c r="AD136" s="143"/>
      <c r="AE136" s="136"/>
      <c r="AF136" s="141"/>
      <c r="AG136" s="141"/>
      <c r="AH136" s="141"/>
      <c r="AI136" s="141"/>
      <c r="AJ136" s="141"/>
      <c r="AK136" s="141"/>
      <c r="AL136" s="141"/>
      <c r="AM136" s="141"/>
      <c r="AN136" s="141"/>
      <c r="AO136" s="141"/>
      <c r="AP136" s="141"/>
    </row>
    <row r="137" spans="1:42" s="135" customFormat="1" x14ac:dyDescent="0.2">
      <c r="A137" s="141"/>
      <c r="B137" s="141"/>
      <c r="C137" s="141"/>
      <c r="D137" s="141"/>
      <c r="E137" s="141"/>
      <c r="F137" s="141"/>
      <c r="G137" s="141"/>
      <c r="H137" s="141"/>
      <c r="I137" s="141"/>
      <c r="J137" s="150"/>
      <c r="K137" s="143"/>
      <c r="L137" s="143"/>
      <c r="M137" s="143"/>
      <c r="N137" s="141"/>
      <c r="O137" s="141"/>
      <c r="P137" s="141"/>
      <c r="Q137" s="141"/>
      <c r="R137" s="141"/>
      <c r="S137" s="141"/>
      <c r="T137" s="141"/>
      <c r="U137" s="141"/>
      <c r="V137" s="141"/>
      <c r="W137" s="141"/>
      <c r="X137" s="141"/>
      <c r="Y137" s="141"/>
      <c r="Z137" s="141"/>
      <c r="AA137" s="141"/>
      <c r="AB137" s="141"/>
      <c r="AC137" s="141"/>
      <c r="AD137" s="143"/>
      <c r="AE137" s="136"/>
      <c r="AF137" s="141"/>
      <c r="AG137" s="141"/>
      <c r="AH137" s="141"/>
      <c r="AI137" s="141"/>
      <c r="AJ137" s="141"/>
      <c r="AK137" s="141"/>
      <c r="AL137" s="141"/>
      <c r="AM137" s="141"/>
      <c r="AN137" s="141"/>
      <c r="AO137" s="141"/>
      <c r="AP137" s="141"/>
    </row>
    <row r="138" spans="1:42" s="135" customFormat="1" x14ac:dyDescent="0.2">
      <c r="A138" s="141"/>
      <c r="B138" s="141"/>
      <c r="C138" s="141"/>
      <c r="D138" s="141"/>
      <c r="E138" s="141"/>
      <c r="F138" s="141"/>
      <c r="G138" s="141"/>
      <c r="H138" s="141"/>
      <c r="I138" s="141"/>
      <c r="J138" s="150"/>
      <c r="K138" s="143"/>
      <c r="L138" s="143"/>
      <c r="M138" s="143"/>
      <c r="N138" s="141"/>
      <c r="O138" s="141"/>
      <c r="P138" s="141"/>
      <c r="Q138" s="141"/>
      <c r="R138" s="141"/>
      <c r="S138" s="141"/>
      <c r="T138" s="141"/>
      <c r="U138" s="141"/>
      <c r="V138" s="141"/>
      <c r="W138" s="141"/>
      <c r="X138" s="141"/>
      <c r="Y138" s="141"/>
      <c r="Z138" s="141"/>
      <c r="AA138" s="141"/>
      <c r="AB138" s="141"/>
      <c r="AC138" s="141"/>
      <c r="AD138" s="143"/>
      <c r="AE138" s="136"/>
      <c r="AF138" s="141"/>
      <c r="AG138" s="141"/>
      <c r="AH138" s="141"/>
      <c r="AI138" s="141"/>
      <c r="AJ138" s="141"/>
      <c r="AK138" s="141"/>
      <c r="AL138" s="141"/>
      <c r="AM138" s="141"/>
      <c r="AN138" s="141"/>
      <c r="AO138" s="141"/>
      <c r="AP138" s="141"/>
    </row>
    <row r="139" spans="1:42" s="135" customFormat="1" x14ac:dyDescent="0.2">
      <c r="A139" s="141"/>
      <c r="B139" s="141"/>
      <c r="C139" s="141"/>
      <c r="D139" s="141"/>
      <c r="E139" s="141"/>
      <c r="F139" s="141"/>
      <c r="G139" s="141"/>
      <c r="H139" s="141"/>
      <c r="I139" s="141"/>
      <c r="J139" s="150"/>
      <c r="K139" s="143"/>
      <c r="L139" s="143"/>
      <c r="M139" s="143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141"/>
      <c r="Y139" s="141"/>
      <c r="Z139" s="141"/>
      <c r="AA139" s="141"/>
      <c r="AB139" s="141"/>
      <c r="AC139" s="141"/>
      <c r="AD139" s="143"/>
      <c r="AE139" s="136"/>
      <c r="AF139" s="141"/>
      <c r="AG139" s="141"/>
      <c r="AH139" s="141"/>
      <c r="AI139" s="141"/>
      <c r="AJ139" s="141"/>
      <c r="AK139" s="141"/>
      <c r="AL139" s="141"/>
      <c r="AM139" s="141"/>
      <c r="AN139" s="141"/>
      <c r="AO139" s="141"/>
      <c r="AP139" s="141"/>
    </row>
    <row r="140" spans="1:42" s="135" customFormat="1" x14ac:dyDescent="0.2">
      <c r="A140" s="141"/>
      <c r="B140" s="141"/>
      <c r="C140" s="141"/>
      <c r="D140" s="141"/>
      <c r="E140" s="141"/>
      <c r="F140" s="141"/>
      <c r="G140" s="141"/>
      <c r="H140" s="141"/>
      <c r="I140" s="141"/>
      <c r="J140" s="150"/>
      <c r="K140" s="143"/>
      <c r="L140" s="143"/>
      <c r="M140" s="143"/>
      <c r="N140" s="141"/>
      <c r="O140" s="141"/>
      <c r="P140" s="141"/>
      <c r="Q140" s="141"/>
      <c r="R140" s="141"/>
      <c r="S140" s="141"/>
      <c r="T140" s="141"/>
      <c r="U140" s="141"/>
      <c r="V140" s="141"/>
      <c r="W140" s="141"/>
      <c r="X140" s="141"/>
      <c r="Y140" s="141"/>
      <c r="Z140" s="141"/>
      <c r="AA140" s="141"/>
      <c r="AB140" s="141"/>
      <c r="AC140" s="141"/>
      <c r="AD140" s="143"/>
      <c r="AE140" s="136"/>
      <c r="AF140" s="141"/>
      <c r="AG140" s="141"/>
      <c r="AH140" s="141"/>
      <c r="AI140" s="141"/>
      <c r="AJ140" s="141"/>
      <c r="AK140" s="141"/>
      <c r="AL140" s="141"/>
      <c r="AM140" s="141"/>
      <c r="AN140" s="141"/>
      <c r="AO140" s="141"/>
      <c r="AP140" s="141"/>
    </row>
    <row r="141" spans="1:42" s="135" customFormat="1" x14ac:dyDescent="0.2">
      <c r="A141" s="141"/>
      <c r="B141" s="141"/>
      <c r="C141" s="141"/>
      <c r="D141" s="141"/>
      <c r="E141" s="141"/>
      <c r="F141" s="141"/>
      <c r="G141" s="141"/>
      <c r="H141" s="141"/>
      <c r="I141" s="141"/>
      <c r="J141" s="150"/>
      <c r="K141" s="143"/>
      <c r="L141" s="143"/>
      <c r="M141" s="143"/>
      <c r="N141" s="141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41"/>
      <c r="AA141" s="141"/>
      <c r="AB141" s="141"/>
      <c r="AC141" s="141"/>
      <c r="AD141" s="143"/>
      <c r="AE141" s="136"/>
      <c r="AF141" s="141"/>
      <c r="AG141" s="141"/>
      <c r="AH141" s="141"/>
      <c r="AI141" s="141"/>
      <c r="AJ141" s="141"/>
      <c r="AK141" s="141"/>
      <c r="AL141" s="141"/>
      <c r="AM141" s="141"/>
      <c r="AN141" s="141"/>
      <c r="AO141" s="141"/>
      <c r="AP141" s="141"/>
    </row>
    <row r="142" spans="1:42" s="135" customFormat="1" x14ac:dyDescent="0.2">
      <c r="A142" s="141"/>
      <c r="B142" s="141"/>
      <c r="C142" s="141"/>
      <c r="D142" s="141"/>
      <c r="E142" s="141"/>
      <c r="F142" s="141"/>
      <c r="G142" s="141"/>
      <c r="H142" s="141"/>
      <c r="I142" s="141"/>
      <c r="J142" s="150"/>
      <c r="K142" s="143"/>
      <c r="L142" s="143"/>
      <c r="M142" s="143"/>
      <c r="N142" s="141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41"/>
      <c r="AA142" s="141"/>
      <c r="AB142" s="141"/>
      <c r="AC142" s="141"/>
      <c r="AD142" s="143"/>
      <c r="AE142" s="136"/>
      <c r="AF142" s="141"/>
      <c r="AG142" s="141"/>
      <c r="AH142" s="141"/>
      <c r="AI142" s="141"/>
      <c r="AJ142" s="141"/>
      <c r="AK142" s="141"/>
      <c r="AL142" s="141"/>
      <c r="AM142" s="141"/>
      <c r="AN142" s="141"/>
      <c r="AO142" s="141"/>
      <c r="AP142" s="141"/>
    </row>
  </sheetData>
  <autoFilter ref="A1:AP1" xr:uid="{4057817E-FF9B-4378-BFAF-FFBE6E5FCC36}"/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65"/>
  <sheetViews>
    <sheetView zoomScale="64" zoomScaleNormal="64" zoomScaleSheetLayoutView="115" workbookViewId="0"/>
  </sheetViews>
  <sheetFormatPr defaultColWidth="11.42578125" defaultRowHeight="12.75" x14ac:dyDescent="0.2"/>
  <cols>
    <col min="1" max="1" width="3.42578125" style="7" customWidth="1"/>
    <col min="2" max="2" width="11.5703125" style="8" bestFit="1" customWidth="1"/>
    <col min="3" max="3" width="53" style="8" customWidth="1"/>
    <col min="4" max="4" width="50.140625" style="7" bestFit="1" customWidth="1"/>
    <col min="5" max="5" width="15.140625" style="8" bestFit="1" customWidth="1"/>
    <col min="6" max="6" width="16.140625" style="8" bestFit="1" customWidth="1"/>
    <col min="7" max="7" width="13.42578125" style="8" bestFit="1" customWidth="1"/>
    <col min="8" max="8" width="28.5703125" style="8" bestFit="1" customWidth="1"/>
    <col min="9" max="9" width="11.85546875" style="8" bestFit="1" customWidth="1"/>
    <col min="10" max="10" width="27.5703125" style="8" bestFit="1" customWidth="1"/>
    <col min="11" max="11" width="18.42578125" style="44" bestFit="1" customWidth="1"/>
    <col min="12" max="13" width="19.42578125" style="26" bestFit="1" customWidth="1"/>
    <col min="14" max="14" width="18.85546875" style="44" bestFit="1" customWidth="1"/>
    <col min="15" max="15" width="12.5703125" style="73" customWidth="1"/>
    <col min="16" max="16" width="9.42578125" style="9" bestFit="1" customWidth="1"/>
    <col min="17" max="17" width="7.42578125" style="9" bestFit="1" customWidth="1"/>
    <col min="18" max="18" width="12" style="88" bestFit="1" customWidth="1"/>
    <col min="19" max="19" width="14.5703125" style="88" bestFit="1" customWidth="1"/>
    <col min="20" max="21" width="18.5703125" style="6" customWidth="1"/>
    <col min="22" max="16384" width="11.42578125" style="7"/>
  </cols>
  <sheetData>
    <row r="1" spans="1:21" x14ac:dyDescent="0.2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52" t="s">
        <v>34</v>
      </c>
      <c r="L1" s="55"/>
      <c r="M1" s="55"/>
      <c r="N1" s="52"/>
      <c r="O1" s="72"/>
      <c r="P1" s="5"/>
      <c r="Q1" s="5"/>
      <c r="R1" s="87"/>
      <c r="S1" s="87"/>
    </row>
    <row r="2" spans="1:21" ht="13.5" thickBot="1" x14ac:dyDescent="0.25">
      <c r="D2" s="7" t="s">
        <v>2</v>
      </c>
      <c r="E2" s="12" t="s">
        <v>3</v>
      </c>
      <c r="F2" s="12" t="s">
        <v>123</v>
      </c>
      <c r="G2" s="12"/>
      <c r="H2" s="12"/>
      <c r="I2" s="12"/>
      <c r="J2" s="12"/>
    </row>
    <row r="3" spans="1:21" ht="15.75" thickBot="1" x14ac:dyDescent="0.3">
      <c r="A3" s="10" t="s">
        <v>12</v>
      </c>
      <c r="D3" s="46">
        <v>37157904</v>
      </c>
      <c r="E3" s="12" t="e">
        <f>D3-K9</f>
        <v>#REF!</v>
      </c>
      <c r="F3" s="67" t="e">
        <f>IF(E3&gt;0,(E3/0.8),"N/A")</f>
        <v>#REF!</v>
      </c>
      <c r="G3" s="12"/>
      <c r="H3" s="12"/>
      <c r="I3" s="12"/>
      <c r="J3" s="12"/>
      <c r="K3" s="39"/>
      <c r="L3" s="56"/>
      <c r="M3" s="56"/>
      <c r="N3" s="41"/>
      <c r="P3" s="22"/>
      <c r="Q3" s="22"/>
      <c r="R3" s="157"/>
      <c r="S3" s="157"/>
    </row>
    <row r="4" spans="1:21" x14ac:dyDescent="0.2">
      <c r="A4" s="10"/>
      <c r="B4" s="8" t="s">
        <v>35</v>
      </c>
      <c r="C4" s="8" t="s">
        <v>137</v>
      </c>
      <c r="D4" s="8" t="s">
        <v>23</v>
      </c>
      <c r="E4" s="8" t="s">
        <v>4</v>
      </c>
      <c r="F4" s="8" t="s">
        <v>40</v>
      </c>
      <c r="G4" s="8" t="s">
        <v>0</v>
      </c>
      <c r="H4" s="8" t="s">
        <v>24</v>
      </c>
      <c r="I4" s="8" t="s">
        <v>5</v>
      </c>
      <c r="J4" s="8" t="s">
        <v>1</v>
      </c>
      <c r="K4" s="26" t="s">
        <v>138</v>
      </c>
      <c r="L4" s="26" t="s">
        <v>139</v>
      </c>
      <c r="M4" s="26" t="s">
        <v>140</v>
      </c>
      <c r="N4" s="26" t="s">
        <v>39</v>
      </c>
      <c r="O4" s="74" t="s">
        <v>36</v>
      </c>
      <c r="P4" s="8" t="s">
        <v>37</v>
      </c>
      <c r="Q4" s="8" t="s">
        <v>38</v>
      </c>
      <c r="R4" s="88" t="s">
        <v>141</v>
      </c>
      <c r="S4" s="88" t="s">
        <v>142</v>
      </c>
    </row>
    <row r="5" spans="1:21" x14ac:dyDescent="0.2">
      <c r="B5" s="37" t="s">
        <v>118</v>
      </c>
      <c r="C5" s="38" t="e">
        <f>VLOOKUP(B5,Round1,15,FALSE)</f>
        <v>#REF!</v>
      </c>
      <c r="D5" s="38" t="e">
        <f>VLOOKUP(B5,Round1,2,FALSE)</f>
        <v>#REF!</v>
      </c>
      <c r="E5" s="38" t="e">
        <f>VLOOKUP(B5,Round1,14,FALSE)</f>
        <v>#REF!</v>
      </c>
      <c r="F5" s="38" t="e">
        <f>VLOOKUP(B5,Round1,12,FALSE)</f>
        <v>#REF!</v>
      </c>
      <c r="G5" s="38" t="e">
        <f>VLOOKUP(B5,Round1,26,FALSE)</f>
        <v>#REF!</v>
      </c>
      <c r="H5" s="38" t="e">
        <f>VLOOKUP(B5,Round1,30,FALSE)</f>
        <v>#REF!</v>
      </c>
      <c r="I5" s="38" t="e">
        <f>VLOOKUP(B5,Round1,31,FALSE)</f>
        <v>#REF!</v>
      </c>
      <c r="J5" s="38" t="e">
        <f>VLOOKUP(B5,Round1,9,FALSE)</f>
        <v>#REF!</v>
      </c>
      <c r="K5" s="101"/>
      <c r="L5" s="101">
        <v>1750000</v>
      </c>
      <c r="M5" s="101"/>
      <c r="N5" s="101">
        <f>K5+L5+M5</f>
        <v>1750000</v>
      </c>
      <c r="O5" s="75" t="e">
        <f>VLOOKUP(B5,Round1,4,FALSE)</f>
        <v>#REF!</v>
      </c>
      <c r="P5" s="64" t="e">
        <f>VLOOKUP(B5,Round1,5,FALSE)</f>
        <v>#REF!</v>
      </c>
      <c r="Q5" s="65" t="e">
        <f>VLOOKUP(B5,Round1,10,FALSE)</f>
        <v>#REF!</v>
      </c>
      <c r="R5" s="89" t="e">
        <f>VLOOKUP(B5,Round1,19,FALSE)</f>
        <v>#REF!</v>
      </c>
      <c r="S5" s="89" t="e">
        <f>VLOOKUP(B5,Round1,18,FALSE)</f>
        <v>#REF!</v>
      </c>
      <c r="T5" s="50"/>
      <c r="U5" s="50"/>
    </row>
    <row r="6" spans="1:21" x14ac:dyDescent="0.2">
      <c r="B6" s="37" t="s">
        <v>119</v>
      </c>
      <c r="C6" s="38" t="e">
        <f>VLOOKUP(B6,Round1,15,FALSE)</f>
        <v>#REF!</v>
      </c>
      <c r="D6" s="38" t="e">
        <f>VLOOKUP(B6,Round1,2,FALSE)</f>
        <v>#REF!</v>
      </c>
      <c r="E6" s="38" t="e">
        <f>VLOOKUP(B6,Round1,14,FALSE)</f>
        <v>#REF!</v>
      </c>
      <c r="F6" s="38" t="e">
        <f>VLOOKUP(B6,Round1,12,FALSE)</f>
        <v>#REF!</v>
      </c>
      <c r="G6" s="38" t="e">
        <f>VLOOKUP(B6,Round1,26,FALSE)</f>
        <v>#REF!</v>
      </c>
      <c r="H6" s="38" t="e">
        <f>VLOOKUP(B6,Round1,30,FALSE)</f>
        <v>#REF!</v>
      </c>
      <c r="I6" s="38" t="e">
        <f>VLOOKUP(B6,Round1,31,FALSE)</f>
        <v>#REF!</v>
      </c>
      <c r="J6" s="38" t="e">
        <f>VLOOKUP(B6,Round1,9,FALSE)</f>
        <v>#REF!</v>
      </c>
      <c r="K6" s="101"/>
      <c r="L6" s="101">
        <v>2250000</v>
      </c>
      <c r="M6" s="101"/>
      <c r="N6" s="101">
        <f>K6+L6+M6</f>
        <v>2250000</v>
      </c>
      <c r="O6" s="75" t="e">
        <f>VLOOKUP(B6,Round1,4,FALSE)</f>
        <v>#REF!</v>
      </c>
      <c r="P6" s="64" t="e">
        <f>VLOOKUP(B6,Round1,5,FALSE)</f>
        <v>#REF!</v>
      </c>
      <c r="Q6" s="65" t="e">
        <f>VLOOKUP(B6,Round1,10,FALSE)</f>
        <v>#REF!</v>
      </c>
      <c r="R6" s="89" t="e">
        <f>VLOOKUP(B6,Round1,19,FALSE)</f>
        <v>#REF!</v>
      </c>
      <c r="S6" s="89" t="e">
        <f>VLOOKUP(B6,Round1,18,FALSE)</f>
        <v>#REF!</v>
      </c>
      <c r="T6" s="50"/>
      <c r="U6" s="50"/>
    </row>
    <row r="7" spans="1:21" x14ac:dyDescent="0.2">
      <c r="B7" s="37" t="s">
        <v>65</v>
      </c>
      <c r="C7" s="38" t="e">
        <f>VLOOKUP(B7,Round1,15,FALSE)</f>
        <v>#REF!</v>
      </c>
      <c r="D7" s="38" t="e">
        <f>VLOOKUP(B7,Round1,2,FALSE)</f>
        <v>#REF!</v>
      </c>
      <c r="E7" s="38" t="e">
        <f>VLOOKUP(B7,Round1,14,FALSE)</f>
        <v>#REF!</v>
      </c>
      <c r="F7" s="38" t="e">
        <f>VLOOKUP(B7,Round1,12,FALSE)</f>
        <v>#REF!</v>
      </c>
      <c r="G7" s="38" t="e">
        <f>VLOOKUP(B7,Round1,26,FALSE)</f>
        <v>#REF!</v>
      </c>
      <c r="H7" s="38" t="e">
        <f>VLOOKUP(B7,Round1,30,FALSE)</f>
        <v>#REF!</v>
      </c>
      <c r="I7" s="38" t="e">
        <f>VLOOKUP(B7,Round1,31,FALSE)</f>
        <v>#REF!</v>
      </c>
      <c r="J7" s="38" t="e">
        <f>VLOOKUP(B7,Round1,9,FALSE)</f>
        <v>#REF!</v>
      </c>
      <c r="K7" s="102" t="e">
        <f>VLOOKUP(B7,Round1,3,FALSE)</f>
        <v>#REF!</v>
      </c>
      <c r="L7" s="102"/>
      <c r="M7" s="102"/>
      <c r="N7" s="102" t="e">
        <f>K7+L7+M7</f>
        <v>#REF!</v>
      </c>
      <c r="O7" s="75" t="e">
        <f>VLOOKUP(B7,Round1,4,FALSE)</f>
        <v>#REF!</v>
      </c>
      <c r="P7" s="64" t="e">
        <f>VLOOKUP(B7,Round1,5,FALSE)</f>
        <v>#REF!</v>
      </c>
      <c r="Q7" s="65" t="e">
        <f>VLOOKUP(B7,Round1,10,FALSE)</f>
        <v>#REF!</v>
      </c>
      <c r="R7" s="89" t="e">
        <f>VLOOKUP(B7,Round1,19,FALSE)</f>
        <v>#REF!</v>
      </c>
      <c r="S7" s="89" t="e">
        <f>VLOOKUP(B7,Round1,18,FALSE)</f>
        <v>#REF!</v>
      </c>
      <c r="T7" s="15"/>
      <c r="U7" s="15"/>
    </row>
    <row r="8" spans="1:21" x14ac:dyDescent="0.2">
      <c r="B8" s="37"/>
      <c r="C8" s="37"/>
      <c r="D8" s="38"/>
      <c r="E8" s="38"/>
      <c r="F8" s="38"/>
      <c r="G8" s="38"/>
      <c r="H8" s="37"/>
      <c r="I8" s="37"/>
      <c r="J8" s="38"/>
      <c r="K8" s="39"/>
      <c r="L8" s="39"/>
      <c r="M8" s="39"/>
      <c r="N8" s="42"/>
      <c r="O8" s="76"/>
      <c r="P8" s="40"/>
      <c r="Q8" s="16"/>
      <c r="R8" s="90"/>
      <c r="S8" s="91"/>
      <c r="T8" s="15"/>
      <c r="U8" s="15"/>
    </row>
    <row r="9" spans="1:21" s="18" customFormat="1" x14ac:dyDescent="0.2">
      <c r="B9" s="59"/>
      <c r="C9" s="59"/>
      <c r="D9" s="60"/>
      <c r="E9" s="60"/>
      <c r="F9" s="60"/>
      <c r="G9" s="60"/>
      <c r="H9" s="59"/>
      <c r="I9" s="59"/>
      <c r="J9" s="60"/>
      <c r="K9" s="53" t="e">
        <f>SUM(K5:K8)</f>
        <v>#REF!</v>
      </c>
      <c r="L9" s="57"/>
      <c r="M9" s="57"/>
      <c r="N9" s="53" t="e">
        <f>SUM(N5:N8)</f>
        <v>#REF!</v>
      </c>
      <c r="O9" s="77"/>
      <c r="P9" s="61"/>
      <c r="Q9" s="62"/>
      <c r="R9" s="92"/>
      <c r="S9" s="93"/>
      <c r="T9" s="51"/>
      <c r="U9" s="51"/>
    </row>
    <row r="10" spans="1:21" x14ac:dyDescent="0.2">
      <c r="B10" s="37"/>
      <c r="C10" s="37"/>
      <c r="D10" s="38" t="s">
        <v>2</v>
      </c>
      <c r="E10" s="38" t="s">
        <v>3</v>
      </c>
      <c r="F10" s="12" t="s">
        <v>123</v>
      </c>
      <c r="G10" s="38"/>
      <c r="H10" s="37"/>
      <c r="I10" s="37"/>
      <c r="J10" s="38"/>
      <c r="K10" s="42"/>
      <c r="L10" s="39"/>
      <c r="M10" s="39"/>
      <c r="N10" s="42"/>
      <c r="O10" s="76"/>
      <c r="P10" s="40"/>
      <c r="Q10" s="16"/>
      <c r="R10" s="90"/>
      <c r="S10" s="91"/>
      <c r="T10" s="15"/>
      <c r="U10" s="15"/>
    </row>
    <row r="11" spans="1:21" ht="15" x14ac:dyDescent="0.25">
      <c r="A11" s="10" t="s">
        <v>11</v>
      </c>
      <c r="D11" s="46">
        <v>104042129</v>
      </c>
      <c r="E11" s="12" t="e">
        <f>D11-K20</f>
        <v>#REF!</v>
      </c>
      <c r="F11" s="67" t="e">
        <f>IF(E11&gt;0,(E11/0.8),"N/A")</f>
        <v>#REF!</v>
      </c>
      <c r="G11" s="12"/>
      <c r="H11" s="38"/>
      <c r="I11" s="38"/>
      <c r="J11" s="38"/>
      <c r="K11" s="42"/>
      <c r="L11" s="39"/>
      <c r="M11" s="39"/>
      <c r="N11" s="42"/>
      <c r="O11" s="76"/>
      <c r="P11" s="40"/>
      <c r="Q11" s="16"/>
      <c r="R11" s="90"/>
      <c r="S11" s="91"/>
      <c r="T11" s="15"/>
      <c r="U11" s="15"/>
    </row>
    <row r="12" spans="1:21" x14ac:dyDescent="0.2">
      <c r="A12" s="10"/>
      <c r="B12" s="8" t="s">
        <v>35</v>
      </c>
      <c r="C12" s="8" t="s">
        <v>137</v>
      </c>
      <c r="D12" s="8" t="s">
        <v>23</v>
      </c>
      <c r="E12" s="8" t="s">
        <v>4</v>
      </c>
      <c r="F12" s="8" t="s">
        <v>40</v>
      </c>
      <c r="G12" s="8" t="s">
        <v>0</v>
      </c>
      <c r="H12" s="8" t="s">
        <v>24</v>
      </c>
      <c r="I12" s="8" t="s">
        <v>5</v>
      </c>
      <c r="J12" s="8" t="s">
        <v>1</v>
      </c>
      <c r="K12" s="26" t="s">
        <v>138</v>
      </c>
      <c r="L12" s="26" t="s">
        <v>139</v>
      </c>
      <c r="M12" s="26" t="s">
        <v>140</v>
      </c>
      <c r="N12" s="26" t="s">
        <v>39</v>
      </c>
      <c r="O12" s="74" t="s">
        <v>36</v>
      </c>
      <c r="P12" s="8" t="s">
        <v>37</v>
      </c>
      <c r="Q12" s="8" t="s">
        <v>38</v>
      </c>
      <c r="R12" s="90"/>
      <c r="S12" s="91"/>
      <c r="T12" s="15"/>
      <c r="U12" s="15"/>
    </row>
    <row r="13" spans="1:21" x14ac:dyDescent="0.2">
      <c r="B13" s="37" t="s">
        <v>73</v>
      </c>
      <c r="C13" s="38" t="e">
        <f t="shared" ref="C13:C18" si="0">VLOOKUP(B13,Round1,15,FALSE)</f>
        <v>#REF!</v>
      </c>
      <c r="D13" s="38" t="e">
        <f t="shared" ref="D13:D18" si="1">VLOOKUP(B13,Round1,2,FALSE)</f>
        <v>#REF!</v>
      </c>
      <c r="E13" s="38" t="e">
        <f t="shared" ref="E13:E18" si="2">VLOOKUP(B13,Round1,14,FALSE)</f>
        <v>#REF!</v>
      </c>
      <c r="F13" s="38" t="e">
        <f t="shared" ref="F13:F18" si="3">VLOOKUP(B13,Round1,12,FALSE)</f>
        <v>#REF!</v>
      </c>
      <c r="G13" s="38" t="e">
        <f t="shared" ref="G13:G18" si="4">VLOOKUP(B13,Round1,26,FALSE)</f>
        <v>#REF!</v>
      </c>
      <c r="H13" s="38" t="e">
        <f t="shared" ref="H13:H18" si="5">VLOOKUP(B13,Round1,30,FALSE)</f>
        <v>#REF!</v>
      </c>
      <c r="I13" s="38" t="e">
        <f t="shared" ref="I13:I18" si="6">VLOOKUP(B13,Round1,31,FALSE)</f>
        <v>#REF!</v>
      </c>
      <c r="J13" s="38" t="e">
        <f t="shared" ref="J13:J18" si="7">VLOOKUP(B13,Round1,9,FALSE)</f>
        <v>#REF!</v>
      </c>
      <c r="K13" s="101"/>
      <c r="L13" s="39">
        <v>4216147</v>
      </c>
      <c r="M13" s="39">
        <v>853</v>
      </c>
      <c r="N13" s="42">
        <f>K13+L13+M13</f>
        <v>4217000</v>
      </c>
      <c r="O13" s="75" t="e">
        <f t="shared" ref="O13:O18" si="8">VLOOKUP(B13,Round1,4,FALSE)</f>
        <v>#REF!</v>
      </c>
      <c r="P13" s="64" t="e">
        <f t="shared" ref="P13:P18" si="9">VLOOKUP(B13,Round1,5,FALSE)</f>
        <v>#REF!</v>
      </c>
      <c r="Q13" s="65" t="e">
        <f t="shared" ref="Q13:Q18" si="10">VLOOKUP(B13,Round1,10,FALSE)</f>
        <v>#REF!</v>
      </c>
      <c r="R13" s="89" t="e">
        <f t="shared" ref="R13:R18" si="11">VLOOKUP(B13,Round1,19,FALSE)</f>
        <v>#REF!</v>
      </c>
      <c r="S13" s="89" t="e">
        <f t="shared" ref="S13:S18" si="12">VLOOKUP(B13,Round1,18,FALSE)</f>
        <v>#REF!</v>
      </c>
      <c r="T13" s="15"/>
      <c r="U13" s="15"/>
    </row>
    <row r="14" spans="1:21" x14ac:dyDescent="0.2">
      <c r="B14" s="37" t="s">
        <v>90</v>
      </c>
      <c r="C14" s="38" t="e">
        <f t="shared" si="0"/>
        <v>#REF!</v>
      </c>
      <c r="D14" s="38" t="e">
        <f t="shared" si="1"/>
        <v>#REF!</v>
      </c>
      <c r="E14" s="38" t="e">
        <f t="shared" si="2"/>
        <v>#REF!</v>
      </c>
      <c r="F14" s="38" t="e">
        <f t="shared" si="3"/>
        <v>#REF!</v>
      </c>
      <c r="G14" s="38" t="e">
        <f t="shared" si="4"/>
        <v>#REF!</v>
      </c>
      <c r="H14" s="38" t="e">
        <f t="shared" si="5"/>
        <v>#REF!</v>
      </c>
      <c r="I14" s="38" t="e">
        <f t="shared" si="6"/>
        <v>#REF!</v>
      </c>
      <c r="J14" s="38" t="e">
        <f t="shared" si="7"/>
        <v>#REF!</v>
      </c>
      <c r="K14" s="101" t="e">
        <f>VLOOKUP(B14,Round1,3,FALSE)</f>
        <v>#REF!</v>
      </c>
      <c r="L14" s="101"/>
      <c r="M14" s="101"/>
      <c r="N14" s="42" t="e">
        <f>K14+L14+M14</f>
        <v>#REF!</v>
      </c>
      <c r="O14" s="75" t="e">
        <f t="shared" si="8"/>
        <v>#REF!</v>
      </c>
      <c r="P14" s="64" t="e">
        <f t="shared" si="9"/>
        <v>#REF!</v>
      </c>
      <c r="Q14" s="65" t="e">
        <f t="shared" si="10"/>
        <v>#REF!</v>
      </c>
      <c r="R14" s="89" t="e">
        <f t="shared" si="11"/>
        <v>#REF!</v>
      </c>
      <c r="S14" s="89" t="e">
        <f t="shared" si="12"/>
        <v>#REF!</v>
      </c>
      <c r="T14" s="15"/>
      <c r="U14" s="15"/>
    </row>
    <row r="15" spans="1:21" x14ac:dyDescent="0.2">
      <c r="B15" s="37" t="s">
        <v>93</v>
      </c>
      <c r="C15" s="38" t="e">
        <f t="shared" si="0"/>
        <v>#REF!</v>
      </c>
      <c r="D15" s="38" t="e">
        <f t="shared" si="1"/>
        <v>#REF!</v>
      </c>
      <c r="E15" s="38" t="e">
        <f t="shared" si="2"/>
        <v>#REF!</v>
      </c>
      <c r="F15" s="38" t="e">
        <f t="shared" si="3"/>
        <v>#REF!</v>
      </c>
      <c r="G15" s="38" t="e">
        <f t="shared" si="4"/>
        <v>#REF!</v>
      </c>
      <c r="H15" s="38" t="e">
        <f t="shared" si="5"/>
        <v>#REF!</v>
      </c>
      <c r="I15" s="38" t="e">
        <f t="shared" si="6"/>
        <v>#REF!</v>
      </c>
      <c r="J15" s="38" t="e">
        <f t="shared" si="7"/>
        <v>#REF!</v>
      </c>
      <c r="K15" s="101" t="e">
        <f>VLOOKUP(B15,Round1,3,FALSE)</f>
        <v>#REF!</v>
      </c>
      <c r="L15" s="101"/>
      <c r="M15" s="101"/>
      <c r="N15" s="42">
        <v>9730000</v>
      </c>
      <c r="O15" s="75" t="e">
        <f t="shared" si="8"/>
        <v>#REF!</v>
      </c>
      <c r="P15" s="64" t="e">
        <f t="shared" si="9"/>
        <v>#REF!</v>
      </c>
      <c r="Q15" s="65" t="e">
        <f t="shared" si="10"/>
        <v>#REF!</v>
      </c>
      <c r="R15" s="89" t="e">
        <f t="shared" si="11"/>
        <v>#REF!</v>
      </c>
      <c r="S15" s="89" t="e">
        <f t="shared" si="12"/>
        <v>#REF!</v>
      </c>
      <c r="T15" s="15"/>
      <c r="U15" s="15"/>
    </row>
    <row r="16" spans="1:21" x14ac:dyDescent="0.2">
      <c r="B16" s="37" t="s">
        <v>67</v>
      </c>
      <c r="C16" s="38" t="e">
        <f t="shared" si="0"/>
        <v>#REF!</v>
      </c>
      <c r="D16" s="38" t="e">
        <f t="shared" si="1"/>
        <v>#REF!</v>
      </c>
      <c r="E16" s="38" t="e">
        <f t="shared" si="2"/>
        <v>#REF!</v>
      </c>
      <c r="F16" s="38" t="e">
        <f t="shared" si="3"/>
        <v>#REF!</v>
      </c>
      <c r="G16" s="38" t="e">
        <f t="shared" si="4"/>
        <v>#REF!</v>
      </c>
      <c r="H16" s="38" t="e">
        <f t="shared" si="5"/>
        <v>#REF!</v>
      </c>
      <c r="I16" s="38" t="e">
        <f t="shared" si="6"/>
        <v>#REF!</v>
      </c>
      <c r="J16" s="38" t="e">
        <f t="shared" si="7"/>
        <v>#REF!</v>
      </c>
      <c r="K16" s="101" t="e">
        <f>VLOOKUP(B16,Round1,3,FALSE)</f>
        <v>#REF!</v>
      </c>
      <c r="L16" s="101"/>
      <c r="M16" s="101"/>
      <c r="N16" s="42">
        <v>41631580</v>
      </c>
      <c r="O16" s="75" t="e">
        <f t="shared" si="8"/>
        <v>#REF!</v>
      </c>
      <c r="P16" s="64" t="e">
        <f t="shared" si="9"/>
        <v>#REF!</v>
      </c>
      <c r="Q16" s="65" t="e">
        <f t="shared" si="10"/>
        <v>#REF!</v>
      </c>
      <c r="R16" s="89" t="e">
        <f t="shared" si="11"/>
        <v>#REF!</v>
      </c>
      <c r="S16" s="89" t="e">
        <f t="shared" si="12"/>
        <v>#REF!</v>
      </c>
      <c r="T16" s="15"/>
      <c r="U16" s="15"/>
    </row>
    <row r="17" spans="1:21" x14ac:dyDescent="0.2">
      <c r="B17" s="37" t="s">
        <v>88</v>
      </c>
      <c r="C17" s="38" t="e">
        <f t="shared" si="0"/>
        <v>#REF!</v>
      </c>
      <c r="D17" s="38" t="e">
        <f t="shared" si="1"/>
        <v>#REF!</v>
      </c>
      <c r="E17" s="38" t="e">
        <f t="shared" si="2"/>
        <v>#REF!</v>
      </c>
      <c r="F17" s="38" t="e">
        <f t="shared" si="3"/>
        <v>#REF!</v>
      </c>
      <c r="G17" s="38" t="e">
        <f t="shared" si="4"/>
        <v>#REF!</v>
      </c>
      <c r="H17" s="38" t="e">
        <f t="shared" si="5"/>
        <v>#REF!</v>
      </c>
      <c r="I17" s="38" t="e">
        <f t="shared" si="6"/>
        <v>#REF!</v>
      </c>
      <c r="J17" s="38" t="e">
        <f t="shared" si="7"/>
        <v>#REF!</v>
      </c>
      <c r="K17" s="101" t="e">
        <f>VLOOKUP(B17,Round1,3,FALSE)</f>
        <v>#REF!</v>
      </c>
      <c r="L17" s="101"/>
      <c r="M17" s="101"/>
      <c r="N17" s="42">
        <v>17260612.685932882</v>
      </c>
      <c r="O17" s="75" t="e">
        <f t="shared" si="8"/>
        <v>#REF!</v>
      </c>
      <c r="P17" s="64" t="e">
        <f t="shared" si="9"/>
        <v>#REF!</v>
      </c>
      <c r="Q17" s="65" t="e">
        <f t="shared" si="10"/>
        <v>#REF!</v>
      </c>
      <c r="R17" s="89" t="e">
        <f t="shared" si="11"/>
        <v>#REF!</v>
      </c>
      <c r="S17" s="89" t="e">
        <f t="shared" si="12"/>
        <v>#REF!</v>
      </c>
      <c r="T17" s="15"/>
      <c r="U17" s="15"/>
    </row>
    <row r="18" spans="1:21" x14ac:dyDescent="0.2">
      <c r="B18" s="37" t="s">
        <v>108</v>
      </c>
      <c r="C18" s="38" t="e">
        <f t="shared" si="0"/>
        <v>#REF!</v>
      </c>
      <c r="D18" s="38" t="e">
        <f t="shared" si="1"/>
        <v>#REF!</v>
      </c>
      <c r="E18" s="38" t="e">
        <f t="shared" si="2"/>
        <v>#REF!</v>
      </c>
      <c r="F18" s="38" t="e">
        <f t="shared" si="3"/>
        <v>#REF!</v>
      </c>
      <c r="G18" s="38" t="e">
        <f t="shared" si="4"/>
        <v>#REF!</v>
      </c>
      <c r="H18" s="38" t="e">
        <f t="shared" si="5"/>
        <v>#REF!</v>
      </c>
      <c r="I18" s="38" t="e">
        <f t="shared" si="6"/>
        <v>#REF!</v>
      </c>
      <c r="J18" s="38" t="e">
        <f t="shared" si="7"/>
        <v>#REF!</v>
      </c>
      <c r="K18" s="102" t="e">
        <f>VLOOKUP(B18,Round1,3,FALSE)</f>
        <v>#REF!</v>
      </c>
      <c r="L18" s="102"/>
      <c r="M18" s="102"/>
      <c r="N18" s="86">
        <v>8340000</v>
      </c>
      <c r="O18" s="75" t="e">
        <f t="shared" si="8"/>
        <v>#REF!</v>
      </c>
      <c r="P18" s="64" t="e">
        <f t="shared" si="9"/>
        <v>#REF!</v>
      </c>
      <c r="Q18" s="65" t="e">
        <f t="shared" si="10"/>
        <v>#REF!</v>
      </c>
      <c r="R18" s="89" t="e">
        <f t="shared" si="11"/>
        <v>#REF!</v>
      </c>
      <c r="S18" s="89" t="e">
        <f t="shared" si="12"/>
        <v>#REF!</v>
      </c>
      <c r="T18" s="15"/>
      <c r="U18" s="15"/>
    </row>
    <row r="19" spans="1:21" x14ac:dyDescent="0.2">
      <c r="K19" s="39"/>
      <c r="T19" s="15"/>
      <c r="U19" s="15"/>
    </row>
    <row r="20" spans="1:21" s="18" customFormat="1" x14ac:dyDescent="0.2">
      <c r="B20" s="19"/>
      <c r="C20" s="19"/>
      <c r="E20" s="19"/>
      <c r="F20" s="19"/>
      <c r="G20" s="19"/>
      <c r="H20" s="19"/>
      <c r="I20" s="19"/>
      <c r="J20" s="19"/>
      <c r="K20" s="53" t="e">
        <f>SUM(K13:K19)</f>
        <v>#REF!</v>
      </c>
      <c r="L20" s="57"/>
      <c r="M20" s="57"/>
      <c r="N20" s="53" t="e">
        <f>SUM(N13:N19)</f>
        <v>#REF!</v>
      </c>
      <c r="O20" s="79"/>
      <c r="P20" s="20"/>
      <c r="Q20" s="20"/>
      <c r="R20" s="94"/>
      <c r="S20" s="94"/>
      <c r="T20" s="51"/>
      <c r="U20" s="51"/>
    </row>
    <row r="21" spans="1:21" x14ac:dyDescent="0.2">
      <c r="F21" s="12" t="s">
        <v>123</v>
      </c>
      <c r="T21" s="15"/>
      <c r="U21" s="15"/>
    </row>
    <row r="22" spans="1:21" ht="15" x14ac:dyDescent="0.25">
      <c r="A22" s="10" t="s">
        <v>32</v>
      </c>
      <c r="D22" s="46">
        <v>7431581</v>
      </c>
      <c r="E22" s="12" t="e">
        <f>D22-K26</f>
        <v>#REF!</v>
      </c>
      <c r="F22" s="67" t="e">
        <f>IF(E22&gt;0,(E22/0.8),"N/A")</f>
        <v>#REF!</v>
      </c>
      <c r="G22" s="12"/>
      <c r="H22" s="12"/>
      <c r="I22" s="12"/>
      <c r="J22" s="12"/>
      <c r="K22" s="41"/>
      <c r="L22" s="56"/>
      <c r="M22" s="56"/>
      <c r="N22" s="41"/>
      <c r="T22" s="15"/>
      <c r="U22" s="15"/>
    </row>
    <row r="23" spans="1:21" x14ac:dyDescent="0.2">
      <c r="A23" s="10"/>
      <c r="B23" s="8" t="s">
        <v>35</v>
      </c>
      <c r="C23" s="8" t="s">
        <v>137</v>
      </c>
      <c r="D23" s="8" t="s">
        <v>23</v>
      </c>
      <c r="E23" s="8" t="s">
        <v>4</v>
      </c>
      <c r="F23" s="8" t="s">
        <v>40</v>
      </c>
      <c r="G23" s="8" t="s">
        <v>0</v>
      </c>
      <c r="H23" s="8" t="s">
        <v>24</v>
      </c>
      <c r="I23" s="8" t="s">
        <v>5</v>
      </c>
      <c r="J23" s="8" t="s">
        <v>1</v>
      </c>
      <c r="K23" s="26" t="s">
        <v>138</v>
      </c>
      <c r="L23" s="26" t="s">
        <v>139</v>
      </c>
      <c r="M23" s="26" t="s">
        <v>140</v>
      </c>
      <c r="N23" s="26" t="s">
        <v>39</v>
      </c>
      <c r="O23" s="74" t="s">
        <v>36</v>
      </c>
      <c r="P23" s="8" t="s">
        <v>37</v>
      </c>
      <c r="Q23" s="8" t="s">
        <v>38</v>
      </c>
      <c r="T23" s="15"/>
      <c r="U23" s="15"/>
    </row>
    <row r="24" spans="1:21" x14ac:dyDescent="0.2">
      <c r="B24" s="66" t="s">
        <v>120</v>
      </c>
      <c r="C24" s="38" t="e">
        <f>VLOOKUP(B24,Round1,15,FALSE)</f>
        <v>#REF!</v>
      </c>
      <c r="D24" s="38" t="e">
        <f>VLOOKUP(B24,Round1,2,FALSE)</f>
        <v>#REF!</v>
      </c>
      <c r="E24" s="38" t="e">
        <f>VLOOKUP(B24,Round1,14,FALSE)</f>
        <v>#REF!</v>
      </c>
      <c r="F24" s="38" t="e">
        <f>VLOOKUP(B24,Round1,12,FALSE)</f>
        <v>#REF!</v>
      </c>
      <c r="G24" s="38" t="e">
        <f>VLOOKUP(B24,Round1,26,FALSE)</f>
        <v>#REF!</v>
      </c>
      <c r="H24" s="38" t="e">
        <f>VLOOKUP(B24,Round1,30,FALSE)</f>
        <v>#REF!</v>
      </c>
      <c r="I24" s="38" t="e">
        <f>VLOOKUP(B24,Round1,31,FALSE)</f>
        <v>#REF!</v>
      </c>
      <c r="J24" s="38" t="e">
        <f>VLOOKUP(B24,Round1,9,FALSE)</f>
        <v>#REF!</v>
      </c>
      <c r="K24" s="102" t="e">
        <f>VLOOKUP(B24,Round1,3,FALSE)</f>
        <v>#REF!</v>
      </c>
      <c r="L24" s="102"/>
      <c r="M24" s="102"/>
      <c r="N24" s="102" t="e">
        <f>K24+L24+M24</f>
        <v>#REF!</v>
      </c>
      <c r="O24" s="75" t="e">
        <f>VLOOKUP(B24,Round1,4,FALSE)</f>
        <v>#REF!</v>
      </c>
      <c r="P24" s="64" t="e">
        <f>VLOOKUP(B24,Round1,5,FALSE)</f>
        <v>#REF!</v>
      </c>
      <c r="Q24" s="65" t="e">
        <f>VLOOKUP(B24,Round1,10,FALSE)</f>
        <v>#REF!</v>
      </c>
      <c r="R24" s="89" t="e">
        <f>VLOOKUP(B24,Round1,19,FALSE)</f>
        <v>#REF!</v>
      </c>
      <c r="S24" s="89" t="e">
        <f>VLOOKUP(B24,Round1,18,FALSE)</f>
        <v>#REF!</v>
      </c>
      <c r="T24" s="15"/>
      <c r="U24" s="15"/>
    </row>
    <row r="25" spans="1:21" x14ac:dyDescent="0.2">
      <c r="B25" s="63"/>
      <c r="C25" s="38"/>
      <c r="D25" s="38"/>
      <c r="E25" s="38"/>
      <c r="F25" s="38"/>
      <c r="G25" s="38"/>
      <c r="H25" s="38"/>
      <c r="I25" s="38"/>
      <c r="J25" s="38"/>
      <c r="K25" s="101"/>
      <c r="L25" s="101"/>
      <c r="M25" s="101"/>
      <c r="N25" s="101"/>
      <c r="O25" s="75"/>
      <c r="P25" s="64"/>
      <c r="Q25" s="65"/>
      <c r="R25" s="89"/>
      <c r="S25" s="89"/>
      <c r="T25" s="15"/>
      <c r="U25" s="15"/>
    </row>
    <row r="26" spans="1:21" s="18" customFormat="1" x14ac:dyDescent="0.2">
      <c r="B26" s="103"/>
      <c r="C26" s="60"/>
      <c r="D26" s="60"/>
      <c r="E26" s="60"/>
      <c r="F26" s="60"/>
      <c r="G26" s="60"/>
      <c r="H26" s="60"/>
      <c r="I26" s="60"/>
      <c r="J26" s="60"/>
      <c r="K26" s="107" t="e">
        <f>SUM(K24:K25)</f>
        <v>#REF!</v>
      </c>
      <c r="L26" s="102"/>
      <c r="M26" s="102"/>
      <c r="N26" s="107" t="e">
        <f>SUM(N24:N25)</f>
        <v>#REF!</v>
      </c>
      <c r="O26" s="104"/>
      <c r="P26" s="85"/>
      <c r="Q26" s="105"/>
      <c r="R26" s="106"/>
      <c r="S26" s="106"/>
      <c r="T26" s="51"/>
      <c r="U26" s="51"/>
    </row>
    <row r="27" spans="1:21" x14ac:dyDescent="0.2">
      <c r="T27" s="47"/>
      <c r="U27" s="47"/>
    </row>
    <row r="28" spans="1:21" ht="15" x14ac:dyDescent="0.25">
      <c r="A28" s="10" t="s">
        <v>33</v>
      </c>
      <c r="D28" s="46">
        <v>37157904</v>
      </c>
      <c r="E28" s="12" t="e">
        <f>D28-K37</f>
        <v>#REF!</v>
      </c>
      <c r="F28" s="67" t="e">
        <f>IF(E28&gt;0,(E28/0.8),"N/A")</f>
        <v>#REF!</v>
      </c>
      <c r="G28" s="12"/>
      <c r="H28" s="12"/>
      <c r="I28" s="12"/>
      <c r="J28" s="12"/>
      <c r="K28" s="41"/>
      <c r="L28" s="56"/>
      <c r="M28" s="56"/>
      <c r="N28" s="41"/>
      <c r="T28" s="47"/>
      <c r="U28" s="47"/>
    </row>
    <row r="29" spans="1:21" x14ac:dyDescent="0.2">
      <c r="B29" s="63" t="s">
        <v>60</v>
      </c>
      <c r="C29" s="38" t="e">
        <f>VLOOKUP(B29,Round1,15,FALSE)</f>
        <v>#REF!</v>
      </c>
      <c r="D29" s="38" t="e">
        <f>VLOOKUP(B29,Round1,2,FALSE)</f>
        <v>#REF!</v>
      </c>
      <c r="E29" s="38" t="e">
        <f>VLOOKUP(B29,Round1,14,FALSE)</f>
        <v>#REF!</v>
      </c>
      <c r="F29" s="38" t="e">
        <f>VLOOKUP(B29,Round1,12,FALSE)</f>
        <v>#REF!</v>
      </c>
      <c r="G29" s="38" t="e">
        <f>VLOOKUP(B29,Round1,26,FALSE)</f>
        <v>#REF!</v>
      </c>
      <c r="H29" s="38" t="e">
        <f>VLOOKUP(B29,Round1,30,FALSE)</f>
        <v>#REF!</v>
      </c>
      <c r="I29" s="38" t="e">
        <f>VLOOKUP(B29,Round1,31,FALSE)</f>
        <v>#REF!</v>
      </c>
      <c r="J29" s="38" t="e">
        <f>VLOOKUP(B29,Round1,9,FALSE)</f>
        <v>#REF!</v>
      </c>
      <c r="K29" s="64" t="e">
        <f>VLOOKUP(B29,Round1,3,FALSE)</f>
        <v>#REF!</v>
      </c>
      <c r="L29" s="39"/>
      <c r="M29" s="39"/>
      <c r="N29" s="42">
        <v>9000000</v>
      </c>
      <c r="O29" s="75" t="e">
        <f>VLOOKUP(B29,Round1,4,FALSE)</f>
        <v>#REF!</v>
      </c>
      <c r="P29" s="64" t="e">
        <f>VLOOKUP(B29,Round1,5,FALSE)</f>
        <v>#REF!</v>
      </c>
      <c r="Q29" s="65" t="e">
        <f>VLOOKUP(B29,Round1,10,FALSE)</f>
        <v>#REF!</v>
      </c>
      <c r="R29" s="89" t="e">
        <f>VLOOKUP(B29,Round1,19,FALSE)</f>
        <v>#REF!</v>
      </c>
      <c r="S29" s="89" t="e">
        <f>VLOOKUP(B29,Round1,18,FALSE)</f>
        <v>#REF!</v>
      </c>
      <c r="T29" s="15"/>
      <c r="U29" s="15"/>
    </row>
    <row r="30" spans="1:21" x14ac:dyDescent="0.2">
      <c r="B30" s="63" t="s">
        <v>59</v>
      </c>
      <c r="C30" s="38" t="e">
        <f>VLOOKUP(B30,Round1,15,FALSE)</f>
        <v>#REF!</v>
      </c>
      <c r="D30" s="38" t="e">
        <f>VLOOKUP(B30,Round1,2,FALSE)</f>
        <v>#REF!</v>
      </c>
      <c r="E30" s="38" t="e">
        <f>VLOOKUP(B30,Round1,14,FALSE)</f>
        <v>#REF!</v>
      </c>
      <c r="F30" s="38" t="e">
        <f>VLOOKUP(B30,Round1,12,FALSE)</f>
        <v>#REF!</v>
      </c>
      <c r="G30" s="38" t="e">
        <f>VLOOKUP(B30,Round1,26,FALSE)</f>
        <v>#REF!</v>
      </c>
      <c r="H30" s="38" t="e">
        <f>VLOOKUP(B30,Round1,30,FALSE)</f>
        <v>#REF!</v>
      </c>
      <c r="I30" s="38" t="e">
        <f>VLOOKUP(B30,Round1,31,FALSE)</f>
        <v>#REF!</v>
      </c>
      <c r="J30" s="38" t="e">
        <f>VLOOKUP(B30,Round1,9,FALSE)</f>
        <v>#REF!</v>
      </c>
      <c r="K30" s="64" t="e">
        <f>VLOOKUP(B30,Round1,3,FALSE)</f>
        <v>#REF!</v>
      </c>
      <c r="L30" s="39"/>
      <c r="M30" s="39"/>
      <c r="N30" s="42">
        <v>14000000</v>
      </c>
      <c r="O30" s="75" t="e">
        <f>VLOOKUP(B30,Round1,4,FALSE)</f>
        <v>#REF!</v>
      </c>
      <c r="P30" s="64" t="e">
        <f>VLOOKUP(B30,Round1,5,FALSE)</f>
        <v>#REF!</v>
      </c>
      <c r="Q30" s="65" t="e">
        <f>VLOOKUP(B30,Round1,10,FALSE)</f>
        <v>#REF!</v>
      </c>
      <c r="R30" s="89" t="e">
        <f>VLOOKUP(B30,Round1,19,FALSE)</f>
        <v>#REF!</v>
      </c>
      <c r="S30" s="89" t="e">
        <f>VLOOKUP(B30,Round1,18,FALSE)</f>
        <v>#REF!</v>
      </c>
      <c r="T30" s="15"/>
      <c r="U30" s="15"/>
    </row>
    <row r="31" spans="1:21" x14ac:dyDescent="0.2">
      <c r="B31" s="66" t="s">
        <v>104</v>
      </c>
      <c r="C31" s="38" t="e">
        <f>VLOOKUP(B31,Round1,15,FALSE)</f>
        <v>#REF!</v>
      </c>
      <c r="D31" s="38" t="e">
        <f>VLOOKUP(B31,Round1,2,FALSE)</f>
        <v>#REF!</v>
      </c>
      <c r="E31" s="38" t="e">
        <f>VLOOKUP(B31,Round1,14,FALSE)</f>
        <v>#REF!</v>
      </c>
      <c r="F31" s="38" t="e">
        <f>VLOOKUP(B31,Round1,12,FALSE)</f>
        <v>#REF!</v>
      </c>
      <c r="G31" s="38" t="e">
        <f>VLOOKUP(B31,Round1,26,FALSE)</f>
        <v>#REF!</v>
      </c>
      <c r="H31" s="38" t="e">
        <f>VLOOKUP(B31,Round1,30,FALSE)</f>
        <v>#REF!</v>
      </c>
      <c r="I31" s="38" t="e">
        <f>VLOOKUP(B31,Round1,31,FALSE)</f>
        <v>#REF!</v>
      </c>
      <c r="J31" s="38" t="e">
        <f>VLOOKUP(B31,Round1,9,FALSE)</f>
        <v>#REF!</v>
      </c>
      <c r="K31" s="64" t="e">
        <f>VLOOKUP(B31,Round1,3,FALSE)</f>
        <v>#REF!</v>
      </c>
      <c r="L31" s="39"/>
      <c r="M31" s="39"/>
      <c r="N31" s="42">
        <v>13500000</v>
      </c>
      <c r="O31" s="75" t="e">
        <f>VLOOKUP(B31,Round1,4,FALSE)</f>
        <v>#REF!</v>
      </c>
      <c r="P31" s="64" t="e">
        <f>VLOOKUP(B31,Round1,5,FALSE)</f>
        <v>#REF!</v>
      </c>
      <c r="Q31" s="65" t="e">
        <f>VLOOKUP(B31,Round1,10,FALSE)</f>
        <v>#REF!</v>
      </c>
      <c r="R31" s="89" t="e">
        <f>VLOOKUP(B31,Round1,19,FALSE)</f>
        <v>#REF!</v>
      </c>
      <c r="S31" s="89" t="e">
        <f>VLOOKUP(B31,Round1,18,FALSE)</f>
        <v>#REF!</v>
      </c>
      <c r="T31" s="15"/>
      <c r="U31" s="15"/>
    </row>
    <row r="32" spans="1:21" x14ac:dyDescent="0.2">
      <c r="B32" s="13"/>
      <c r="C32" s="13"/>
      <c r="D32" s="14"/>
      <c r="E32" s="14"/>
      <c r="F32" s="14"/>
      <c r="G32" s="14"/>
      <c r="H32" s="14"/>
      <c r="I32" s="14"/>
      <c r="J32" s="14"/>
      <c r="K32" s="39">
        <f>N32-L32</f>
        <v>0</v>
      </c>
      <c r="L32" s="15"/>
      <c r="M32" s="15"/>
      <c r="N32" s="43"/>
      <c r="O32" s="78"/>
      <c r="P32" s="14"/>
      <c r="Q32" s="13"/>
      <c r="R32" s="95"/>
      <c r="S32" s="95"/>
      <c r="T32" s="15"/>
      <c r="U32" s="15"/>
    </row>
    <row r="33" spans="1:21" x14ac:dyDescent="0.2">
      <c r="B33" s="13"/>
      <c r="C33" s="13"/>
      <c r="D33" s="14"/>
      <c r="E33" s="14"/>
      <c r="F33" s="14"/>
      <c r="G33" s="14"/>
      <c r="H33" s="14"/>
      <c r="I33" s="14"/>
      <c r="J33" s="14"/>
      <c r="K33" s="39">
        <f>N33-L33</f>
        <v>0</v>
      </c>
      <c r="L33" s="15"/>
      <c r="M33" s="15"/>
      <c r="N33" s="43"/>
      <c r="O33" s="78"/>
      <c r="P33" s="14"/>
      <c r="Q33" s="13"/>
      <c r="R33" s="95"/>
      <c r="S33" s="95"/>
      <c r="T33" s="15"/>
      <c r="U33" s="15"/>
    </row>
    <row r="34" spans="1:21" x14ac:dyDescent="0.2">
      <c r="K34" s="39">
        <f>N34-L34</f>
        <v>0</v>
      </c>
      <c r="T34" s="15"/>
      <c r="U34" s="15"/>
    </row>
    <row r="35" spans="1:21" x14ac:dyDescent="0.2">
      <c r="D35" s="6"/>
      <c r="K35" s="39">
        <f>N35-L35</f>
        <v>0</v>
      </c>
      <c r="T35" s="15"/>
      <c r="U35" s="15"/>
    </row>
    <row r="36" spans="1:21" x14ac:dyDescent="0.2">
      <c r="K36" s="39">
        <f>N36-L36</f>
        <v>0</v>
      </c>
      <c r="T36" s="15"/>
      <c r="U36" s="15"/>
    </row>
    <row r="37" spans="1:21" x14ac:dyDescent="0.2">
      <c r="K37" s="44" t="e">
        <f>SUM(K29:K36)</f>
        <v>#REF!</v>
      </c>
      <c r="N37" s="44">
        <f>SUM(N29:N36)</f>
        <v>36500000</v>
      </c>
      <c r="T37" s="47"/>
      <c r="U37" s="47"/>
    </row>
    <row r="38" spans="1:21" x14ac:dyDescent="0.2">
      <c r="T38" s="47"/>
      <c r="U38" s="47"/>
    </row>
    <row r="39" spans="1:21" s="4" customFormat="1" x14ac:dyDescent="0.2">
      <c r="A39" s="1" t="s">
        <v>20</v>
      </c>
      <c r="B39" s="3"/>
      <c r="C39" s="3"/>
      <c r="E39" s="3"/>
      <c r="F39" s="3"/>
      <c r="G39" s="3"/>
      <c r="H39" s="3"/>
      <c r="I39" s="3"/>
      <c r="J39" s="3"/>
      <c r="K39" s="52"/>
      <c r="L39" s="55"/>
      <c r="M39" s="55"/>
      <c r="N39" s="52"/>
      <c r="O39" s="72"/>
      <c r="P39" s="5"/>
      <c r="Q39" s="5"/>
      <c r="R39" s="87"/>
      <c r="S39" s="87"/>
      <c r="T39" s="48"/>
      <c r="U39" s="48"/>
    </row>
    <row r="40" spans="1:21" x14ac:dyDescent="0.2">
      <c r="T40" s="47"/>
      <c r="U40" s="47"/>
    </row>
    <row r="41" spans="1:21" ht="15" x14ac:dyDescent="0.25">
      <c r="A41" s="10" t="s">
        <v>13</v>
      </c>
      <c r="D41" s="46">
        <v>185789517</v>
      </c>
      <c r="E41" s="12" t="e">
        <f>D41-K52</f>
        <v>#REF!</v>
      </c>
      <c r="F41" s="67" t="e">
        <f>IF(E41&gt;0,(E41/0.8),"N/A")</f>
        <v>#REF!</v>
      </c>
      <c r="G41" s="12"/>
      <c r="H41" s="12"/>
      <c r="I41" s="12"/>
      <c r="J41" s="12"/>
      <c r="K41" s="41"/>
      <c r="L41" s="56"/>
      <c r="M41" s="56"/>
      <c r="N41" s="41"/>
      <c r="T41" s="47"/>
      <c r="U41" s="47"/>
    </row>
    <row r="42" spans="1:21" x14ac:dyDescent="0.2">
      <c r="B42" s="66" t="s">
        <v>80</v>
      </c>
      <c r="C42" s="38" t="e">
        <f t="shared" ref="C42:C50" si="13">VLOOKUP(B42,Round1,15,FALSE)</f>
        <v>#REF!</v>
      </c>
      <c r="D42" s="38" t="e">
        <f t="shared" ref="D42:D50" si="14">VLOOKUP(B42,Round1,2,FALSE)</f>
        <v>#REF!</v>
      </c>
      <c r="E42" s="38" t="e">
        <f t="shared" ref="E42:E50" si="15">VLOOKUP(B42,Round1,14,FALSE)</f>
        <v>#REF!</v>
      </c>
      <c r="F42" s="38" t="e">
        <f t="shared" ref="F42:F50" si="16">VLOOKUP(B42,Round1,12,FALSE)</f>
        <v>#REF!</v>
      </c>
      <c r="G42" s="38" t="e">
        <f t="shared" ref="G42:G50" si="17">VLOOKUP(B42,Round1,26,FALSE)</f>
        <v>#REF!</v>
      </c>
      <c r="H42" s="38" t="e">
        <f t="shared" ref="H42:H50" si="18">VLOOKUP(B42,Round1,30,FALSE)</f>
        <v>#REF!</v>
      </c>
      <c r="I42" s="38" t="e">
        <f t="shared" ref="I42:I50" si="19">VLOOKUP(B42,Round1,31,FALSE)</f>
        <v>#REF!</v>
      </c>
      <c r="J42" s="38" t="e">
        <f t="shared" ref="J42:J50" si="20">VLOOKUP(B42,Round1,9,FALSE)</f>
        <v>#REF!</v>
      </c>
      <c r="K42" s="64" t="e">
        <f t="shared" ref="K42:K48" si="21">VLOOKUP(B42,Round1,3,FALSE)</f>
        <v>#REF!</v>
      </c>
      <c r="L42" s="39"/>
      <c r="M42" s="39"/>
      <c r="N42" s="42">
        <v>33755000</v>
      </c>
      <c r="O42" s="75" t="e">
        <f t="shared" ref="O42:O50" si="22">VLOOKUP(B42,Round1,4,FALSE)</f>
        <v>#REF!</v>
      </c>
      <c r="P42" s="64" t="e">
        <f t="shared" ref="P42:P50" si="23">VLOOKUP(B42,Round1,5,FALSE)</f>
        <v>#REF!</v>
      </c>
      <c r="Q42" s="65" t="e">
        <f t="shared" ref="Q42:Q50" si="24">VLOOKUP(B42,Round1,10,FALSE)</f>
        <v>#REF!</v>
      </c>
      <c r="R42" s="89" t="e">
        <f t="shared" ref="R42:R50" si="25">VLOOKUP(B42,Round1,19,FALSE)</f>
        <v>#REF!</v>
      </c>
      <c r="S42" s="89" t="e">
        <f t="shared" ref="S42:S50" si="26">VLOOKUP(B42,Round1,18,FALSE)</f>
        <v>#REF!</v>
      </c>
      <c r="T42" s="15"/>
      <c r="U42" s="15"/>
    </row>
    <row r="43" spans="1:21" x14ac:dyDescent="0.2">
      <c r="B43" s="66" t="s">
        <v>109</v>
      </c>
      <c r="C43" s="38" t="e">
        <f t="shared" si="13"/>
        <v>#REF!</v>
      </c>
      <c r="D43" s="38" t="e">
        <f t="shared" si="14"/>
        <v>#REF!</v>
      </c>
      <c r="E43" s="38" t="e">
        <f t="shared" si="15"/>
        <v>#REF!</v>
      </c>
      <c r="F43" s="38" t="e">
        <f t="shared" si="16"/>
        <v>#REF!</v>
      </c>
      <c r="G43" s="38" t="e">
        <f t="shared" si="17"/>
        <v>#REF!</v>
      </c>
      <c r="H43" s="38" t="e">
        <f t="shared" si="18"/>
        <v>#REF!</v>
      </c>
      <c r="I43" s="38" t="e">
        <f t="shared" si="19"/>
        <v>#REF!</v>
      </c>
      <c r="J43" s="38" t="e">
        <f t="shared" si="20"/>
        <v>#REF!</v>
      </c>
      <c r="K43" s="64" t="e">
        <f t="shared" si="21"/>
        <v>#REF!</v>
      </c>
      <c r="L43" s="39"/>
      <c r="M43" s="39"/>
      <c r="N43" s="42">
        <v>1300000</v>
      </c>
      <c r="O43" s="75" t="e">
        <f t="shared" si="22"/>
        <v>#REF!</v>
      </c>
      <c r="P43" s="64" t="e">
        <f t="shared" si="23"/>
        <v>#REF!</v>
      </c>
      <c r="Q43" s="65" t="e">
        <f t="shared" si="24"/>
        <v>#REF!</v>
      </c>
      <c r="R43" s="89" t="e">
        <f t="shared" si="25"/>
        <v>#REF!</v>
      </c>
      <c r="S43" s="89" t="e">
        <f t="shared" si="26"/>
        <v>#REF!</v>
      </c>
      <c r="T43" s="15"/>
      <c r="U43" s="15"/>
    </row>
    <row r="44" spans="1:21" x14ac:dyDescent="0.2">
      <c r="B44" s="66" t="s">
        <v>122</v>
      </c>
      <c r="C44" s="38" t="e">
        <f t="shared" si="13"/>
        <v>#REF!</v>
      </c>
      <c r="D44" s="38" t="e">
        <f t="shared" si="14"/>
        <v>#REF!</v>
      </c>
      <c r="E44" s="38" t="e">
        <f t="shared" si="15"/>
        <v>#REF!</v>
      </c>
      <c r="F44" s="38" t="e">
        <f t="shared" si="16"/>
        <v>#REF!</v>
      </c>
      <c r="G44" s="38" t="e">
        <f t="shared" si="17"/>
        <v>#REF!</v>
      </c>
      <c r="H44" s="38" t="e">
        <f t="shared" si="18"/>
        <v>#REF!</v>
      </c>
      <c r="I44" s="38" t="e">
        <f t="shared" si="19"/>
        <v>#REF!</v>
      </c>
      <c r="J44" s="38" t="e">
        <f t="shared" si="20"/>
        <v>#REF!</v>
      </c>
      <c r="K44" s="64">
        <v>0</v>
      </c>
      <c r="L44" s="39">
        <v>2100741</v>
      </c>
      <c r="M44" s="39"/>
      <c r="N44" s="42">
        <v>2100741</v>
      </c>
      <c r="O44" s="75" t="e">
        <f t="shared" si="22"/>
        <v>#REF!</v>
      </c>
      <c r="P44" s="64" t="e">
        <f t="shared" si="23"/>
        <v>#REF!</v>
      </c>
      <c r="Q44" s="65" t="e">
        <f t="shared" si="24"/>
        <v>#REF!</v>
      </c>
      <c r="R44" s="89" t="e">
        <f t="shared" si="25"/>
        <v>#REF!</v>
      </c>
      <c r="S44" s="89" t="e">
        <f t="shared" si="26"/>
        <v>#REF!</v>
      </c>
      <c r="T44" s="15"/>
      <c r="U44" s="15"/>
    </row>
    <row r="45" spans="1:21" x14ac:dyDescent="0.2">
      <c r="B45" s="66" t="s">
        <v>75</v>
      </c>
      <c r="C45" s="38" t="e">
        <f t="shared" si="13"/>
        <v>#REF!</v>
      </c>
      <c r="D45" s="38" t="e">
        <f t="shared" si="14"/>
        <v>#REF!</v>
      </c>
      <c r="E45" s="38" t="e">
        <f t="shared" si="15"/>
        <v>#REF!</v>
      </c>
      <c r="F45" s="38" t="e">
        <f t="shared" si="16"/>
        <v>#REF!</v>
      </c>
      <c r="G45" s="38" t="e">
        <f t="shared" si="17"/>
        <v>#REF!</v>
      </c>
      <c r="H45" s="38" t="e">
        <f t="shared" si="18"/>
        <v>#REF!</v>
      </c>
      <c r="I45" s="38" t="e">
        <f t="shared" si="19"/>
        <v>#REF!</v>
      </c>
      <c r="J45" s="38" t="e">
        <f t="shared" si="20"/>
        <v>#REF!</v>
      </c>
      <c r="K45" s="64" t="e">
        <f t="shared" si="21"/>
        <v>#REF!</v>
      </c>
      <c r="L45" s="39"/>
      <c r="M45" s="39"/>
      <c r="N45" s="42">
        <v>21000000</v>
      </c>
      <c r="O45" s="75" t="e">
        <f t="shared" si="22"/>
        <v>#REF!</v>
      </c>
      <c r="P45" s="64" t="e">
        <f t="shared" si="23"/>
        <v>#REF!</v>
      </c>
      <c r="Q45" s="65" t="e">
        <f t="shared" si="24"/>
        <v>#REF!</v>
      </c>
      <c r="R45" s="89" t="e">
        <f t="shared" si="25"/>
        <v>#REF!</v>
      </c>
      <c r="S45" s="89" t="e">
        <f t="shared" si="26"/>
        <v>#REF!</v>
      </c>
      <c r="T45" s="15"/>
      <c r="U45" s="15"/>
    </row>
    <row r="46" spans="1:21" x14ac:dyDescent="0.2">
      <c r="B46" s="66" t="s">
        <v>82</v>
      </c>
      <c r="C46" s="38" t="e">
        <f t="shared" si="13"/>
        <v>#REF!</v>
      </c>
      <c r="D46" s="38" t="e">
        <f t="shared" si="14"/>
        <v>#REF!</v>
      </c>
      <c r="E46" s="38" t="e">
        <f t="shared" si="15"/>
        <v>#REF!</v>
      </c>
      <c r="F46" s="38" t="e">
        <f t="shared" si="16"/>
        <v>#REF!</v>
      </c>
      <c r="G46" s="38" t="e">
        <f t="shared" si="17"/>
        <v>#REF!</v>
      </c>
      <c r="H46" s="38" t="e">
        <f t="shared" si="18"/>
        <v>#REF!</v>
      </c>
      <c r="I46" s="38" t="e">
        <f t="shared" si="19"/>
        <v>#REF!</v>
      </c>
      <c r="J46" s="38" t="e">
        <f t="shared" si="20"/>
        <v>#REF!</v>
      </c>
      <c r="K46" s="64" t="e">
        <f t="shared" si="21"/>
        <v>#REF!</v>
      </c>
      <c r="L46" s="39"/>
      <c r="M46" s="39"/>
      <c r="N46" s="42">
        <v>23286160</v>
      </c>
      <c r="O46" s="75" t="e">
        <f t="shared" si="22"/>
        <v>#REF!</v>
      </c>
      <c r="P46" s="64" t="e">
        <f t="shared" si="23"/>
        <v>#REF!</v>
      </c>
      <c r="Q46" s="65" t="e">
        <f t="shared" si="24"/>
        <v>#REF!</v>
      </c>
      <c r="R46" s="89" t="e">
        <f t="shared" si="25"/>
        <v>#REF!</v>
      </c>
      <c r="S46" s="89" t="e">
        <f t="shared" si="26"/>
        <v>#REF!</v>
      </c>
      <c r="T46" s="15"/>
      <c r="U46" s="15"/>
    </row>
    <row r="47" spans="1:21" x14ac:dyDescent="0.2">
      <c r="B47" s="66" t="s">
        <v>107</v>
      </c>
      <c r="C47" s="38" t="e">
        <f t="shared" si="13"/>
        <v>#REF!</v>
      </c>
      <c r="D47" s="38" t="e">
        <f t="shared" si="14"/>
        <v>#REF!</v>
      </c>
      <c r="E47" s="38" t="e">
        <f t="shared" si="15"/>
        <v>#REF!</v>
      </c>
      <c r="F47" s="38" t="e">
        <f t="shared" si="16"/>
        <v>#REF!</v>
      </c>
      <c r="G47" s="38" t="e">
        <f t="shared" si="17"/>
        <v>#REF!</v>
      </c>
      <c r="H47" s="38" t="e">
        <f t="shared" si="18"/>
        <v>#REF!</v>
      </c>
      <c r="I47" s="38" t="e">
        <f t="shared" si="19"/>
        <v>#REF!</v>
      </c>
      <c r="J47" s="38" t="e">
        <f t="shared" si="20"/>
        <v>#REF!</v>
      </c>
      <c r="K47" s="64" t="e">
        <f t="shared" si="21"/>
        <v>#REF!</v>
      </c>
      <c r="L47" s="39"/>
      <c r="M47" s="39"/>
      <c r="N47" s="42">
        <v>15950000</v>
      </c>
      <c r="O47" s="75" t="e">
        <f t="shared" si="22"/>
        <v>#REF!</v>
      </c>
      <c r="P47" s="64" t="e">
        <f t="shared" si="23"/>
        <v>#REF!</v>
      </c>
      <c r="Q47" s="65" t="e">
        <f t="shared" si="24"/>
        <v>#REF!</v>
      </c>
      <c r="R47" s="89" t="e">
        <f t="shared" si="25"/>
        <v>#REF!</v>
      </c>
      <c r="S47" s="89" t="e">
        <f t="shared" si="26"/>
        <v>#REF!</v>
      </c>
      <c r="T47" s="15"/>
      <c r="U47" s="15"/>
    </row>
    <row r="48" spans="1:21" x14ac:dyDescent="0.2">
      <c r="B48" s="63" t="s">
        <v>112</v>
      </c>
      <c r="C48" s="38" t="e">
        <f t="shared" si="13"/>
        <v>#REF!</v>
      </c>
      <c r="D48" s="38" t="e">
        <f t="shared" si="14"/>
        <v>#REF!</v>
      </c>
      <c r="E48" s="38" t="e">
        <f t="shared" si="15"/>
        <v>#REF!</v>
      </c>
      <c r="F48" s="38" t="e">
        <f t="shared" si="16"/>
        <v>#REF!</v>
      </c>
      <c r="G48" s="38" t="e">
        <f t="shared" si="17"/>
        <v>#REF!</v>
      </c>
      <c r="H48" s="38" t="e">
        <f t="shared" si="18"/>
        <v>#REF!</v>
      </c>
      <c r="I48" s="38" t="e">
        <f t="shared" si="19"/>
        <v>#REF!</v>
      </c>
      <c r="J48" s="38" t="e">
        <f t="shared" si="20"/>
        <v>#REF!</v>
      </c>
      <c r="K48" s="64" t="e">
        <f t="shared" si="21"/>
        <v>#REF!</v>
      </c>
      <c r="L48" s="39"/>
      <c r="M48" s="39"/>
      <c r="N48" s="42">
        <v>13077460</v>
      </c>
      <c r="O48" s="75" t="e">
        <f t="shared" si="22"/>
        <v>#REF!</v>
      </c>
      <c r="P48" s="64" t="e">
        <f t="shared" si="23"/>
        <v>#REF!</v>
      </c>
      <c r="Q48" s="65" t="e">
        <f t="shared" si="24"/>
        <v>#REF!</v>
      </c>
      <c r="R48" s="89" t="e">
        <f t="shared" si="25"/>
        <v>#REF!</v>
      </c>
      <c r="S48" s="89" t="e">
        <f t="shared" si="26"/>
        <v>#REF!</v>
      </c>
      <c r="T48" s="15"/>
      <c r="U48" s="15"/>
    </row>
    <row r="49" spans="1:21" x14ac:dyDescent="0.2">
      <c r="B49" s="66" t="s">
        <v>110</v>
      </c>
      <c r="C49" s="38" t="e">
        <f t="shared" si="13"/>
        <v>#REF!</v>
      </c>
      <c r="D49" s="38" t="e">
        <f t="shared" si="14"/>
        <v>#REF!</v>
      </c>
      <c r="E49" s="38" t="e">
        <f t="shared" si="15"/>
        <v>#REF!</v>
      </c>
      <c r="F49" s="38" t="e">
        <f t="shared" si="16"/>
        <v>#REF!</v>
      </c>
      <c r="G49" s="38" t="e">
        <f t="shared" si="17"/>
        <v>#REF!</v>
      </c>
      <c r="H49" s="38" t="e">
        <f t="shared" si="18"/>
        <v>#REF!</v>
      </c>
      <c r="I49" s="38" t="e">
        <f t="shared" si="19"/>
        <v>#REF!</v>
      </c>
      <c r="J49" s="38" t="e">
        <f t="shared" si="20"/>
        <v>#REF!</v>
      </c>
      <c r="K49" s="64" t="e">
        <f>VLOOKUP(B49,Round1,3,FALSE)</f>
        <v>#REF!</v>
      </c>
      <c r="L49" s="39"/>
      <c r="M49" s="39"/>
      <c r="N49" s="42">
        <v>10284295</v>
      </c>
      <c r="O49" s="75" t="e">
        <f t="shared" si="22"/>
        <v>#REF!</v>
      </c>
      <c r="P49" s="64" t="e">
        <f t="shared" si="23"/>
        <v>#REF!</v>
      </c>
      <c r="Q49" s="65" t="e">
        <f t="shared" si="24"/>
        <v>#REF!</v>
      </c>
      <c r="R49" s="89" t="e">
        <f t="shared" si="25"/>
        <v>#REF!</v>
      </c>
      <c r="S49" s="89" t="e">
        <f t="shared" si="26"/>
        <v>#REF!</v>
      </c>
      <c r="T49" s="15"/>
      <c r="U49" s="15"/>
    </row>
    <row r="50" spans="1:21" x14ac:dyDescent="0.2">
      <c r="B50" s="63" t="s">
        <v>111</v>
      </c>
      <c r="C50" s="38" t="e">
        <f t="shared" si="13"/>
        <v>#REF!</v>
      </c>
      <c r="D50" s="38" t="e">
        <f t="shared" si="14"/>
        <v>#REF!</v>
      </c>
      <c r="E50" s="38" t="e">
        <f t="shared" si="15"/>
        <v>#REF!</v>
      </c>
      <c r="F50" s="38" t="e">
        <f t="shared" si="16"/>
        <v>#REF!</v>
      </c>
      <c r="G50" s="38" t="e">
        <f t="shared" si="17"/>
        <v>#REF!</v>
      </c>
      <c r="H50" s="38" t="e">
        <f t="shared" si="18"/>
        <v>#REF!</v>
      </c>
      <c r="I50" s="38" t="e">
        <f t="shared" si="19"/>
        <v>#REF!</v>
      </c>
      <c r="J50" s="38" t="e">
        <f t="shared" si="20"/>
        <v>#REF!</v>
      </c>
      <c r="K50" s="64" t="e">
        <f>VLOOKUP(B50,Round1,3,FALSE)</f>
        <v>#REF!</v>
      </c>
      <c r="L50" s="39"/>
      <c r="M50" s="39"/>
      <c r="N50" s="42">
        <v>61000000</v>
      </c>
      <c r="O50" s="75" t="e">
        <f t="shared" si="22"/>
        <v>#REF!</v>
      </c>
      <c r="P50" s="64" t="e">
        <f t="shared" si="23"/>
        <v>#REF!</v>
      </c>
      <c r="Q50" s="65" t="e">
        <f t="shared" si="24"/>
        <v>#REF!</v>
      </c>
      <c r="R50" s="89" t="e">
        <f t="shared" si="25"/>
        <v>#REF!</v>
      </c>
      <c r="S50" s="89" t="e">
        <f t="shared" si="26"/>
        <v>#REF!</v>
      </c>
      <c r="T50" s="15"/>
      <c r="U50" s="15"/>
    </row>
    <row r="51" spans="1:21" x14ac:dyDescent="0.2">
      <c r="A51" s="23"/>
      <c r="B51" s="24"/>
      <c r="C51" s="24"/>
      <c r="D51" s="25"/>
      <c r="K51" s="39">
        <f>N51-L51</f>
        <v>0</v>
      </c>
      <c r="S51" s="96"/>
      <c r="T51" s="15"/>
      <c r="U51" s="15"/>
    </row>
    <row r="52" spans="1:21" s="18" customFormat="1" x14ac:dyDescent="0.2">
      <c r="B52" s="19"/>
      <c r="C52" s="19"/>
      <c r="E52" s="19"/>
      <c r="F52" s="19"/>
      <c r="G52" s="19"/>
      <c r="H52" s="19"/>
      <c r="I52" s="19"/>
      <c r="J52" s="19"/>
      <c r="K52" s="53" t="e">
        <f>SUM(K42:K51)</f>
        <v>#REF!</v>
      </c>
      <c r="L52" s="57"/>
      <c r="M52" s="57"/>
      <c r="N52" s="53">
        <f>SUM(N42:N51)</f>
        <v>181753656</v>
      </c>
      <c r="O52" s="79"/>
      <c r="P52" s="20"/>
      <c r="Q52" s="20"/>
      <c r="R52" s="94"/>
      <c r="S52" s="94"/>
      <c r="T52" s="49"/>
      <c r="U52" s="49"/>
    </row>
    <row r="53" spans="1:21" x14ac:dyDescent="0.2">
      <c r="T53" s="47"/>
      <c r="U53" s="47"/>
    </row>
    <row r="54" spans="1:21" ht="15" x14ac:dyDescent="0.25">
      <c r="A54" s="10" t="s">
        <v>14</v>
      </c>
      <c r="D54" s="11">
        <v>222947421</v>
      </c>
      <c r="E54" s="12" t="e">
        <f>D54-K68</f>
        <v>#REF!</v>
      </c>
      <c r="F54" s="67" t="e">
        <f>IF(E54&gt;0,(E54/0.8),"N/A")</f>
        <v>#REF!</v>
      </c>
      <c r="G54" s="12"/>
      <c r="H54" s="12"/>
      <c r="I54" s="12"/>
      <c r="J54" s="12"/>
      <c r="K54" s="41"/>
      <c r="L54" s="56"/>
      <c r="M54" s="56"/>
      <c r="N54" s="41"/>
      <c r="T54" s="47"/>
      <c r="U54" s="47"/>
    </row>
    <row r="55" spans="1:21" x14ac:dyDescent="0.2">
      <c r="B55" s="63" t="s">
        <v>103</v>
      </c>
      <c r="C55" s="38" t="e">
        <f t="shared" ref="C55:C67" si="27">VLOOKUP(B55,Round1,15,FALSE)</f>
        <v>#REF!</v>
      </c>
      <c r="D55" s="38" t="e">
        <f t="shared" ref="D55:D67" si="28">VLOOKUP(B55,Round1,2,FALSE)</f>
        <v>#REF!</v>
      </c>
      <c r="E55" s="38" t="e">
        <f t="shared" ref="E55:E67" si="29">VLOOKUP(B55,Round1,14,FALSE)</f>
        <v>#REF!</v>
      </c>
      <c r="F55" s="38" t="e">
        <f t="shared" ref="F55:F67" si="30">VLOOKUP(B55,Round1,12,FALSE)</f>
        <v>#REF!</v>
      </c>
      <c r="G55" s="38" t="e">
        <f t="shared" ref="G55:G67" si="31">VLOOKUP(B55,Round1,26,FALSE)</f>
        <v>#REF!</v>
      </c>
      <c r="H55" s="38" t="e">
        <f t="shared" ref="H55:H67" si="32">VLOOKUP(B55,Round1,30,FALSE)</f>
        <v>#REF!</v>
      </c>
      <c r="I55" s="38" t="e">
        <f t="shared" ref="I55:I67" si="33">VLOOKUP(B55,Round1,31,FALSE)</f>
        <v>#REF!</v>
      </c>
      <c r="J55" s="38" t="e">
        <f t="shared" ref="J55:J67" si="34">VLOOKUP(B55,Round1,9,FALSE)</f>
        <v>#REF!</v>
      </c>
      <c r="K55" s="64">
        <f>N55-L55</f>
        <v>5066147</v>
      </c>
      <c r="L55" s="39">
        <v>14283853</v>
      </c>
      <c r="M55" s="39"/>
      <c r="N55" s="42">
        <v>19350000</v>
      </c>
      <c r="O55" s="75" t="e">
        <f t="shared" ref="O55:O67" si="35">VLOOKUP(B55,Round1,4,FALSE)</f>
        <v>#REF!</v>
      </c>
      <c r="P55" s="64" t="e">
        <f t="shared" ref="P55:P67" si="36">VLOOKUP(B55,Round1,5,FALSE)</f>
        <v>#REF!</v>
      </c>
      <c r="Q55" s="65" t="e">
        <f t="shared" ref="Q55:Q67" si="37">VLOOKUP(B55,Round1,10,FALSE)</f>
        <v>#REF!</v>
      </c>
      <c r="R55" s="89" t="e">
        <f t="shared" ref="R55:R67" si="38">VLOOKUP(B55,Round1,19,FALSE)</f>
        <v>#REF!</v>
      </c>
      <c r="S55" s="89" t="e">
        <f t="shared" ref="S55:S67" si="39">VLOOKUP(B55,Round1,18,FALSE)</f>
        <v>#REF!</v>
      </c>
      <c r="T55" s="15"/>
      <c r="U55" s="15"/>
    </row>
    <row r="56" spans="1:21" x14ac:dyDescent="0.2">
      <c r="B56" s="66" t="s">
        <v>98</v>
      </c>
      <c r="C56" s="38" t="e">
        <f t="shared" si="27"/>
        <v>#REF!</v>
      </c>
      <c r="D56" s="38" t="e">
        <f t="shared" si="28"/>
        <v>#REF!</v>
      </c>
      <c r="E56" s="38" t="e">
        <f t="shared" si="29"/>
        <v>#REF!</v>
      </c>
      <c r="F56" s="38" t="e">
        <f t="shared" si="30"/>
        <v>#REF!</v>
      </c>
      <c r="G56" s="38" t="e">
        <f t="shared" si="31"/>
        <v>#REF!</v>
      </c>
      <c r="H56" s="38" t="e">
        <f t="shared" si="32"/>
        <v>#REF!</v>
      </c>
      <c r="I56" s="38" t="e">
        <f t="shared" si="33"/>
        <v>#REF!</v>
      </c>
      <c r="J56" s="38" t="e">
        <f t="shared" si="34"/>
        <v>#REF!</v>
      </c>
      <c r="K56" s="64" t="e">
        <f>VLOOKUP(B56,Round1,3,FALSE)</f>
        <v>#REF!</v>
      </c>
      <c r="L56" s="39"/>
      <c r="M56" s="39"/>
      <c r="N56" s="42">
        <v>30300745</v>
      </c>
      <c r="O56" s="75" t="e">
        <f t="shared" si="35"/>
        <v>#REF!</v>
      </c>
      <c r="P56" s="64" t="e">
        <f t="shared" si="36"/>
        <v>#REF!</v>
      </c>
      <c r="Q56" s="65" t="e">
        <f t="shared" si="37"/>
        <v>#REF!</v>
      </c>
      <c r="R56" s="89" t="e">
        <f t="shared" si="38"/>
        <v>#REF!</v>
      </c>
      <c r="S56" s="89" t="e">
        <f t="shared" si="39"/>
        <v>#REF!</v>
      </c>
      <c r="T56" s="15"/>
      <c r="U56" s="15"/>
    </row>
    <row r="57" spans="1:21" x14ac:dyDescent="0.2">
      <c r="B57" s="63" t="s">
        <v>99</v>
      </c>
      <c r="C57" s="38" t="e">
        <f t="shared" si="27"/>
        <v>#REF!</v>
      </c>
      <c r="D57" s="38" t="e">
        <f t="shared" si="28"/>
        <v>#REF!</v>
      </c>
      <c r="E57" s="38" t="e">
        <f t="shared" si="29"/>
        <v>#REF!</v>
      </c>
      <c r="F57" s="38" t="e">
        <f t="shared" si="30"/>
        <v>#REF!</v>
      </c>
      <c r="G57" s="38" t="e">
        <f t="shared" si="31"/>
        <v>#REF!</v>
      </c>
      <c r="H57" s="38" t="e">
        <f t="shared" si="32"/>
        <v>#REF!</v>
      </c>
      <c r="I57" s="38" t="e">
        <f t="shared" si="33"/>
        <v>#REF!</v>
      </c>
      <c r="J57" s="38" t="e">
        <f t="shared" si="34"/>
        <v>#REF!</v>
      </c>
      <c r="K57" s="64" t="e">
        <f t="shared" ref="K57:K67" si="40">VLOOKUP(B57,Round1,3,FALSE)</f>
        <v>#REF!</v>
      </c>
      <c r="L57" s="39"/>
      <c r="M57" s="39"/>
      <c r="N57" s="42">
        <v>29882000</v>
      </c>
      <c r="O57" s="75" t="e">
        <f t="shared" si="35"/>
        <v>#REF!</v>
      </c>
      <c r="P57" s="64" t="e">
        <f t="shared" si="36"/>
        <v>#REF!</v>
      </c>
      <c r="Q57" s="65" t="e">
        <f t="shared" si="37"/>
        <v>#REF!</v>
      </c>
      <c r="R57" s="89" t="e">
        <f t="shared" si="38"/>
        <v>#REF!</v>
      </c>
      <c r="S57" s="89" t="e">
        <f t="shared" si="39"/>
        <v>#REF!</v>
      </c>
      <c r="T57" s="15"/>
      <c r="U57" s="15"/>
    </row>
    <row r="58" spans="1:21" x14ac:dyDescent="0.2">
      <c r="B58" s="66" t="s">
        <v>63</v>
      </c>
      <c r="C58" s="38" t="e">
        <f t="shared" si="27"/>
        <v>#REF!</v>
      </c>
      <c r="D58" s="38" t="e">
        <f t="shared" si="28"/>
        <v>#REF!</v>
      </c>
      <c r="E58" s="38" t="e">
        <f t="shared" si="29"/>
        <v>#REF!</v>
      </c>
      <c r="F58" s="38" t="e">
        <f t="shared" si="30"/>
        <v>#REF!</v>
      </c>
      <c r="G58" s="38" t="e">
        <f t="shared" si="31"/>
        <v>#REF!</v>
      </c>
      <c r="H58" s="38" t="e">
        <f t="shared" si="32"/>
        <v>#REF!</v>
      </c>
      <c r="I58" s="38" t="e">
        <f t="shared" si="33"/>
        <v>#REF!</v>
      </c>
      <c r="J58" s="38" t="e">
        <f t="shared" si="34"/>
        <v>#REF!</v>
      </c>
      <c r="K58" s="64" t="e">
        <f t="shared" si="40"/>
        <v>#REF!</v>
      </c>
      <c r="L58" s="39"/>
      <c r="M58" s="39"/>
      <c r="N58" s="42">
        <v>18319798</v>
      </c>
      <c r="O58" s="75" t="e">
        <f t="shared" si="35"/>
        <v>#REF!</v>
      </c>
      <c r="P58" s="64" t="e">
        <f t="shared" si="36"/>
        <v>#REF!</v>
      </c>
      <c r="Q58" s="65" t="e">
        <f t="shared" si="37"/>
        <v>#REF!</v>
      </c>
      <c r="R58" s="89" t="e">
        <f t="shared" si="38"/>
        <v>#REF!</v>
      </c>
      <c r="S58" s="89" t="e">
        <f t="shared" si="39"/>
        <v>#REF!</v>
      </c>
      <c r="T58" s="15"/>
      <c r="U58" s="15"/>
    </row>
    <row r="59" spans="1:21" x14ac:dyDescent="0.2">
      <c r="B59" s="66" t="s">
        <v>114</v>
      </c>
      <c r="C59" s="38" t="e">
        <f>VLOOKUP(B59,Round1,15,FALSE)</f>
        <v>#REF!</v>
      </c>
      <c r="D59" s="38" t="e">
        <f>VLOOKUP(B59,Round1,2,FALSE)</f>
        <v>#REF!</v>
      </c>
      <c r="E59" s="38" t="e">
        <f>VLOOKUP(B59,Round1,14,FALSE)</f>
        <v>#REF!</v>
      </c>
      <c r="F59" s="38" t="e">
        <f>VLOOKUP(B59,Round1,12,FALSE)</f>
        <v>#REF!</v>
      </c>
      <c r="G59" s="38" t="e">
        <f>VLOOKUP(B59,Round1,26,FALSE)</f>
        <v>#REF!</v>
      </c>
      <c r="H59" s="38" t="e">
        <f>VLOOKUP(B59,Round1,30,FALSE)</f>
        <v>#REF!</v>
      </c>
      <c r="I59" s="38" t="e">
        <f>VLOOKUP(B59,Round1,31,FALSE)</f>
        <v>#REF!</v>
      </c>
      <c r="J59" s="38" t="e">
        <f>VLOOKUP(B59,Round1,9,FALSE)</f>
        <v>#REF!</v>
      </c>
      <c r="K59" s="64" t="e">
        <f>VLOOKUP(B59,Round1,3,FALSE)</f>
        <v>#REF!</v>
      </c>
      <c r="L59" s="39"/>
      <c r="M59" s="39"/>
      <c r="N59" s="42">
        <v>2000000</v>
      </c>
      <c r="O59" s="75" t="e">
        <f>VLOOKUP(B59,Round1,4,FALSE)</f>
        <v>#REF!</v>
      </c>
      <c r="P59" s="64" t="e">
        <f>VLOOKUP(B59,Round1,5,FALSE)</f>
        <v>#REF!</v>
      </c>
      <c r="Q59" s="65" t="e">
        <f>VLOOKUP(B59,Round1,10,FALSE)</f>
        <v>#REF!</v>
      </c>
      <c r="R59" s="89" t="e">
        <f t="shared" si="38"/>
        <v>#REF!</v>
      </c>
      <c r="S59" s="89" t="e">
        <f t="shared" si="39"/>
        <v>#REF!</v>
      </c>
      <c r="T59" s="15"/>
      <c r="U59" s="15"/>
    </row>
    <row r="60" spans="1:21" x14ac:dyDescent="0.2">
      <c r="B60" s="63" t="s">
        <v>115</v>
      </c>
      <c r="C60" s="38" t="e">
        <f t="shared" si="27"/>
        <v>#REF!</v>
      </c>
      <c r="D60" s="38" t="e">
        <f t="shared" si="28"/>
        <v>#REF!</v>
      </c>
      <c r="E60" s="38" t="e">
        <f t="shared" si="29"/>
        <v>#REF!</v>
      </c>
      <c r="F60" s="38" t="e">
        <f t="shared" si="30"/>
        <v>#REF!</v>
      </c>
      <c r="G60" s="38" t="e">
        <f t="shared" si="31"/>
        <v>#REF!</v>
      </c>
      <c r="H60" s="38" t="e">
        <f t="shared" si="32"/>
        <v>#REF!</v>
      </c>
      <c r="I60" s="38" t="e">
        <f t="shared" si="33"/>
        <v>#REF!</v>
      </c>
      <c r="J60" s="38" t="e">
        <f t="shared" si="34"/>
        <v>#REF!</v>
      </c>
      <c r="K60" s="64" t="e">
        <f t="shared" si="40"/>
        <v>#REF!</v>
      </c>
      <c r="L60" s="39"/>
      <c r="M60" s="39"/>
      <c r="N60" s="42">
        <v>1500000</v>
      </c>
      <c r="O60" s="75" t="e">
        <f t="shared" si="35"/>
        <v>#REF!</v>
      </c>
      <c r="P60" s="64" t="e">
        <f t="shared" si="36"/>
        <v>#REF!</v>
      </c>
      <c r="Q60" s="65" t="e">
        <f t="shared" si="37"/>
        <v>#REF!</v>
      </c>
      <c r="R60" s="89" t="e">
        <f t="shared" si="38"/>
        <v>#REF!</v>
      </c>
      <c r="S60" s="89" t="e">
        <f t="shared" si="39"/>
        <v>#REF!</v>
      </c>
      <c r="T60" s="15"/>
      <c r="U60" s="15"/>
    </row>
    <row r="61" spans="1:21" x14ac:dyDescent="0.2">
      <c r="B61" s="63" t="s">
        <v>121</v>
      </c>
      <c r="C61" s="38" t="e">
        <f t="shared" si="27"/>
        <v>#REF!</v>
      </c>
      <c r="D61" s="38" t="e">
        <f t="shared" si="28"/>
        <v>#REF!</v>
      </c>
      <c r="E61" s="38" t="e">
        <f t="shared" si="29"/>
        <v>#REF!</v>
      </c>
      <c r="F61" s="38" t="e">
        <f t="shared" si="30"/>
        <v>#REF!</v>
      </c>
      <c r="G61" s="38" t="e">
        <f t="shared" si="31"/>
        <v>#REF!</v>
      </c>
      <c r="H61" s="38" t="e">
        <f t="shared" si="32"/>
        <v>#REF!</v>
      </c>
      <c r="I61" s="38" t="e">
        <f t="shared" si="33"/>
        <v>#REF!</v>
      </c>
      <c r="J61" s="38" t="e">
        <f t="shared" si="34"/>
        <v>#REF!</v>
      </c>
      <c r="K61" s="64" t="e">
        <f t="shared" si="40"/>
        <v>#REF!</v>
      </c>
      <c r="L61" s="39"/>
      <c r="M61" s="39"/>
      <c r="N61" s="42">
        <v>3416391</v>
      </c>
      <c r="O61" s="75" t="e">
        <f t="shared" si="35"/>
        <v>#REF!</v>
      </c>
      <c r="P61" s="64" t="e">
        <f t="shared" si="36"/>
        <v>#REF!</v>
      </c>
      <c r="Q61" s="65" t="e">
        <f t="shared" si="37"/>
        <v>#REF!</v>
      </c>
      <c r="R61" s="89" t="e">
        <f t="shared" si="38"/>
        <v>#REF!</v>
      </c>
      <c r="S61" s="89" t="e">
        <f t="shared" si="39"/>
        <v>#REF!</v>
      </c>
      <c r="T61" s="15"/>
      <c r="U61" s="15"/>
    </row>
    <row r="62" spans="1:21" x14ac:dyDescent="0.2">
      <c r="B62" s="63" t="s">
        <v>86</v>
      </c>
      <c r="C62" s="38" t="e">
        <f t="shared" si="27"/>
        <v>#REF!</v>
      </c>
      <c r="D62" s="38" t="e">
        <f t="shared" si="28"/>
        <v>#REF!</v>
      </c>
      <c r="E62" s="38" t="e">
        <f t="shared" si="29"/>
        <v>#REF!</v>
      </c>
      <c r="F62" s="38" t="e">
        <f t="shared" si="30"/>
        <v>#REF!</v>
      </c>
      <c r="G62" s="38" t="e">
        <f t="shared" si="31"/>
        <v>#REF!</v>
      </c>
      <c r="H62" s="38" t="e">
        <f t="shared" si="32"/>
        <v>#REF!</v>
      </c>
      <c r="I62" s="38" t="e">
        <f t="shared" si="33"/>
        <v>#REF!</v>
      </c>
      <c r="J62" s="38" t="e">
        <f t="shared" si="34"/>
        <v>#REF!</v>
      </c>
      <c r="K62" s="64" t="e">
        <f t="shared" si="40"/>
        <v>#REF!</v>
      </c>
      <c r="L62" s="39"/>
      <c r="M62" s="39"/>
      <c r="N62" s="42">
        <v>23663000</v>
      </c>
      <c r="O62" s="75" t="e">
        <f t="shared" si="35"/>
        <v>#REF!</v>
      </c>
      <c r="P62" s="64" t="e">
        <f t="shared" si="36"/>
        <v>#REF!</v>
      </c>
      <c r="Q62" s="65" t="e">
        <f t="shared" si="37"/>
        <v>#REF!</v>
      </c>
      <c r="R62" s="89" t="e">
        <f t="shared" si="38"/>
        <v>#REF!</v>
      </c>
      <c r="S62" s="89" t="e">
        <f t="shared" si="39"/>
        <v>#REF!</v>
      </c>
      <c r="T62" s="15"/>
      <c r="U62" s="15"/>
    </row>
    <row r="63" spans="1:21" x14ac:dyDescent="0.2">
      <c r="B63" s="66" t="s">
        <v>64</v>
      </c>
      <c r="C63" s="38" t="e">
        <f t="shared" si="27"/>
        <v>#REF!</v>
      </c>
      <c r="D63" s="38" t="e">
        <f t="shared" si="28"/>
        <v>#REF!</v>
      </c>
      <c r="E63" s="38" t="e">
        <f t="shared" si="29"/>
        <v>#REF!</v>
      </c>
      <c r="F63" s="38" t="e">
        <f t="shared" si="30"/>
        <v>#REF!</v>
      </c>
      <c r="G63" s="38" t="e">
        <f t="shared" si="31"/>
        <v>#REF!</v>
      </c>
      <c r="H63" s="38" t="e">
        <f t="shared" si="32"/>
        <v>#REF!</v>
      </c>
      <c r="I63" s="38" t="e">
        <f t="shared" si="33"/>
        <v>#REF!</v>
      </c>
      <c r="J63" s="38" t="e">
        <f t="shared" si="34"/>
        <v>#REF!</v>
      </c>
      <c r="K63" s="64" t="e">
        <f t="shared" si="40"/>
        <v>#REF!</v>
      </c>
      <c r="L63" s="39"/>
      <c r="M63" s="39"/>
      <c r="N63" s="42">
        <v>9500000</v>
      </c>
      <c r="O63" s="75" t="e">
        <f t="shared" si="35"/>
        <v>#REF!</v>
      </c>
      <c r="P63" s="64" t="e">
        <f t="shared" si="36"/>
        <v>#REF!</v>
      </c>
      <c r="Q63" s="65" t="e">
        <f t="shared" si="37"/>
        <v>#REF!</v>
      </c>
      <c r="R63" s="89" t="e">
        <f t="shared" si="38"/>
        <v>#REF!</v>
      </c>
      <c r="S63" s="89" t="e">
        <f t="shared" si="39"/>
        <v>#REF!</v>
      </c>
      <c r="T63" s="15"/>
      <c r="U63" s="15"/>
    </row>
    <row r="64" spans="1:21" x14ac:dyDescent="0.2">
      <c r="B64" s="66" t="s">
        <v>72</v>
      </c>
      <c r="C64" s="38" t="e">
        <f t="shared" si="27"/>
        <v>#REF!</v>
      </c>
      <c r="D64" s="38" t="e">
        <f t="shared" si="28"/>
        <v>#REF!</v>
      </c>
      <c r="E64" s="38" t="e">
        <f t="shared" si="29"/>
        <v>#REF!</v>
      </c>
      <c r="F64" s="38" t="e">
        <f t="shared" si="30"/>
        <v>#REF!</v>
      </c>
      <c r="G64" s="38" t="e">
        <f t="shared" si="31"/>
        <v>#REF!</v>
      </c>
      <c r="H64" s="38" t="e">
        <f t="shared" si="32"/>
        <v>#REF!</v>
      </c>
      <c r="I64" s="38" t="e">
        <f t="shared" si="33"/>
        <v>#REF!</v>
      </c>
      <c r="J64" s="38" t="e">
        <f t="shared" si="34"/>
        <v>#REF!</v>
      </c>
      <c r="K64" s="64" t="e">
        <f t="shared" si="40"/>
        <v>#REF!</v>
      </c>
      <c r="L64" s="39"/>
      <c r="M64" s="39"/>
      <c r="N64" s="42">
        <v>19305000</v>
      </c>
      <c r="O64" s="75" t="e">
        <f t="shared" si="35"/>
        <v>#REF!</v>
      </c>
      <c r="P64" s="64" t="e">
        <f t="shared" si="36"/>
        <v>#REF!</v>
      </c>
      <c r="Q64" s="65" t="e">
        <f t="shared" si="37"/>
        <v>#REF!</v>
      </c>
      <c r="R64" s="89" t="e">
        <f t="shared" si="38"/>
        <v>#REF!</v>
      </c>
      <c r="S64" s="89" t="e">
        <f t="shared" si="39"/>
        <v>#REF!</v>
      </c>
      <c r="T64" s="15"/>
      <c r="U64" s="15"/>
    </row>
    <row r="65" spans="1:21" x14ac:dyDescent="0.2">
      <c r="B65" s="63" t="s">
        <v>71</v>
      </c>
      <c r="C65" s="38" t="e">
        <f t="shared" si="27"/>
        <v>#REF!</v>
      </c>
      <c r="D65" s="38" t="e">
        <f t="shared" si="28"/>
        <v>#REF!</v>
      </c>
      <c r="E65" s="38" t="e">
        <f t="shared" si="29"/>
        <v>#REF!</v>
      </c>
      <c r="F65" s="38" t="e">
        <f t="shared" si="30"/>
        <v>#REF!</v>
      </c>
      <c r="G65" s="38" t="e">
        <f t="shared" si="31"/>
        <v>#REF!</v>
      </c>
      <c r="H65" s="38" t="e">
        <f t="shared" si="32"/>
        <v>#REF!</v>
      </c>
      <c r="I65" s="38" t="e">
        <f t="shared" si="33"/>
        <v>#REF!</v>
      </c>
      <c r="J65" s="38" t="e">
        <f t="shared" si="34"/>
        <v>#REF!</v>
      </c>
      <c r="K65" s="64" t="e">
        <f t="shared" si="40"/>
        <v>#REF!</v>
      </c>
      <c r="L65" s="39"/>
      <c r="M65" s="39"/>
      <c r="N65" s="42">
        <v>26418139</v>
      </c>
      <c r="O65" s="75" t="e">
        <f t="shared" si="35"/>
        <v>#REF!</v>
      </c>
      <c r="P65" s="64" t="e">
        <f t="shared" si="36"/>
        <v>#REF!</v>
      </c>
      <c r="Q65" s="65" t="e">
        <f t="shared" si="37"/>
        <v>#REF!</v>
      </c>
      <c r="R65" s="89" t="e">
        <f t="shared" si="38"/>
        <v>#REF!</v>
      </c>
      <c r="S65" s="89" t="e">
        <f t="shared" si="39"/>
        <v>#REF!</v>
      </c>
      <c r="T65" s="15"/>
      <c r="U65" s="15"/>
    </row>
    <row r="66" spans="1:21" x14ac:dyDescent="0.2">
      <c r="B66" s="63" t="s">
        <v>101</v>
      </c>
      <c r="C66" s="38" t="e">
        <f t="shared" si="27"/>
        <v>#REF!</v>
      </c>
      <c r="D66" s="38" t="e">
        <f t="shared" si="28"/>
        <v>#REF!</v>
      </c>
      <c r="E66" s="38" t="e">
        <f t="shared" si="29"/>
        <v>#REF!</v>
      </c>
      <c r="F66" s="38" t="e">
        <f t="shared" si="30"/>
        <v>#REF!</v>
      </c>
      <c r="G66" s="38" t="e">
        <f t="shared" si="31"/>
        <v>#REF!</v>
      </c>
      <c r="H66" s="38" t="e">
        <f t="shared" si="32"/>
        <v>#REF!</v>
      </c>
      <c r="I66" s="38" t="e">
        <f t="shared" si="33"/>
        <v>#REF!</v>
      </c>
      <c r="J66" s="38" t="e">
        <f t="shared" si="34"/>
        <v>#REF!</v>
      </c>
      <c r="K66" s="64" t="e">
        <f t="shared" si="40"/>
        <v>#REF!</v>
      </c>
      <c r="L66" s="39"/>
      <c r="M66" s="39"/>
      <c r="N66" s="42">
        <v>33374960.228564952</v>
      </c>
      <c r="O66" s="75" t="e">
        <f t="shared" si="35"/>
        <v>#REF!</v>
      </c>
      <c r="P66" s="64" t="e">
        <f t="shared" si="36"/>
        <v>#REF!</v>
      </c>
      <c r="Q66" s="65" t="e">
        <f t="shared" si="37"/>
        <v>#REF!</v>
      </c>
      <c r="R66" s="89" t="e">
        <f t="shared" si="38"/>
        <v>#REF!</v>
      </c>
      <c r="S66" s="89" t="e">
        <f t="shared" si="39"/>
        <v>#REF!</v>
      </c>
      <c r="T66" s="15"/>
      <c r="U66" s="15"/>
    </row>
    <row r="67" spans="1:21" x14ac:dyDescent="0.2">
      <c r="B67" s="63" t="s">
        <v>79</v>
      </c>
      <c r="C67" s="38" t="e">
        <f t="shared" si="27"/>
        <v>#REF!</v>
      </c>
      <c r="D67" s="38" t="e">
        <f t="shared" si="28"/>
        <v>#REF!</v>
      </c>
      <c r="E67" s="38" t="e">
        <f t="shared" si="29"/>
        <v>#REF!</v>
      </c>
      <c r="F67" s="38" t="e">
        <f t="shared" si="30"/>
        <v>#REF!</v>
      </c>
      <c r="G67" s="38" t="e">
        <f t="shared" si="31"/>
        <v>#REF!</v>
      </c>
      <c r="H67" s="38" t="e">
        <f t="shared" si="32"/>
        <v>#REF!</v>
      </c>
      <c r="I67" s="38" t="e">
        <f t="shared" si="33"/>
        <v>#REF!</v>
      </c>
      <c r="J67" s="38" t="e">
        <f t="shared" si="34"/>
        <v>#REF!</v>
      </c>
      <c r="K67" s="64" t="e">
        <f t="shared" si="40"/>
        <v>#REF!</v>
      </c>
      <c r="L67" s="39"/>
      <c r="M67" s="39"/>
      <c r="N67" s="42">
        <v>14900000</v>
      </c>
      <c r="O67" s="75" t="e">
        <f t="shared" si="35"/>
        <v>#REF!</v>
      </c>
      <c r="P67" s="64" t="e">
        <f t="shared" si="36"/>
        <v>#REF!</v>
      </c>
      <c r="Q67" s="65" t="e">
        <f t="shared" si="37"/>
        <v>#REF!</v>
      </c>
      <c r="R67" s="89" t="e">
        <f t="shared" si="38"/>
        <v>#REF!</v>
      </c>
      <c r="S67" s="89" t="e">
        <f t="shared" si="39"/>
        <v>#REF!</v>
      </c>
      <c r="T67" s="15"/>
      <c r="U67" s="15"/>
    </row>
    <row r="68" spans="1:21" s="18" customFormat="1" x14ac:dyDescent="0.2">
      <c r="B68" s="19"/>
      <c r="C68" s="19"/>
      <c r="E68" s="19"/>
      <c r="F68" s="19"/>
      <c r="G68" s="19"/>
      <c r="H68" s="19"/>
      <c r="I68" s="19"/>
      <c r="J68" s="19"/>
      <c r="K68" s="53" t="e">
        <f>SUM(K55:K67)</f>
        <v>#REF!</v>
      </c>
      <c r="L68" s="57"/>
      <c r="M68" s="57"/>
      <c r="N68" s="53">
        <f>SUM(N55:N67)</f>
        <v>231930033.22856495</v>
      </c>
      <c r="O68" s="79"/>
      <c r="P68" s="20"/>
      <c r="Q68" s="20"/>
      <c r="R68" s="94"/>
      <c r="S68" s="94"/>
      <c r="T68" s="49"/>
      <c r="U68" s="49"/>
    </row>
    <row r="69" spans="1:21" x14ac:dyDescent="0.2">
      <c r="T69" s="47"/>
      <c r="U69" s="47"/>
    </row>
    <row r="70" spans="1:21" ht="15" x14ac:dyDescent="0.25">
      <c r="A70" s="10" t="s">
        <v>15</v>
      </c>
      <c r="D70" s="11">
        <v>445939435</v>
      </c>
      <c r="E70" s="12" t="e">
        <f>D70-K82</f>
        <v>#REF!</v>
      </c>
      <c r="F70" s="67"/>
      <c r="G70" s="12"/>
      <c r="H70" s="12"/>
      <c r="I70" s="12"/>
      <c r="J70" s="12"/>
      <c r="K70" s="41"/>
      <c r="L70" s="56"/>
      <c r="M70" s="56"/>
      <c r="N70" s="41"/>
      <c r="T70" s="47"/>
      <c r="U70" s="47"/>
    </row>
    <row r="71" spans="1:21" x14ac:dyDescent="0.2">
      <c r="B71" s="63" t="s">
        <v>92</v>
      </c>
      <c r="C71" s="38" t="e">
        <f t="shared" ref="C71:C80" si="41">VLOOKUP(B71,Round1,15,FALSE)</f>
        <v>#REF!</v>
      </c>
      <c r="D71" s="38" t="e">
        <f t="shared" ref="D71:D80" si="42">VLOOKUP(B71,Round1,2,FALSE)</f>
        <v>#REF!</v>
      </c>
      <c r="E71" s="38" t="e">
        <f t="shared" ref="E71:E80" si="43">VLOOKUP(B71,Round1,14,FALSE)</f>
        <v>#REF!</v>
      </c>
      <c r="F71" s="38" t="e">
        <f t="shared" ref="F71:F80" si="44">VLOOKUP(B71,Round1,12,FALSE)</f>
        <v>#REF!</v>
      </c>
      <c r="G71" s="38" t="e">
        <f t="shared" ref="G71:G80" si="45">VLOOKUP(B71,Round1,26,FALSE)</f>
        <v>#REF!</v>
      </c>
      <c r="H71" s="38" t="e">
        <f t="shared" ref="H71:H80" si="46">VLOOKUP(B71,Round1,30,FALSE)</f>
        <v>#REF!</v>
      </c>
      <c r="I71" s="38" t="e">
        <f t="shared" ref="I71:I80" si="47">VLOOKUP(B71,Round1,31,FALSE)</f>
        <v>#REF!</v>
      </c>
      <c r="J71" s="38" t="e">
        <f t="shared" ref="J71:J80" si="48">VLOOKUP(B71,Round1,9,FALSE)</f>
        <v>#REF!</v>
      </c>
      <c r="K71" s="64">
        <v>0</v>
      </c>
      <c r="L71" s="39">
        <v>39880000</v>
      </c>
      <c r="M71" s="39"/>
      <c r="N71" s="42">
        <v>39880000</v>
      </c>
      <c r="O71" s="75" t="e">
        <f t="shared" ref="O71:O80" si="49">VLOOKUP(B71,Round1,4,FALSE)</f>
        <v>#REF!</v>
      </c>
      <c r="P71" s="64" t="e">
        <f t="shared" ref="P71:P80" si="50">VLOOKUP(B71,Round1,5,FALSE)</f>
        <v>#REF!</v>
      </c>
      <c r="Q71" s="65" t="e">
        <f t="shared" ref="Q71:Q80" si="51">VLOOKUP(B71,Round1,10,FALSE)</f>
        <v>#REF!</v>
      </c>
      <c r="R71" s="89" t="e">
        <f t="shared" ref="R71:R80" si="52">VLOOKUP(B71,Round1,19,FALSE)</f>
        <v>#REF!</v>
      </c>
      <c r="S71" s="89" t="e">
        <f t="shared" ref="S71:S80" si="53">VLOOKUP(B71,Round1,18,FALSE)</f>
        <v>#REF!</v>
      </c>
      <c r="T71" s="15"/>
      <c r="U71" s="15"/>
    </row>
    <row r="72" spans="1:21" x14ac:dyDescent="0.2">
      <c r="B72" s="63" t="s">
        <v>78</v>
      </c>
      <c r="C72" s="38" t="e">
        <f t="shared" si="41"/>
        <v>#REF!</v>
      </c>
      <c r="D72" s="38" t="e">
        <f t="shared" si="42"/>
        <v>#REF!</v>
      </c>
      <c r="E72" s="38" t="e">
        <f t="shared" si="43"/>
        <v>#REF!</v>
      </c>
      <c r="F72" s="38" t="e">
        <f t="shared" si="44"/>
        <v>#REF!</v>
      </c>
      <c r="G72" s="38" t="e">
        <f t="shared" si="45"/>
        <v>#REF!</v>
      </c>
      <c r="H72" s="38" t="e">
        <f t="shared" si="46"/>
        <v>#REF!</v>
      </c>
      <c r="I72" s="38" t="e">
        <f t="shared" si="47"/>
        <v>#REF!</v>
      </c>
      <c r="J72" s="38" t="e">
        <f t="shared" si="48"/>
        <v>#REF!</v>
      </c>
      <c r="K72" s="64">
        <f>N72-L72</f>
        <v>60170360</v>
      </c>
      <c r="L72" s="39">
        <v>829640</v>
      </c>
      <c r="M72" s="39"/>
      <c r="N72" s="42">
        <v>61000000</v>
      </c>
      <c r="O72" s="75" t="e">
        <f t="shared" si="49"/>
        <v>#REF!</v>
      </c>
      <c r="P72" s="64" t="e">
        <f t="shared" si="50"/>
        <v>#REF!</v>
      </c>
      <c r="Q72" s="65" t="e">
        <f t="shared" si="51"/>
        <v>#REF!</v>
      </c>
      <c r="R72" s="89" t="e">
        <f t="shared" si="52"/>
        <v>#REF!</v>
      </c>
      <c r="S72" s="89" t="e">
        <f t="shared" si="53"/>
        <v>#REF!</v>
      </c>
      <c r="T72" s="15"/>
      <c r="U72" s="15"/>
    </row>
    <row r="73" spans="1:21" x14ac:dyDescent="0.2">
      <c r="B73" s="63" t="s">
        <v>84</v>
      </c>
      <c r="C73" s="38" t="e">
        <f t="shared" si="41"/>
        <v>#REF!</v>
      </c>
      <c r="D73" s="38" t="e">
        <f t="shared" si="42"/>
        <v>#REF!</v>
      </c>
      <c r="E73" s="38" t="e">
        <f t="shared" si="43"/>
        <v>#REF!</v>
      </c>
      <c r="F73" s="38" t="e">
        <f t="shared" si="44"/>
        <v>#REF!</v>
      </c>
      <c r="G73" s="38" t="e">
        <f t="shared" si="45"/>
        <v>#REF!</v>
      </c>
      <c r="H73" s="38" t="e">
        <f t="shared" si="46"/>
        <v>#REF!</v>
      </c>
      <c r="I73" s="38" t="e">
        <f t="shared" si="47"/>
        <v>#REF!</v>
      </c>
      <c r="J73" s="38" t="e">
        <f t="shared" si="48"/>
        <v>#REF!</v>
      </c>
      <c r="K73" s="64" t="e">
        <f t="shared" ref="K73:K80" si="54">VLOOKUP(B73,Round1,3,FALSE)</f>
        <v>#REF!</v>
      </c>
      <c r="L73" s="39"/>
      <c r="M73" s="39"/>
      <c r="N73" s="42">
        <v>33646558</v>
      </c>
      <c r="O73" s="75" t="e">
        <f t="shared" si="49"/>
        <v>#REF!</v>
      </c>
      <c r="P73" s="64" t="e">
        <f t="shared" si="50"/>
        <v>#REF!</v>
      </c>
      <c r="Q73" s="65" t="e">
        <f t="shared" si="51"/>
        <v>#REF!</v>
      </c>
      <c r="R73" s="89" t="e">
        <f t="shared" si="52"/>
        <v>#REF!</v>
      </c>
      <c r="S73" s="89" t="e">
        <f t="shared" si="53"/>
        <v>#REF!</v>
      </c>
      <c r="T73" s="15"/>
      <c r="U73" s="15"/>
    </row>
    <row r="74" spans="1:21" x14ac:dyDescent="0.2">
      <c r="B74" s="63" t="s">
        <v>87</v>
      </c>
      <c r="C74" s="38" t="e">
        <f t="shared" si="41"/>
        <v>#REF!</v>
      </c>
      <c r="D74" s="38" t="e">
        <f t="shared" si="42"/>
        <v>#REF!</v>
      </c>
      <c r="E74" s="38" t="e">
        <f t="shared" si="43"/>
        <v>#REF!</v>
      </c>
      <c r="F74" s="38" t="e">
        <f t="shared" si="44"/>
        <v>#REF!</v>
      </c>
      <c r="G74" s="38" t="e">
        <f t="shared" si="45"/>
        <v>#REF!</v>
      </c>
      <c r="H74" s="38" t="e">
        <f t="shared" si="46"/>
        <v>#REF!</v>
      </c>
      <c r="I74" s="38" t="e">
        <f t="shared" si="47"/>
        <v>#REF!</v>
      </c>
      <c r="J74" s="38" t="e">
        <f t="shared" si="48"/>
        <v>#REF!</v>
      </c>
      <c r="K74" s="64" t="e">
        <f t="shared" si="54"/>
        <v>#REF!</v>
      </c>
      <c r="L74" s="39"/>
      <c r="M74" s="39"/>
      <c r="N74" s="42">
        <v>28325000</v>
      </c>
      <c r="O74" s="75" t="e">
        <f t="shared" si="49"/>
        <v>#REF!</v>
      </c>
      <c r="P74" s="64" t="e">
        <f t="shared" si="50"/>
        <v>#REF!</v>
      </c>
      <c r="Q74" s="65" t="e">
        <f t="shared" si="51"/>
        <v>#REF!</v>
      </c>
      <c r="R74" s="89" t="e">
        <f t="shared" si="52"/>
        <v>#REF!</v>
      </c>
      <c r="S74" s="89" t="e">
        <f t="shared" si="53"/>
        <v>#REF!</v>
      </c>
      <c r="T74" s="15"/>
      <c r="U74" s="15"/>
    </row>
    <row r="75" spans="1:21" x14ac:dyDescent="0.2">
      <c r="B75" s="63" t="s">
        <v>77</v>
      </c>
      <c r="C75" s="38" t="e">
        <f t="shared" si="41"/>
        <v>#REF!</v>
      </c>
      <c r="D75" s="38" t="e">
        <f t="shared" si="42"/>
        <v>#REF!</v>
      </c>
      <c r="E75" s="38" t="e">
        <f t="shared" si="43"/>
        <v>#REF!</v>
      </c>
      <c r="F75" s="38" t="e">
        <f t="shared" si="44"/>
        <v>#REF!</v>
      </c>
      <c r="G75" s="38" t="e">
        <f t="shared" si="45"/>
        <v>#REF!</v>
      </c>
      <c r="H75" s="38" t="e">
        <f t="shared" si="46"/>
        <v>#REF!</v>
      </c>
      <c r="I75" s="38" t="e">
        <f t="shared" si="47"/>
        <v>#REF!</v>
      </c>
      <c r="J75" s="38" t="e">
        <f t="shared" si="48"/>
        <v>#REF!</v>
      </c>
      <c r="K75" s="64" t="e">
        <f t="shared" si="54"/>
        <v>#REF!</v>
      </c>
      <c r="L75" s="39"/>
      <c r="M75" s="39"/>
      <c r="N75" s="42">
        <v>36000000</v>
      </c>
      <c r="O75" s="75" t="e">
        <f t="shared" si="49"/>
        <v>#REF!</v>
      </c>
      <c r="P75" s="64" t="e">
        <f t="shared" si="50"/>
        <v>#REF!</v>
      </c>
      <c r="Q75" s="65" t="e">
        <f t="shared" si="51"/>
        <v>#REF!</v>
      </c>
      <c r="R75" s="89" t="e">
        <f t="shared" si="52"/>
        <v>#REF!</v>
      </c>
      <c r="S75" s="89" t="e">
        <f t="shared" si="53"/>
        <v>#REF!</v>
      </c>
      <c r="T75" s="15"/>
      <c r="U75" s="15"/>
    </row>
    <row r="76" spans="1:21" x14ac:dyDescent="0.2">
      <c r="B76" s="63" t="s">
        <v>85</v>
      </c>
      <c r="C76" s="38" t="e">
        <f t="shared" si="41"/>
        <v>#REF!</v>
      </c>
      <c r="D76" s="38" t="e">
        <f t="shared" si="42"/>
        <v>#REF!</v>
      </c>
      <c r="E76" s="38" t="e">
        <f t="shared" si="43"/>
        <v>#REF!</v>
      </c>
      <c r="F76" s="38" t="e">
        <f t="shared" si="44"/>
        <v>#REF!</v>
      </c>
      <c r="G76" s="38" t="e">
        <f t="shared" si="45"/>
        <v>#REF!</v>
      </c>
      <c r="H76" s="38" t="e">
        <f t="shared" si="46"/>
        <v>#REF!</v>
      </c>
      <c r="I76" s="38" t="e">
        <f t="shared" si="47"/>
        <v>#REF!</v>
      </c>
      <c r="J76" s="38" t="e">
        <f t="shared" si="48"/>
        <v>#REF!</v>
      </c>
      <c r="K76" s="64" t="e">
        <f t="shared" si="54"/>
        <v>#REF!</v>
      </c>
      <c r="L76" s="39"/>
      <c r="M76" s="39"/>
      <c r="N76" s="42">
        <v>46650000</v>
      </c>
      <c r="O76" s="75" t="e">
        <f t="shared" si="49"/>
        <v>#REF!</v>
      </c>
      <c r="P76" s="64" t="e">
        <f t="shared" si="50"/>
        <v>#REF!</v>
      </c>
      <c r="Q76" s="65" t="e">
        <f t="shared" si="51"/>
        <v>#REF!</v>
      </c>
      <c r="R76" s="89" t="e">
        <f t="shared" si="52"/>
        <v>#REF!</v>
      </c>
      <c r="S76" s="89" t="e">
        <f t="shared" si="53"/>
        <v>#REF!</v>
      </c>
      <c r="T76" s="15"/>
      <c r="U76" s="15"/>
    </row>
    <row r="77" spans="1:21" x14ac:dyDescent="0.2">
      <c r="B77" s="63" t="s">
        <v>89</v>
      </c>
      <c r="C77" s="38" t="e">
        <f t="shared" si="41"/>
        <v>#REF!</v>
      </c>
      <c r="D77" s="38" t="e">
        <f t="shared" si="42"/>
        <v>#REF!</v>
      </c>
      <c r="E77" s="38" t="e">
        <f t="shared" si="43"/>
        <v>#REF!</v>
      </c>
      <c r="F77" s="38" t="e">
        <f t="shared" si="44"/>
        <v>#REF!</v>
      </c>
      <c r="G77" s="38" t="e">
        <f t="shared" si="45"/>
        <v>#REF!</v>
      </c>
      <c r="H77" s="38" t="e">
        <f t="shared" si="46"/>
        <v>#REF!</v>
      </c>
      <c r="I77" s="38" t="e">
        <f t="shared" si="47"/>
        <v>#REF!</v>
      </c>
      <c r="J77" s="38" t="e">
        <f t="shared" si="48"/>
        <v>#REF!</v>
      </c>
      <c r="K77" s="64" t="e">
        <f t="shared" si="54"/>
        <v>#REF!</v>
      </c>
      <c r="L77" s="39"/>
      <c r="M77" s="39"/>
      <c r="N77" s="42">
        <v>74970489</v>
      </c>
      <c r="O77" s="75" t="e">
        <f t="shared" si="49"/>
        <v>#REF!</v>
      </c>
      <c r="P77" s="64" t="e">
        <f t="shared" si="50"/>
        <v>#REF!</v>
      </c>
      <c r="Q77" s="65" t="e">
        <f t="shared" si="51"/>
        <v>#REF!</v>
      </c>
      <c r="R77" s="89" t="e">
        <f t="shared" si="52"/>
        <v>#REF!</v>
      </c>
      <c r="S77" s="89" t="e">
        <f t="shared" si="53"/>
        <v>#REF!</v>
      </c>
      <c r="T77" s="15"/>
      <c r="U77" s="15"/>
    </row>
    <row r="78" spans="1:21" x14ac:dyDescent="0.2">
      <c r="B78" s="63" t="s">
        <v>102</v>
      </c>
      <c r="C78" s="38" t="e">
        <f t="shared" si="41"/>
        <v>#REF!</v>
      </c>
      <c r="D78" s="38" t="e">
        <f t="shared" si="42"/>
        <v>#REF!</v>
      </c>
      <c r="E78" s="38" t="e">
        <f t="shared" si="43"/>
        <v>#REF!</v>
      </c>
      <c r="F78" s="38" t="e">
        <f t="shared" si="44"/>
        <v>#REF!</v>
      </c>
      <c r="G78" s="38" t="e">
        <f t="shared" si="45"/>
        <v>#REF!</v>
      </c>
      <c r="H78" s="38" t="e">
        <f t="shared" si="46"/>
        <v>#REF!</v>
      </c>
      <c r="I78" s="38" t="e">
        <f t="shared" si="47"/>
        <v>#REF!</v>
      </c>
      <c r="J78" s="38" t="e">
        <f t="shared" si="48"/>
        <v>#REF!</v>
      </c>
      <c r="K78" s="64" t="e">
        <f t="shared" si="54"/>
        <v>#REF!</v>
      </c>
      <c r="L78" s="39"/>
      <c r="M78" s="39"/>
      <c r="N78" s="42">
        <v>30757773</v>
      </c>
      <c r="O78" s="75" t="e">
        <f t="shared" si="49"/>
        <v>#REF!</v>
      </c>
      <c r="P78" s="64" t="e">
        <f t="shared" si="50"/>
        <v>#REF!</v>
      </c>
      <c r="Q78" s="65" t="e">
        <f t="shared" si="51"/>
        <v>#REF!</v>
      </c>
      <c r="R78" s="89" t="e">
        <f t="shared" si="52"/>
        <v>#REF!</v>
      </c>
      <c r="S78" s="89" t="e">
        <f t="shared" si="53"/>
        <v>#REF!</v>
      </c>
      <c r="T78" s="15"/>
      <c r="U78" s="15"/>
    </row>
    <row r="79" spans="1:21" x14ac:dyDescent="0.2">
      <c r="B79" s="63" t="s">
        <v>76</v>
      </c>
      <c r="C79" s="38" t="e">
        <f t="shared" si="41"/>
        <v>#REF!</v>
      </c>
      <c r="D79" s="38" t="e">
        <f t="shared" si="42"/>
        <v>#REF!</v>
      </c>
      <c r="E79" s="38" t="e">
        <f t="shared" si="43"/>
        <v>#REF!</v>
      </c>
      <c r="F79" s="38" t="e">
        <f t="shared" si="44"/>
        <v>#REF!</v>
      </c>
      <c r="G79" s="38" t="e">
        <f t="shared" si="45"/>
        <v>#REF!</v>
      </c>
      <c r="H79" s="38" t="e">
        <f t="shared" si="46"/>
        <v>#REF!</v>
      </c>
      <c r="I79" s="38" t="e">
        <f t="shared" si="47"/>
        <v>#REF!</v>
      </c>
      <c r="J79" s="38" t="e">
        <f t="shared" si="48"/>
        <v>#REF!</v>
      </c>
      <c r="K79" s="64" t="e">
        <f t="shared" si="54"/>
        <v>#REF!</v>
      </c>
      <c r="L79" s="39"/>
      <c r="M79" s="39"/>
      <c r="N79" s="42">
        <v>31000000</v>
      </c>
      <c r="O79" s="75" t="e">
        <f t="shared" si="49"/>
        <v>#REF!</v>
      </c>
      <c r="P79" s="64" t="e">
        <f t="shared" si="50"/>
        <v>#REF!</v>
      </c>
      <c r="Q79" s="65" t="e">
        <f t="shared" si="51"/>
        <v>#REF!</v>
      </c>
      <c r="R79" s="89" t="e">
        <f t="shared" si="52"/>
        <v>#REF!</v>
      </c>
      <c r="S79" s="89" t="e">
        <f t="shared" si="53"/>
        <v>#REF!</v>
      </c>
      <c r="T79" s="15"/>
      <c r="U79" s="15"/>
    </row>
    <row r="80" spans="1:21" x14ac:dyDescent="0.2">
      <c r="B80" s="63" t="s">
        <v>74</v>
      </c>
      <c r="C80" s="38" t="e">
        <f t="shared" si="41"/>
        <v>#REF!</v>
      </c>
      <c r="D80" s="38" t="e">
        <f t="shared" si="42"/>
        <v>#REF!</v>
      </c>
      <c r="E80" s="38" t="e">
        <f t="shared" si="43"/>
        <v>#REF!</v>
      </c>
      <c r="F80" s="38" t="e">
        <f t="shared" si="44"/>
        <v>#REF!</v>
      </c>
      <c r="G80" s="38" t="e">
        <f t="shared" si="45"/>
        <v>#REF!</v>
      </c>
      <c r="H80" s="38" t="e">
        <f t="shared" si="46"/>
        <v>#REF!</v>
      </c>
      <c r="I80" s="38" t="e">
        <f t="shared" si="47"/>
        <v>#REF!</v>
      </c>
      <c r="J80" s="38" t="e">
        <f t="shared" si="48"/>
        <v>#REF!</v>
      </c>
      <c r="K80" s="64" t="e">
        <f t="shared" si="54"/>
        <v>#REF!</v>
      </c>
      <c r="L80" s="39"/>
      <c r="M80" s="39"/>
      <c r="N80" s="42">
        <v>50000000</v>
      </c>
      <c r="O80" s="75" t="e">
        <f t="shared" si="49"/>
        <v>#REF!</v>
      </c>
      <c r="P80" s="64" t="e">
        <f t="shared" si="50"/>
        <v>#REF!</v>
      </c>
      <c r="Q80" s="65" t="e">
        <f t="shared" si="51"/>
        <v>#REF!</v>
      </c>
      <c r="R80" s="89" t="e">
        <f t="shared" si="52"/>
        <v>#REF!</v>
      </c>
      <c r="S80" s="89" t="e">
        <f t="shared" si="53"/>
        <v>#REF!</v>
      </c>
      <c r="T80" s="15"/>
      <c r="U80" s="15"/>
    </row>
    <row r="81" spans="1:21" x14ac:dyDescent="0.2">
      <c r="K81" s="39">
        <f>N81-L81</f>
        <v>0</v>
      </c>
      <c r="N81" s="44">
        <v>0</v>
      </c>
      <c r="T81" s="15"/>
      <c r="U81" s="15"/>
    </row>
    <row r="82" spans="1:21" s="18" customFormat="1" x14ac:dyDescent="0.2">
      <c r="B82" s="19"/>
      <c r="C82" s="19"/>
      <c r="E82" s="19"/>
      <c r="F82" s="19"/>
      <c r="G82" s="19"/>
      <c r="H82" s="19"/>
      <c r="I82" s="19"/>
      <c r="J82" s="19"/>
      <c r="K82" s="53" t="e">
        <f>SUM(K71:K81)</f>
        <v>#REF!</v>
      </c>
      <c r="L82" s="57"/>
      <c r="M82" s="57"/>
      <c r="N82" s="53">
        <f>SUM(N71:N81)</f>
        <v>432229820</v>
      </c>
      <c r="O82" s="79"/>
      <c r="P82" s="20"/>
      <c r="Q82" s="20"/>
      <c r="R82" s="94"/>
      <c r="S82" s="94"/>
      <c r="T82" s="49"/>
      <c r="U82" s="49"/>
    </row>
    <row r="83" spans="1:21" s="4" customFormat="1" x14ac:dyDescent="0.2">
      <c r="A83" s="1" t="s">
        <v>21</v>
      </c>
      <c r="B83" s="3"/>
      <c r="C83" s="3"/>
      <c r="E83" s="3"/>
      <c r="F83" s="3"/>
      <c r="G83" s="3"/>
      <c r="H83" s="3"/>
      <c r="I83" s="3"/>
      <c r="J83" s="3"/>
      <c r="K83" s="52"/>
      <c r="L83" s="55"/>
      <c r="M83" s="55"/>
      <c r="N83" s="52"/>
      <c r="O83" s="72"/>
      <c r="P83" s="5"/>
      <c r="Q83" s="5"/>
      <c r="R83" s="87"/>
      <c r="S83" s="87"/>
      <c r="T83" s="48"/>
      <c r="U83" s="48"/>
    </row>
    <row r="84" spans="1:21" x14ac:dyDescent="0.2">
      <c r="T84" s="47"/>
      <c r="U84" s="47"/>
    </row>
    <row r="85" spans="1:21" ht="15" x14ac:dyDescent="0.25">
      <c r="A85" s="10" t="s">
        <v>17</v>
      </c>
      <c r="D85" s="11">
        <v>104042130</v>
      </c>
      <c r="E85" s="12" t="e">
        <f>D85-K94</f>
        <v>#REF!</v>
      </c>
      <c r="F85" s="67" t="e">
        <f>IF(E85&gt;0,(E85/0.8),"N/A")</f>
        <v>#REF!</v>
      </c>
      <c r="G85" s="12"/>
      <c r="H85" s="12"/>
      <c r="I85" s="12"/>
      <c r="J85" s="12"/>
      <c r="K85" s="41"/>
      <c r="L85" s="56"/>
      <c r="M85" s="56"/>
      <c r="N85" s="41"/>
      <c r="T85" s="47"/>
      <c r="U85" s="47"/>
    </row>
    <row r="86" spans="1:21" x14ac:dyDescent="0.2">
      <c r="B86" s="66" t="s">
        <v>58</v>
      </c>
      <c r="C86" s="38" t="e">
        <f>VLOOKUP(B86,Round1,15,FALSE)</f>
        <v>#REF!</v>
      </c>
      <c r="D86" s="38" t="e">
        <f>VLOOKUP(B86,Round1,2,FALSE)</f>
        <v>#REF!</v>
      </c>
      <c r="E86" s="38" t="e">
        <f>VLOOKUP(B86,Round1,14,FALSE)</f>
        <v>#REF!</v>
      </c>
      <c r="F86" s="38" t="e">
        <f>VLOOKUP(B86,Round1,12,FALSE)</f>
        <v>#REF!</v>
      </c>
      <c r="G86" s="38" t="e">
        <f>VLOOKUP(B86,Round1,26,FALSE)</f>
        <v>#REF!</v>
      </c>
      <c r="H86" s="38" t="e">
        <f>VLOOKUP(B86,Round1,30,FALSE)</f>
        <v>#REF!</v>
      </c>
      <c r="I86" s="38" t="e">
        <f>VLOOKUP(B86,Round1,31,FALSE)</f>
        <v>#REF!</v>
      </c>
      <c r="J86" s="38" t="e">
        <f>VLOOKUP(B86,Round1,9,FALSE)</f>
        <v>#REF!</v>
      </c>
      <c r="K86" s="64">
        <v>0</v>
      </c>
      <c r="L86" s="39">
        <v>35000000</v>
      </c>
      <c r="M86" s="39"/>
      <c r="N86" s="42">
        <v>35000000</v>
      </c>
      <c r="O86" s="75" t="e">
        <f>VLOOKUP(B86,Round1,4,FALSE)</f>
        <v>#REF!</v>
      </c>
      <c r="P86" s="64" t="e">
        <f>VLOOKUP(B86,Round1,5,FALSE)</f>
        <v>#REF!</v>
      </c>
      <c r="Q86" s="65" t="e">
        <f>VLOOKUP(B86,Round1,10,FALSE)</f>
        <v>#REF!</v>
      </c>
      <c r="R86" s="89" t="e">
        <f>VLOOKUP(B86,Round1,19,FALSE)</f>
        <v>#REF!</v>
      </c>
      <c r="S86" s="89" t="e">
        <f>VLOOKUP(B86,Round1,18,FALSE)</f>
        <v>#REF!</v>
      </c>
      <c r="T86" s="15"/>
      <c r="U86" s="15"/>
    </row>
    <row r="87" spans="1:21" x14ac:dyDescent="0.2">
      <c r="B87" s="66" t="s">
        <v>56</v>
      </c>
      <c r="C87" s="38" t="e">
        <f>VLOOKUP(B87,Round1,15,FALSE)</f>
        <v>#REF!</v>
      </c>
      <c r="D87" s="38" t="e">
        <f>VLOOKUP(B87,Round1,2,FALSE)</f>
        <v>#REF!</v>
      </c>
      <c r="E87" s="38" t="e">
        <f>VLOOKUP(B87,Round1,14,FALSE)</f>
        <v>#REF!</v>
      </c>
      <c r="F87" s="38" t="e">
        <f>VLOOKUP(B87,Round1,12,FALSE)</f>
        <v>#REF!</v>
      </c>
      <c r="G87" s="38" t="e">
        <f>VLOOKUP(B87,Round1,26,FALSE)</f>
        <v>#REF!</v>
      </c>
      <c r="H87" s="38" t="e">
        <f>VLOOKUP(B87,Round1,30,FALSE)</f>
        <v>#REF!</v>
      </c>
      <c r="I87" s="38" t="e">
        <f>VLOOKUP(B87,Round1,31,FALSE)</f>
        <v>#REF!</v>
      </c>
      <c r="J87" s="38" t="e">
        <f>VLOOKUP(B87,Round1,9,FALSE)</f>
        <v>#REF!</v>
      </c>
      <c r="K87" s="64" t="e">
        <f>VLOOKUP(B87,Round1,3,FALSE)</f>
        <v>#REF!</v>
      </c>
      <c r="L87" s="39"/>
      <c r="M87" s="39"/>
      <c r="N87" s="42">
        <v>48000000</v>
      </c>
      <c r="O87" s="75" t="e">
        <f>VLOOKUP(B87,Round1,4,FALSE)</f>
        <v>#REF!</v>
      </c>
      <c r="P87" s="64" t="e">
        <f>VLOOKUP(B87,Round1,5,FALSE)</f>
        <v>#REF!</v>
      </c>
      <c r="Q87" s="65" t="e">
        <f>VLOOKUP(B87,Round1,10,FALSE)</f>
        <v>#REF!</v>
      </c>
      <c r="R87" s="89" t="e">
        <f>VLOOKUP(B87,Round1,19,FALSE)</f>
        <v>#REF!</v>
      </c>
      <c r="S87" s="89" t="e">
        <f>VLOOKUP(B87,Round1,18,FALSE)</f>
        <v>#REF!</v>
      </c>
      <c r="T87" s="15"/>
      <c r="U87" s="15"/>
    </row>
    <row r="88" spans="1:21" x14ac:dyDescent="0.2">
      <c r="B88" s="66" t="s">
        <v>70</v>
      </c>
      <c r="C88" s="38" t="e">
        <f>VLOOKUP(B88,Round1,15,FALSE)</f>
        <v>#REF!</v>
      </c>
      <c r="D88" s="38" t="e">
        <f>VLOOKUP(B88,Round1,2,FALSE)</f>
        <v>#REF!</v>
      </c>
      <c r="E88" s="38" t="e">
        <f>VLOOKUP(B88,Round1,14,FALSE)</f>
        <v>#REF!</v>
      </c>
      <c r="F88" s="38" t="e">
        <f>VLOOKUP(B88,Round1,12,FALSE)</f>
        <v>#REF!</v>
      </c>
      <c r="G88" s="38" t="e">
        <f>VLOOKUP(B88,Round1,26,FALSE)</f>
        <v>#REF!</v>
      </c>
      <c r="H88" s="38" t="e">
        <f>VLOOKUP(B88,Round1,30,FALSE)</f>
        <v>#REF!</v>
      </c>
      <c r="I88" s="38" t="e">
        <f>VLOOKUP(B88,Round1,31,FALSE)</f>
        <v>#REF!</v>
      </c>
      <c r="J88" s="38" t="e">
        <f>VLOOKUP(B88,Round1,9,FALSE)</f>
        <v>#REF!</v>
      </c>
      <c r="K88" s="64" t="e">
        <f>VLOOKUP(B88,Round1,3,FALSE)</f>
        <v>#REF!</v>
      </c>
      <c r="L88" s="39"/>
      <c r="M88" s="39"/>
      <c r="N88" s="42">
        <v>52800000</v>
      </c>
      <c r="O88" s="75" t="e">
        <f>VLOOKUP(B88,Round1,4,FALSE)</f>
        <v>#REF!</v>
      </c>
      <c r="P88" s="64" t="e">
        <f>VLOOKUP(B88,Round1,5,FALSE)</f>
        <v>#REF!</v>
      </c>
      <c r="Q88" s="65" t="e">
        <f>VLOOKUP(B88,Round1,10,FALSE)</f>
        <v>#REF!</v>
      </c>
      <c r="R88" s="89" t="e">
        <f>VLOOKUP(B88,Round1,19,FALSE)</f>
        <v>#REF!</v>
      </c>
      <c r="S88" s="89" t="e">
        <f>VLOOKUP(B88,Round1,18,FALSE)</f>
        <v>#REF!</v>
      </c>
      <c r="T88" s="15"/>
      <c r="U88" s="15"/>
    </row>
    <row r="89" spans="1:21" x14ac:dyDescent="0.2">
      <c r="B89" s="13"/>
      <c r="C89" s="13"/>
      <c r="D89" s="14"/>
      <c r="E89" s="14"/>
      <c r="F89" s="14"/>
      <c r="G89" s="14"/>
      <c r="H89" s="14"/>
      <c r="I89" s="14"/>
      <c r="J89" s="14"/>
      <c r="K89" s="39">
        <f>N89-L89</f>
        <v>0</v>
      </c>
      <c r="L89" s="15"/>
      <c r="M89" s="15"/>
      <c r="N89" s="43"/>
      <c r="O89" s="78"/>
      <c r="P89" s="16"/>
      <c r="Q89" s="16"/>
      <c r="R89" s="90"/>
      <c r="S89" s="91"/>
      <c r="T89" s="15"/>
      <c r="U89" s="15"/>
    </row>
    <row r="90" spans="1:21" x14ac:dyDescent="0.2">
      <c r="B90" s="7"/>
      <c r="C90" s="7"/>
      <c r="E90" s="7"/>
      <c r="F90" s="7"/>
      <c r="G90" s="7"/>
      <c r="H90" s="7"/>
      <c r="I90" s="7"/>
      <c r="J90" s="7"/>
      <c r="K90" s="39">
        <f>N90-L90</f>
        <v>0</v>
      </c>
      <c r="O90" s="80"/>
      <c r="P90" s="7"/>
      <c r="Q90" s="7"/>
      <c r="R90" s="97"/>
      <c r="S90" s="97"/>
      <c r="T90" s="15"/>
      <c r="U90" s="15"/>
    </row>
    <row r="91" spans="1:21" x14ac:dyDescent="0.2">
      <c r="B91" s="23"/>
      <c r="C91" s="23"/>
      <c r="D91" s="25"/>
      <c r="K91" s="39">
        <f>N91-L91</f>
        <v>0</v>
      </c>
      <c r="T91" s="15"/>
      <c r="U91" s="15"/>
    </row>
    <row r="92" spans="1:21" x14ac:dyDescent="0.2">
      <c r="D92" s="25"/>
      <c r="K92" s="39">
        <f>N92-L92</f>
        <v>0</v>
      </c>
      <c r="T92" s="15"/>
      <c r="U92" s="15"/>
    </row>
    <row r="93" spans="1:21" x14ac:dyDescent="0.2">
      <c r="K93" s="39">
        <f>N93-L93</f>
        <v>0</v>
      </c>
      <c r="T93" s="15"/>
      <c r="U93" s="15"/>
    </row>
    <row r="94" spans="1:21" s="18" customFormat="1" x14ac:dyDescent="0.2">
      <c r="B94" s="19"/>
      <c r="C94" s="19"/>
      <c r="E94" s="19"/>
      <c r="F94" s="19"/>
      <c r="G94" s="19"/>
      <c r="H94" s="19"/>
      <c r="I94" s="19"/>
      <c r="J94" s="19"/>
      <c r="K94" s="53" t="e">
        <f>SUM(K86:K93)</f>
        <v>#REF!</v>
      </c>
      <c r="L94" s="57"/>
      <c r="M94" s="57"/>
      <c r="N94" s="53">
        <f>SUM(N86:N93)</f>
        <v>135800000</v>
      </c>
      <c r="O94" s="79"/>
      <c r="P94" s="20"/>
      <c r="Q94" s="20"/>
      <c r="R94" s="94"/>
      <c r="S94" s="94"/>
      <c r="T94" s="49"/>
      <c r="U94" s="49"/>
    </row>
    <row r="95" spans="1:21" x14ac:dyDescent="0.2">
      <c r="T95" s="47"/>
      <c r="U95" s="47"/>
    </row>
    <row r="96" spans="1:21" ht="15" x14ac:dyDescent="0.25">
      <c r="A96" s="10" t="s">
        <v>16</v>
      </c>
      <c r="D96" s="11">
        <v>99087743</v>
      </c>
      <c r="E96" s="12" t="e">
        <f>D96-K102</f>
        <v>#REF!</v>
      </c>
      <c r="F96" s="67" t="e">
        <f>IF(E96&gt;0,(E96/0.8),"N/A")</f>
        <v>#REF!</v>
      </c>
      <c r="G96" s="12"/>
      <c r="H96" s="12"/>
      <c r="I96" s="12"/>
      <c r="J96" s="12"/>
      <c r="K96" s="41"/>
      <c r="L96" s="56"/>
      <c r="M96" s="56"/>
      <c r="N96" s="41"/>
      <c r="T96" s="47"/>
      <c r="U96" s="47"/>
    </row>
    <row r="97" spans="1:21" x14ac:dyDescent="0.2">
      <c r="A97" s="10"/>
      <c r="B97" s="66" t="s">
        <v>66</v>
      </c>
      <c r="C97" s="38" t="e">
        <f>VLOOKUP(B97,Round1,15,FALSE)</f>
        <v>#REF!</v>
      </c>
      <c r="D97" s="38" t="e">
        <f>VLOOKUP(B97,Round1,2,FALSE)</f>
        <v>#REF!</v>
      </c>
      <c r="E97" s="38" t="e">
        <f>VLOOKUP(B97,Round1,14,FALSE)</f>
        <v>#REF!</v>
      </c>
      <c r="F97" s="38" t="e">
        <f>VLOOKUP(B97,Round1,12,FALSE)</f>
        <v>#REF!</v>
      </c>
      <c r="G97" s="38" t="e">
        <f>VLOOKUP(B97,Round1,26,FALSE)</f>
        <v>#REF!</v>
      </c>
      <c r="H97" s="38" t="e">
        <f>VLOOKUP(B97,Round1,30,FALSE)</f>
        <v>#REF!</v>
      </c>
      <c r="I97" s="38" t="e">
        <f>VLOOKUP(B97,Round1,31,FALSE)</f>
        <v>#REF!</v>
      </c>
      <c r="J97" s="38" t="e">
        <f>VLOOKUP(B97,Round1,9,FALSE)</f>
        <v>#REF!</v>
      </c>
      <c r="K97" s="64">
        <v>0</v>
      </c>
      <c r="L97" s="39">
        <v>16157000</v>
      </c>
      <c r="M97" s="39"/>
      <c r="N97" s="42">
        <v>16157000</v>
      </c>
      <c r="O97" s="75" t="e">
        <f>VLOOKUP(B97,Round1,4,FALSE)</f>
        <v>#REF!</v>
      </c>
      <c r="P97" s="64" t="e">
        <f>VLOOKUP(B97,Round1,5,FALSE)</f>
        <v>#REF!</v>
      </c>
      <c r="Q97" s="65" t="e">
        <f>VLOOKUP(B97,Round1,10,FALSE)</f>
        <v>#REF!</v>
      </c>
      <c r="R97" s="89" t="e">
        <f>VLOOKUP(B97,Round1,19,FALSE)</f>
        <v>#REF!</v>
      </c>
      <c r="S97" s="89" t="e">
        <f>VLOOKUP(B97,Round1,18,FALSE)</f>
        <v>#REF!</v>
      </c>
      <c r="T97" s="15"/>
      <c r="U97" s="15"/>
    </row>
    <row r="98" spans="1:21" x14ac:dyDescent="0.2">
      <c r="B98" s="66" t="s">
        <v>83</v>
      </c>
      <c r="C98" s="38" t="e">
        <f>VLOOKUP(B98,Round1,15,FALSE)</f>
        <v>#REF!</v>
      </c>
      <c r="D98" s="38" t="e">
        <f>VLOOKUP(B98,Round1,2,FALSE)</f>
        <v>#REF!</v>
      </c>
      <c r="E98" s="38" t="e">
        <f>VLOOKUP(B98,Round1,14,FALSE)</f>
        <v>#REF!</v>
      </c>
      <c r="F98" s="38" t="e">
        <f>VLOOKUP(B98,Round1,12,FALSE)</f>
        <v>#REF!</v>
      </c>
      <c r="G98" s="38" t="e">
        <f>VLOOKUP(B98,Round1,26,FALSE)</f>
        <v>#REF!</v>
      </c>
      <c r="H98" s="38" t="e">
        <f>VLOOKUP(B98,Round1,30,FALSE)</f>
        <v>#REF!</v>
      </c>
      <c r="I98" s="38" t="e">
        <f>VLOOKUP(B98,Round1,31,FALSE)</f>
        <v>#REF!</v>
      </c>
      <c r="J98" s="38" t="e">
        <f>VLOOKUP(B98,Round1,9,FALSE)</f>
        <v>#REF!</v>
      </c>
      <c r="K98" s="64" t="e">
        <f>VLOOKUP(B98,Round1,3,FALSE)</f>
        <v>#REF!</v>
      </c>
      <c r="L98" s="39"/>
      <c r="M98" s="39"/>
      <c r="N98" s="42">
        <v>40453033</v>
      </c>
      <c r="O98" s="75" t="e">
        <f>VLOOKUP(B98,Round1,4,FALSE)</f>
        <v>#REF!</v>
      </c>
      <c r="P98" s="64" t="e">
        <f>VLOOKUP(B98,Round1,5,FALSE)</f>
        <v>#REF!</v>
      </c>
      <c r="Q98" s="65" t="e">
        <f>VLOOKUP(B98,Round1,10,FALSE)</f>
        <v>#REF!</v>
      </c>
      <c r="R98" s="89" t="e">
        <f>VLOOKUP(B98,Round1,19,FALSE)</f>
        <v>#REF!</v>
      </c>
      <c r="S98" s="89" t="e">
        <f>VLOOKUP(B98,Round1,18,FALSE)</f>
        <v>#REF!</v>
      </c>
      <c r="T98" s="15"/>
      <c r="U98" s="15"/>
    </row>
    <row r="99" spans="1:21" x14ac:dyDescent="0.2">
      <c r="B99" s="66" t="s">
        <v>69</v>
      </c>
      <c r="C99" s="38" t="e">
        <f>VLOOKUP(B99,Round1,15,FALSE)</f>
        <v>#REF!</v>
      </c>
      <c r="D99" s="38" t="e">
        <f>VLOOKUP(B99,Round1,2,FALSE)</f>
        <v>#REF!</v>
      </c>
      <c r="E99" s="38" t="e">
        <f>VLOOKUP(B99,Round1,14,FALSE)</f>
        <v>#REF!</v>
      </c>
      <c r="F99" s="38" t="e">
        <f>VLOOKUP(B99,Round1,12,FALSE)</f>
        <v>#REF!</v>
      </c>
      <c r="G99" s="38" t="e">
        <f>VLOOKUP(B99,Round1,26,FALSE)</f>
        <v>#REF!</v>
      </c>
      <c r="H99" s="38" t="e">
        <f>VLOOKUP(B99,Round1,30,FALSE)</f>
        <v>#REF!</v>
      </c>
      <c r="I99" s="38" t="e">
        <f>VLOOKUP(B99,Round1,31,FALSE)</f>
        <v>#REF!</v>
      </c>
      <c r="J99" s="38" t="e">
        <f>VLOOKUP(B99,Round1,9,FALSE)</f>
        <v>#REF!</v>
      </c>
      <c r="K99" s="64" t="e">
        <f>VLOOKUP(B99,Round1,3,FALSE)</f>
        <v>#REF!</v>
      </c>
      <c r="L99" s="39"/>
      <c r="M99" s="39"/>
      <c r="N99" s="42">
        <v>63714448</v>
      </c>
      <c r="O99" s="75" t="e">
        <f>VLOOKUP(B99,Round1,4,FALSE)</f>
        <v>#REF!</v>
      </c>
      <c r="P99" s="64" t="e">
        <f>VLOOKUP(B99,Round1,5,FALSE)</f>
        <v>#REF!</v>
      </c>
      <c r="Q99" s="65" t="e">
        <f>VLOOKUP(B99,Round1,10,FALSE)</f>
        <v>#REF!</v>
      </c>
      <c r="R99" s="89" t="e">
        <f>VLOOKUP(B99,Round1,19,FALSE)</f>
        <v>#REF!</v>
      </c>
      <c r="S99" s="89" t="e">
        <f>VLOOKUP(B99,Round1,18,FALSE)</f>
        <v>#REF!</v>
      </c>
      <c r="T99" s="15"/>
      <c r="U99" s="15"/>
    </row>
    <row r="100" spans="1:21" x14ac:dyDescent="0.2">
      <c r="K100" s="39">
        <f>N100-L100</f>
        <v>0</v>
      </c>
      <c r="T100" s="15"/>
      <c r="U100" s="15"/>
    </row>
    <row r="101" spans="1:21" x14ac:dyDescent="0.2">
      <c r="K101" s="39">
        <f>N101-L101</f>
        <v>0</v>
      </c>
      <c r="T101" s="15"/>
      <c r="U101" s="15"/>
    </row>
    <row r="102" spans="1:21" s="18" customFormat="1" x14ac:dyDescent="0.2">
      <c r="B102" s="19"/>
      <c r="C102" s="19"/>
      <c r="E102" s="19"/>
      <c r="F102" s="19"/>
      <c r="G102" s="19"/>
      <c r="H102" s="19"/>
      <c r="I102" s="19"/>
      <c r="J102" s="19"/>
      <c r="K102" s="53" t="e">
        <f>SUM(K97:K101)</f>
        <v>#REF!</v>
      </c>
      <c r="L102" s="57"/>
      <c r="M102" s="57"/>
      <c r="N102" s="53">
        <f>SUM(N97:N101)</f>
        <v>120324481</v>
      </c>
      <c r="O102" s="79"/>
      <c r="P102" s="20"/>
      <c r="Q102" s="20"/>
      <c r="R102" s="94"/>
      <c r="S102" s="94"/>
      <c r="T102" s="49"/>
      <c r="U102" s="49"/>
    </row>
    <row r="103" spans="1:21" x14ac:dyDescent="0.2">
      <c r="T103" s="47"/>
      <c r="U103" s="47"/>
    </row>
    <row r="104" spans="1:21" ht="15" x14ac:dyDescent="0.25">
      <c r="A104" s="10" t="s">
        <v>6</v>
      </c>
      <c r="D104" s="11">
        <v>84224581</v>
      </c>
      <c r="E104" s="12" t="e">
        <f>D104-K115</f>
        <v>#REF!</v>
      </c>
      <c r="F104" s="67" t="e">
        <f>IF(E104&gt;0,(E104/0.8),"N/A")</f>
        <v>#REF!</v>
      </c>
      <c r="G104" s="12"/>
      <c r="H104" s="12"/>
      <c r="I104" s="12"/>
      <c r="J104" s="12"/>
      <c r="K104" s="41"/>
      <c r="L104" s="56"/>
      <c r="M104" s="56"/>
      <c r="N104" s="41"/>
      <c r="T104" s="47"/>
      <c r="U104" s="47"/>
    </row>
    <row r="105" spans="1:21" x14ac:dyDescent="0.2">
      <c r="B105" s="66" t="s">
        <v>95</v>
      </c>
      <c r="C105" s="38" t="e">
        <f t="shared" ref="C105:C112" si="55">VLOOKUP(B105,Round1,15,FALSE)</f>
        <v>#REF!</v>
      </c>
      <c r="D105" s="38" t="e">
        <f t="shared" ref="D105:D112" si="56">VLOOKUP(B105,Round1,2,FALSE)</f>
        <v>#REF!</v>
      </c>
      <c r="E105" s="38" t="e">
        <f t="shared" ref="E105:E112" si="57">VLOOKUP(B105,Round1,14,FALSE)</f>
        <v>#REF!</v>
      </c>
      <c r="F105" s="38" t="e">
        <f t="shared" ref="F105:F112" si="58">VLOOKUP(B105,Round1,12,FALSE)</f>
        <v>#REF!</v>
      </c>
      <c r="G105" s="38" t="e">
        <f t="shared" ref="G105:G112" si="59">VLOOKUP(B105,Round1,26,FALSE)</f>
        <v>#REF!</v>
      </c>
      <c r="H105" s="38" t="e">
        <f t="shared" ref="H105:H112" si="60">VLOOKUP(B105,Round1,30,FALSE)</f>
        <v>#REF!</v>
      </c>
      <c r="I105" s="38" t="e">
        <f t="shared" ref="I105:I112" si="61">VLOOKUP(B105,Round1,31,FALSE)</f>
        <v>#REF!</v>
      </c>
      <c r="J105" s="38" t="e">
        <f t="shared" ref="J105:J112" si="62">VLOOKUP(B105,Round1,9,FALSE)</f>
        <v>#REF!</v>
      </c>
      <c r="K105" s="64">
        <f>N105-L105</f>
        <v>0</v>
      </c>
      <c r="L105" s="39">
        <v>2730000</v>
      </c>
      <c r="M105" s="39"/>
      <c r="N105" s="42">
        <f>2730000</f>
        <v>2730000</v>
      </c>
      <c r="O105" s="75" t="e">
        <f t="shared" ref="O105:O112" si="63">VLOOKUP(B105,Round1,4,FALSE)</f>
        <v>#REF!</v>
      </c>
      <c r="P105" s="64" t="e">
        <f t="shared" ref="P105:P112" si="64">VLOOKUP(B105,Round1,5,FALSE)</f>
        <v>#REF!</v>
      </c>
      <c r="Q105" s="65" t="e">
        <f t="shared" ref="Q105:Q112" si="65">VLOOKUP(B105,Round1,10,FALSE)</f>
        <v>#REF!</v>
      </c>
      <c r="R105" s="89" t="e">
        <f t="shared" ref="R105:R112" si="66">VLOOKUP(B105,Round1,19,FALSE)</f>
        <v>#REF!</v>
      </c>
      <c r="S105" s="89" t="e">
        <f t="shared" ref="S105:S112" si="67">VLOOKUP(B105,Round1,18,FALSE)</f>
        <v>#REF!</v>
      </c>
      <c r="T105" s="15"/>
      <c r="U105" s="15"/>
    </row>
    <row r="106" spans="1:21" x14ac:dyDescent="0.2">
      <c r="B106" s="66" t="s">
        <v>116</v>
      </c>
      <c r="C106" s="38" t="e">
        <f t="shared" si="55"/>
        <v>#REF!</v>
      </c>
      <c r="D106" s="38" t="e">
        <f t="shared" si="56"/>
        <v>#REF!</v>
      </c>
      <c r="E106" s="38" t="e">
        <f t="shared" si="57"/>
        <v>#REF!</v>
      </c>
      <c r="F106" s="38" t="e">
        <f t="shared" si="58"/>
        <v>#REF!</v>
      </c>
      <c r="G106" s="38" t="e">
        <f t="shared" si="59"/>
        <v>#REF!</v>
      </c>
      <c r="H106" s="38" t="e">
        <f t="shared" si="60"/>
        <v>#REF!</v>
      </c>
      <c r="I106" s="38" t="e">
        <f t="shared" si="61"/>
        <v>#REF!</v>
      </c>
      <c r="J106" s="38" t="e">
        <f t="shared" si="62"/>
        <v>#REF!</v>
      </c>
      <c r="K106" s="64" t="e">
        <f>VLOOKUP(B106,Round1,3,FALSE)</f>
        <v>#REF!</v>
      </c>
      <c r="L106" s="39"/>
      <c r="M106" s="39"/>
      <c r="N106" s="42">
        <v>5000000</v>
      </c>
      <c r="O106" s="75" t="e">
        <f t="shared" si="63"/>
        <v>#REF!</v>
      </c>
      <c r="P106" s="64" t="e">
        <f t="shared" si="64"/>
        <v>#REF!</v>
      </c>
      <c r="Q106" s="65" t="e">
        <f t="shared" si="65"/>
        <v>#REF!</v>
      </c>
      <c r="R106" s="89" t="e">
        <f t="shared" si="66"/>
        <v>#REF!</v>
      </c>
      <c r="S106" s="89" t="e">
        <f t="shared" si="67"/>
        <v>#REF!</v>
      </c>
      <c r="T106" s="15"/>
      <c r="U106" s="15"/>
    </row>
    <row r="107" spans="1:21" x14ac:dyDescent="0.2">
      <c r="B107" s="17" t="s">
        <v>105</v>
      </c>
      <c r="C107" s="38" t="e">
        <f>VLOOKUP(B107,Round1,15,FALSE)</f>
        <v>#REF!</v>
      </c>
      <c r="D107" s="38" t="e">
        <f>VLOOKUP(B107,Round1,2,FALSE)</f>
        <v>#REF!</v>
      </c>
      <c r="E107" s="38" t="e">
        <f>VLOOKUP(B107,Round1,14,FALSE)</f>
        <v>#REF!</v>
      </c>
      <c r="F107" s="38" t="e">
        <f>VLOOKUP(B107,Round1,12,FALSE)</f>
        <v>#REF!</v>
      </c>
      <c r="G107" s="38" t="e">
        <f>VLOOKUP(B107,Round1,26,FALSE)</f>
        <v>#REF!</v>
      </c>
      <c r="H107" s="38" t="e">
        <f>VLOOKUP(B107,Round1,30,FALSE)</f>
        <v>#REF!</v>
      </c>
      <c r="I107" s="38" t="e">
        <f>VLOOKUP(B107,Round1,31,FALSE)</f>
        <v>#REF!</v>
      </c>
      <c r="J107" s="38" t="e">
        <f>VLOOKUP(B107,Round1,9,FALSE)</f>
        <v>#REF!</v>
      </c>
      <c r="K107" s="64"/>
      <c r="L107" s="39">
        <v>2800000</v>
      </c>
      <c r="M107" s="39"/>
      <c r="N107" s="42">
        <v>2800000</v>
      </c>
      <c r="O107" s="75" t="e">
        <f>VLOOKUP(B107,Round1,4,FALSE)</f>
        <v>#REF!</v>
      </c>
      <c r="P107" s="64" t="e">
        <f>VLOOKUP(B107,Round1,5,FALSE)</f>
        <v>#REF!</v>
      </c>
      <c r="Q107" s="65" t="e">
        <f>VLOOKUP(B107,Round1,10,FALSE)</f>
        <v>#REF!</v>
      </c>
      <c r="R107" s="89" t="e">
        <f>VLOOKUP(B107,Round1,19,FALSE)</f>
        <v>#REF!</v>
      </c>
      <c r="S107" s="89" t="e">
        <f>VLOOKUP(B107,Round1,18,FALSE)</f>
        <v>#REF!</v>
      </c>
      <c r="T107" s="15"/>
      <c r="U107" s="15"/>
    </row>
    <row r="108" spans="1:21" x14ac:dyDescent="0.2">
      <c r="B108" s="66" t="s">
        <v>113</v>
      </c>
      <c r="C108" s="38" t="e">
        <f t="shared" si="55"/>
        <v>#REF!</v>
      </c>
      <c r="D108" s="38" t="e">
        <f t="shared" si="56"/>
        <v>#REF!</v>
      </c>
      <c r="E108" s="38" t="e">
        <f t="shared" si="57"/>
        <v>#REF!</v>
      </c>
      <c r="F108" s="38" t="e">
        <f t="shared" si="58"/>
        <v>#REF!</v>
      </c>
      <c r="G108" s="38" t="e">
        <f t="shared" si="59"/>
        <v>#REF!</v>
      </c>
      <c r="H108" s="38" t="e">
        <f t="shared" si="60"/>
        <v>#REF!</v>
      </c>
      <c r="I108" s="38" t="e">
        <f t="shared" si="61"/>
        <v>#REF!</v>
      </c>
      <c r="J108" s="38" t="e">
        <f t="shared" si="62"/>
        <v>#REF!</v>
      </c>
      <c r="K108" s="64" t="e">
        <f>VLOOKUP(B108,Round1,3,FALSE)</f>
        <v>#REF!</v>
      </c>
      <c r="M108" s="39"/>
      <c r="N108" s="44">
        <v>1909817</v>
      </c>
      <c r="O108" s="75" t="e">
        <f t="shared" si="63"/>
        <v>#REF!</v>
      </c>
      <c r="P108" s="64" t="e">
        <f t="shared" si="64"/>
        <v>#REF!</v>
      </c>
      <c r="Q108" s="65" t="e">
        <f t="shared" si="65"/>
        <v>#REF!</v>
      </c>
      <c r="R108" s="89" t="e">
        <f t="shared" si="66"/>
        <v>#REF!</v>
      </c>
      <c r="S108" s="89" t="e">
        <f t="shared" si="67"/>
        <v>#REF!</v>
      </c>
      <c r="T108" s="15"/>
      <c r="U108" s="15"/>
    </row>
    <row r="109" spans="1:21" x14ac:dyDescent="0.2">
      <c r="B109" s="66" t="s">
        <v>96</v>
      </c>
      <c r="C109" s="38" t="e">
        <f t="shared" si="55"/>
        <v>#REF!</v>
      </c>
      <c r="D109" s="38" t="e">
        <f t="shared" si="56"/>
        <v>#REF!</v>
      </c>
      <c r="E109" s="38" t="e">
        <f t="shared" si="57"/>
        <v>#REF!</v>
      </c>
      <c r="F109" s="38" t="e">
        <f t="shared" si="58"/>
        <v>#REF!</v>
      </c>
      <c r="G109" s="38" t="e">
        <f t="shared" si="59"/>
        <v>#REF!</v>
      </c>
      <c r="H109" s="38" t="e">
        <f t="shared" si="60"/>
        <v>#REF!</v>
      </c>
      <c r="I109" s="38" t="e">
        <f t="shared" si="61"/>
        <v>#REF!</v>
      </c>
      <c r="J109" s="38" t="e">
        <f t="shared" si="62"/>
        <v>#REF!</v>
      </c>
      <c r="K109" s="64">
        <f>N109-L109</f>
        <v>0</v>
      </c>
      <c r="L109" s="39">
        <v>1150000</v>
      </c>
      <c r="M109" s="39"/>
      <c r="N109" s="42">
        <v>1150000</v>
      </c>
      <c r="O109" s="75" t="e">
        <f t="shared" si="63"/>
        <v>#REF!</v>
      </c>
      <c r="P109" s="64" t="e">
        <f t="shared" si="64"/>
        <v>#REF!</v>
      </c>
      <c r="Q109" s="65" t="e">
        <f t="shared" si="65"/>
        <v>#REF!</v>
      </c>
      <c r="R109" s="89" t="e">
        <f t="shared" si="66"/>
        <v>#REF!</v>
      </c>
      <c r="S109" s="89" t="e">
        <f t="shared" si="67"/>
        <v>#REF!</v>
      </c>
      <c r="T109" s="15"/>
      <c r="U109" s="15"/>
    </row>
    <row r="110" spans="1:21" x14ac:dyDescent="0.2">
      <c r="B110" s="66" t="s">
        <v>94</v>
      </c>
      <c r="C110" s="38" t="e">
        <f t="shared" si="55"/>
        <v>#REF!</v>
      </c>
      <c r="D110" s="38" t="e">
        <f t="shared" si="56"/>
        <v>#REF!</v>
      </c>
      <c r="E110" s="38" t="e">
        <f t="shared" si="57"/>
        <v>#REF!</v>
      </c>
      <c r="F110" s="38" t="e">
        <f t="shared" si="58"/>
        <v>#REF!</v>
      </c>
      <c r="G110" s="38" t="e">
        <f t="shared" si="59"/>
        <v>#REF!</v>
      </c>
      <c r="H110" s="38" t="e">
        <f t="shared" si="60"/>
        <v>#REF!</v>
      </c>
      <c r="I110" s="38" t="e">
        <f t="shared" si="61"/>
        <v>#REF!</v>
      </c>
      <c r="J110" s="38" t="e">
        <f t="shared" si="62"/>
        <v>#REF!</v>
      </c>
      <c r="K110" s="64">
        <f>N110-L110</f>
        <v>0</v>
      </c>
      <c r="L110" s="39">
        <v>2220000</v>
      </c>
      <c r="M110" s="39"/>
      <c r="N110" s="42">
        <v>2220000</v>
      </c>
      <c r="O110" s="75" t="e">
        <f t="shared" si="63"/>
        <v>#REF!</v>
      </c>
      <c r="P110" s="64" t="e">
        <f t="shared" si="64"/>
        <v>#REF!</v>
      </c>
      <c r="Q110" s="65" t="e">
        <f t="shared" si="65"/>
        <v>#REF!</v>
      </c>
      <c r="R110" s="89" t="e">
        <f t="shared" si="66"/>
        <v>#REF!</v>
      </c>
      <c r="S110" s="89" t="e">
        <f t="shared" si="67"/>
        <v>#REF!</v>
      </c>
      <c r="T110" s="15"/>
      <c r="U110" s="15"/>
    </row>
    <row r="111" spans="1:21" x14ac:dyDescent="0.2">
      <c r="B111" s="66" t="s">
        <v>100</v>
      </c>
      <c r="C111" s="38" t="e">
        <f t="shared" si="55"/>
        <v>#REF!</v>
      </c>
      <c r="D111" s="38" t="e">
        <f t="shared" si="56"/>
        <v>#REF!</v>
      </c>
      <c r="E111" s="38" t="e">
        <f t="shared" si="57"/>
        <v>#REF!</v>
      </c>
      <c r="F111" s="38" t="e">
        <f t="shared" si="58"/>
        <v>#REF!</v>
      </c>
      <c r="G111" s="38" t="e">
        <f t="shared" si="59"/>
        <v>#REF!</v>
      </c>
      <c r="H111" s="38" t="e">
        <f t="shared" si="60"/>
        <v>#REF!</v>
      </c>
      <c r="I111" s="38" t="e">
        <f t="shared" si="61"/>
        <v>#REF!</v>
      </c>
      <c r="J111" s="38" t="e">
        <f t="shared" si="62"/>
        <v>#REF!</v>
      </c>
      <c r="K111" s="64">
        <f>N111-L111</f>
        <v>26287882</v>
      </c>
      <c r="L111" s="39">
        <v>10184504</v>
      </c>
      <c r="M111" s="39"/>
      <c r="N111" s="42">
        <v>36472386</v>
      </c>
      <c r="O111" s="75" t="e">
        <f t="shared" si="63"/>
        <v>#REF!</v>
      </c>
      <c r="P111" s="64" t="e">
        <f t="shared" si="64"/>
        <v>#REF!</v>
      </c>
      <c r="Q111" s="65" t="e">
        <f t="shared" si="65"/>
        <v>#REF!</v>
      </c>
      <c r="R111" s="89" t="e">
        <f t="shared" si="66"/>
        <v>#REF!</v>
      </c>
      <c r="S111" s="89" t="e">
        <f t="shared" si="67"/>
        <v>#REF!</v>
      </c>
      <c r="T111" s="15"/>
      <c r="U111" s="15"/>
    </row>
    <row r="112" spans="1:21" x14ac:dyDescent="0.2">
      <c r="B112" s="66" t="s">
        <v>68</v>
      </c>
      <c r="C112" s="38" t="e">
        <f t="shared" si="55"/>
        <v>#REF!</v>
      </c>
      <c r="D112" s="38" t="e">
        <f t="shared" si="56"/>
        <v>#REF!</v>
      </c>
      <c r="E112" s="38" t="e">
        <f t="shared" si="57"/>
        <v>#REF!</v>
      </c>
      <c r="F112" s="38" t="e">
        <f t="shared" si="58"/>
        <v>#REF!</v>
      </c>
      <c r="G112" s="38" t="e">
        <f t="shared" si="59"/>
        <v>#REF!</v>
      </c>
      <c r="H112" s="38" t="e">
        <f t="shared" si="60"/>
        <v>#REF!</v>
      </c>
      <c r="I112" s="38" t="e">
        <f t="shared" si="61"/>
        <v>#REF!</v>
      </c>
      <c r="J112" s="38" t="e">
        <f t="shared" si="62"/>
        <v>#REF!</v>
      </c>
      <c r="K112" s="64" t="e">
        <f>VLOOKUP(B112,Round1,3,FALSE)</f>
        <v>#REF!</v>
      </c>
      <c r="L112" s="39"/>
      <c r="M112" s="39"/>
      <c r="N112" s="42">
        <v>37059076</v>
      </c>
      <c r="O112" s="75" t="e">
        <f t="shared" si="63"/>
        <v>#REF!</v>
      </c>
      <c r="P112" s="64" t="e">
        <f t="shared" si="64"/>
        <v>#REF!</v>
      </c>
      <c r="Q112" s="65" t="e">
        <f t="shared" si="65"/>
        <v>#REF!</v>
      </c>
      <c r="R112" s="89" t="e">
        <f t="shared" si="66"/>
        <v>#REF!</v>
      </c>
      <c r="S112" s="89" t="e">
        <f t="shared" si="67"/>
        <v>#REF!</v>
      </c>
      <c r="T112" s="15"/>
      <c r="U112" s="15"/>
    </row>
    <row r="113" spans="1:21" x14ac:dyDescent="0.2">
      <c r="D113" s="25"/>
      <c r="K113" s="39">
        <f>N113-L113</f>
        <v>0</v>
      </c>
      <c r="T113" s="15"/>
      <c r="U113" s="15"/>
    </row>
    <row r="114" spans="1:21" x14ac:dyDescent="0.2">
      <c r="K114" s="39">
        <f>N114-L114</f>
        <v>0</v>
      </c>
      <c r="T114" s="15"/>
      <c r="U114" s="15"/>
    </row>
    <row r="115" spans="1:21" s="18" customFormat="1" x14ac:dyDescent="0.2">
      <c r="B115" s="19"/>
      <c r="C115" s="19"/>
      <c r="E115" s="19"/>
      <c r="F115" s="19"/>
      <c r="G115" s="19"/>
      <c r="H115" s="19"/>
      <c r="I115" s="19"/>
      <c r="J115" s="19"/>
      <c r="K115" s="53" t="e">
        <f>SUM(K105:K114)</f>
        <v>#REF!</v>
      </c>
      <c r="L115" s="57"/>
      <c r="M115" s="57"/>
      <c r="N115" s="53">
        <f>SUM(N105:N114)</f>
        <v>89341279</v>
      </c>
      <c r="O115" s="79"/>
      <c r="P115" s="20"/>
      <c r="Q115" s="20"/>
      <c r="R115" s="94"/>
      <c r="S115" s="94"/>
      <c r="T115" s="49"/>
      <c r="U115" s="49"/>
    </row>
    <row r="116" spans="1:21" x14ac:dyDescent="0.2">
      <c r="T116" s="47"/>
      <c r="U116" s="47"/>
    </row>
    <row r="117" spans="1:21" ht="15" x14ac:dyDescent="0.25">
      <c r="A117" s="10" t="s">
        <v>7</v>
      </c>
      <c r="D117" s="11">
        <v>79270194</v>
      </c>
      <c r="E117" s="12" t="e">
        <f>D117-K127</f>
        <v>#REF!</v>
      </c>
      <c r="F117" s="67" t="e">
        <f>IF(E117&gt;0,(E117/0.8),"N/A")</f>
        <v>#REF!</v>
      </c>
      <c r="G117" s="12"/>
      <c r="H117" s="12"/>
      <c r="I117" s="12"/>
      <c r="J117" s="12"/>
      <c r="K117" s="41"/>
      <c r="L117" s="56"/>
      <c r="M117" s="56"/>
      <c r="N117" s="41"/>
      <c r="T117" s="47"/>
      <c r="U117" s="47"/>
    </row>
    <row r="118" spans="1:21" x14ac:dyDescent="0.2">
      <c r="B118" s="66" t="s">
        <v>117</v>
      </c>
      <c r="C118" s="38" t="e">
        <f>VLOOKUP(B118,Round1,15,FALSE)</f>
        <v>#REF!</v>
      </c>
      <c r="D118" s="38" t="e">
        <f>VLOOKUP(B118,Round1,2,FALSE)</f>
        <v>#REF!</v>
      </c>
      <c r="E118" s="38" t="e">
        <f>VLOOKUP(B118,Round1,14,FALSE)</f>
        <v>#REF!</v>
      </c>
      <c r="F118" s="38" t="e">
        <f>VLOOKUP(B118,Round1,12,FALSE)</f>
        <v>#REF!</v>
      </c>
      <c r="G118" s="38" t="e">
        <f>VLOOKUP(B118,Round1,26,FALSE)</f>
        <v>#REF!</v>
      </c>
      <c r="H118" s="38" t="e">
        <f>VLOOKUP(B118,Round1,30,FALSE)</f>
        <v>#REF!</v>
      </c>
      <c r="I118" s="38" t="e">
        <f>VLOOKUP(B118,Round1,31,FALSE)</f>
        <v>#REF!</v>
      </c>
      <c r="J118" s="38" t="e">
        <f>VLOOKUP(B118,Round1,9,FALSE)</f>
        <v>#REF!</v>
      </c>
      <c r="K118" s="64" t="e">
        <f>VLOOKUP(B118,Round1,3,FALSE)</f>
        <v>#REF!</v>
      </c>
      <c r="L118" s="39"/>
      <c r="M118" s="39"/>
      <c r="N118" s="42">
        <v>1250000</v>
      </c>
      <c r="O118" s="75" t="e">
        <f>VLOOKUP(B118,Round1,4,FALSE)</f>
        <v>#REF!</v>
      </c>
      <c r="P118" s="64" t="e">
        <f>VLOOKUP(B118,Round1,5,FALSE)</f>
        <v>#REF!</v>
      </c>
      <c r="Q118" s="65" t="e">
        <f>VLOOKUP(B118,Round1,10,FALSE)</f>
        <v>#REF!</v>
      </c>
      <c r="R118" s="89" t="e">
        <f>VLOOKUP(B118,Round1,19,FALSE)</f>
        <v>#REF!</v>
      </c>
      <c r="S118" s="89" t="e">
        <f>VLOOKUP(B118,Round1,18,FALSE)</f>
        <v>#REF!</v>
      </c>
      <c r="T118" s="15"/>
      <c r="U118" s="15"/>
    </row>
    <row r="119" spans="1:21" x14ac:dyDescent="0.2">
      <c r="B119" s="66" t="s">
        <v>106</v>
      </c>
      <c r="C119" s="38" t="e">
        <f>VLOOKUP(B119,Round1,15,FALSE)</f>
        <v>#REF!</v>
      </c>
      <c r="D119" s="38" t="e">
        <f>VLOOKUP(B119,Round1,2,FALSE)</f>
        <v>#REF!</v>
      </c>
      <c r="E119" s="38" t="e">
        <f>VLOOKUP(B119,Round1,14,FALSE)</f>
        <v>#REF!</v>
      </c>
      <c r="F119" s="38" t="e">
        <f>VLOOKUP(B119,Round1,12,FALSE)</f>
        <v>#REF!</v>
      </c>
      <c r="G119" s="38" t="e">
        <f>VLOOKUP(B119,Round1,26,FALSE)</f>
        <v>#REF!</v>
      </c>
      <c r="H119" s="38" t="e">
        <f>VLOOKUP(B119,Round1,30,FALSE)</f>
        <v>#REF!</v>
      </c>
      <c r="I119" s="38" t="e">
        <f>VLOOKUP(B119,Round1,31,FALSE)</f>
        <v>#REF!</v>
      </c>
      <c r="J119" s="38" t="e">
        <f>VLOOKUP(B119,Round1,9,FALSE)</f>
        <v>#REF!</v>
      </c>
      <c r="K119" s="64" t="e">
        <f>VLOOKUP(B119,Round1,3,FALSE)</f>
        <v>#REF!</v>
      </c>
      <c r="L119" s="39"/>
      <c r="M119" s="39"/>
      <c r="N119" s="42">
        <v>14415236</v>
      </c>
      <c r="O119" s="75" t="e">
        <f>VLOOKUP(B119,Round1,4,FALSE)</f>
        <v>#REF!</v>
      </c>
      <c r="P119" s="64" t="e">
        <f>VLOOKUP(B119,Round1,5,FALSE)</f>
        <v>#REF!</v>
      </c>
      <c r="Q119" s="65" t="e">
        <f>VLOOKUP(B119,Round1,10,FALSE)</f>
        <v>#REF!</v>
      </c>
      <c r="R119" s="89" t="e">
        <f>VLOOKUP(B119,Round1,19,FALSE)</f>
        <v>#REF!</v>
      </c>
      <c r="S119" s="89" t="e">
        <f>VLOOKUP(B119,Round1,18,FALSE)</f>
        <v>#REF!</v>
      </c>
      <c r="T119" s="15"/>
      <c r="U119" s="15"/>
    </row>
    <row r="120" spans="1:21" x14ac:dyDescent="0.2">
      <c r="B120" s="66" t="s">
        <v>81</v>
      </c>
      <c r="C120" s="38" t="e">
        <f>VLOOKUP(B120,Round1,15,FALSE)</f>
        <v>#REF!</v>
      </c>
      <c r="D120" s="38" t="e">
        <f>VLOOKUP(B120,Round1,2,FALSE)</f>
        <v>#REF!</v>
      </c>
      <c r="E120" s="38" t="e">
        <f>VLOOKUP(B120,Round1,14,FALSE)</f>
        <v>#REF!</v>
      </c>
      <c r="F120" s="38" t="e">
        <f>VLOOKUP(B120,Round1,12,FALSE)</f>
        <v>#REF!</v>
      </c>
      <c r="G120" s="38" t="e">
        <f>VLOOKUP(B120,Round1,26,FALSE)</f>
        <v>#REF!</v>
      </c>
      <c r="H120" s="38" t="e">
        <f>VLOOKUP(B120,Round1,30,FALSE)</f>
        <v>#REF!</v>
      </c>
      <c r="I120" s="38" t="e">
        <f>VLOOKUP(B120,Round1,31,FALSE)</f>
        <v>#REF!</v>
      </c>
      <c r="J120" s="38" t="e">
        <f>VLOOKUP(B120,Round1,9,FALSE)</f>
        <v>#REF!</v>
      </c>
      <c r="K120" s="64" t="e">
        <f>VLOOKUP(B120,Round1,3,FALSE)</f>
        <v>#REF!</v>
      </c>
      <c r="L120" s="39"/>
      <c r="M120" s="39"/>
      <c r="N120" s="42">
        <v>54750000</v>
      </c>
      <c r="O120" s="75" t="e">
        <f>VLOOKUP(B120,Round1,4,FALSE)</f>
        <v>#REF!</v>
      </c>
      <c r="P120" s="64" t="e">
        <f>VLOOKUP(B120,Round1,5,FALSE)</f>
        <v>#REF!</v>
      </c>
      <c r="Q120" s="65" t="e">
        <f>VLOOKUP(B120,Round1,10,FALSE)</f>
        <v>#REF!</v>
      </c>
      <c r="R120" s="89" t="e">
        <f>VLOOKUP(B120,Round1,19,FALSE)</f>
        <v>#REF!</v>
      </c>
      <c r="S120" s="89" t="e">
        <f>VLOOKUP(B120,Round1,18,FALSE)</f>
        <v>#REF!</v>
      </c>
      <c r="T120" s="15"/>
      <c r="U120" s="15"/>
    </row>
    <row r="121" spans="1:21" x14ac:dyDescent="0.2">
      <c r="B121" s="37"/>
      <c r="C121" s="37"/>
      <c r="D121" s="38"/>
      <c r="E121" s="38"/>
      <c r="F121" s="38"/>
      <c r="G121" s="38"/>
      <c r="H121" s="38"/>
      <c r="I121" s="38"/>
      <c r="J121" s="38"/>
      <c r="K121" s="39">
        <f t="shared" ref="K121:K126" si="68">N121-L121</f>
        <v>0</v>
      </c>
      <c r="L121" s="39"/>
      <c r="M121" s="39"/>
      <c r="N121" s="42"/>
      <c r="O121" s="76"/>
      <c r="P121" s="40"/>
      <c r="Q121" s="16"/>
      <c r="R121" s="90"/>
      <c r="S121" s="91"/>
      <c r="T121" s="15"/>
      <c r="U121" s="15"/>
    </row>
    <row r="122" spans="1:21" x14ac:dyDescent="0.2">
      <c r="B122" s="37"/>
      <c r="C122" s="37"/>
      <c r="D122" s="38"/>
      <c r="E122" s="38"/>
      <c r="F122" s="38"/>
      <c r="G122" s="38"/>
      <c r="H122" s="38"/>
      <c r="I122" s="38"/>
      <c r="J122" s="38"/>
      <c r="K122" s="39">
        <f t="shared" si="68"/>
        <v>0</v>
      </c>
      <c r="L122" s="39"/>
      <c r="M122" s="39"/>
      <c r="N122" s="39"/>
      <c r="O122" s="78"/>
      <c r="P122" s="16"/>
      <c r="Q122" s="16"/>
      <c r="R122" s="90"/>
      <c r="S122" s="91"/>
      <c r="T122" s="15"/>
      <c r="U122" s="15"/>
    </row>
    <row r="123" spans="1:21" x14ac:dyDescent="0.2">
      <c r="B123" s="37"/>
      <c r="C123" s="37"/>
      <c r="D123" s="38"/>
      <c r="E123" s="38"/>
      <c r="F123" s="38"/>
      <c r="G123" s="38"/>
      <c r="H123" s="38"/>
      <c r="I123" s="38"/>
      <c r="J123" s="38"/>
      <c r="K123" s="39">
        <f t="shared" si="68"/>
        <v>0</v>
      </c>
      <c r="L123" s="15"/>
      <c r="M123" s="15"/>
      <c r="N123" s="43"/>
      <c r="O123" s="81"/>
      <c r="P123" s="13"/>
      <c r="Q123" s="13"/>
      <c r="R123" s="95"/>
      <c r="S123" s="95"/>
      <c r="T123" s="15"/>
      <c r="U123" s="15"/>
    </row>
    <row r="124" spans="1:21" x14ac:dyDescent="0.2">
      <c r="B124" s="24"/>
      <c r="C124" s="24"/>
      <c r="D124" s="28"/>
      <c r="K124" s="39">
        <f t="shared" si="68"/>
        <v>0</v>
      </c>
      <c r="L124" s="58"/>
      <c r="M124" s="58"/>
      <c r="N124" s="54"/>
      <c r="O124" s="82"/>
      <c r="P124" s="29"/>
      <c r="Q124" s="29"/>
      <c r="R124" s="98"/>
      <c r="S124" s="98"/>
      <c r="T124" s="15"/>
      <c r="U124" s="15"/>
    </row>
    <row r="125" spans="1:21" x14ac:dyDescent="0.2">
      <c r="B125" s="30"/>
      <c r="C125" s="30"/>
      <c r="D125" s="25"/>
      <c r="E125" s="31"/>
      <c r="F125" s="31"/>
      <c r="G125" s="31"/>
      <c r="H125" s="31"/>
      <c r="I125" s="31"/>
      <c r="J125" s="31"/>
      <c r="K125" s="39">
        <f t="shared" si="68"/>
        <v>0</v>
      </c>
      <c r="L125" s="36"/>
      <c r="M125" s="36"/>
      <c r="N125" s="45"/>
      <c r="O125" s="83"/>
      <c r="P125" s="32"/>
      <c r="Q125" s="32"/>
      <c r="R125" s="99"/>
      <c r="S125" s="99"/>
      <c r="T125" s="15"/>
      <c r="U125" s="15"/>
    </row>
    <row r="126" spans="1:21" x14ac:dyDescent="0.2">
      <c r="B126" s="27"/>
      <c r="C126" s="27"/>
      <c r="D126" s="27"/>
      <c r="E126" s="27"/>
      <c r="F126" s="27"/>
      <c r="G126" s="27"/>
      <c r="H126" s="27"/>
      <c r="I126" s="27"/>
      <c r="J126" s="27"/>
      <c r="K126" s="39">
        <f t="shared" si="68"/>
        <v>0</v>
      </c>
      <c r="L126" s="15"/>
      <c r="M126" s="15"/>
      <c r="N126" s="43"/>
      <c r="O126" s="81"/>
      <c r="P126" s="13"/>
      <c r="Q126" s="13"/>
      <c r="R126" s="95"/>
      <c r="S126" s="95"/>
      <c r="T126" s="15"/>
      <c r="U126" s="15"/>
    </row>
    <row r="127" spans="1:21" s="18" customFormat="1" x14ac:dyDescent="0.2">
      <c r="B127" s="19"/>
      <c r="C127" s="19"/>
      <c r="E127" s="19"/>
      <c r="F127" s="19"/>
      <c r="G127" s="19"/>
      <c r="H127" s="19"/>
      <c r="I127" s="19"/>
      <c r="J127" s="19"/>
      <c r="K127" s="53" t="e">
        <f>SUM(K118:K126)</f>
        <v>#REF!</v>
      </c>
      <c r="L127" s="57"/>
      <c r="M127" s="57"/>
      <c r="N127" s="53">
        <f>SUM(N118:N126)</f>
        <v>70415236</v>
      </c>
      <c r="O127" s="79"/>
      <c r="P127" s="20"/>
      <c r="Q127" s="20"/>
      <c r="R127" s="94"/>
      <c r="S127" s="94"/>
      <c r="T127" s="49"/>
      <c r="U127" s="49"/>
    </row>
    <row r="128" spans="1:21" x14ac:dyDescent="0.2">
      <c r="T128" s="47"/>
      <c r="U128" s="47"/>
    </row>
    <row r="129" spans="1:21" ht="15" x14ac:dyDescent="0.25">
      <c r="A129" s="10" t="s">
        <v>18</v>
      </c>
      <c r="D129" s="11">
        <v>79270194</v>
      </c>
      <c r="E129" s="12" t="e">
        <f>D129-K136</f>
        <v>#REF!</v>
      </c>
      <c r="F129" s="67" t="e">
        <f>IF(E129&gt;0,(E129/0.8),"N/A")</f>
        <v>#REF!</v>
      </c>
      <c r="G129" s="12"/>
      <c r="H129" s="12"/>
      <c r="I129" s="12"/>
      <c r="J129" s="12"/>
      <c r="K129" s="41"/>
      <c r="L129" s="56"/>
      <c r="M129" s="56"/>
      <c r="N129" s="41"/>
      <c r="T129" s="47"/>
      <c r="U129" s="47"/>
    </row>
    <row r="130" spans="1:21" x14ac:dyDescent="0.2">
      <c r="B130" s="66" t="s">
        <v>91</v>
      </c>
      <c r="C130" s="38" t="e">
        <f>VLOOKUP(B130,Round1,15,FALSE)</f>
        <v>#REF!</v>
      </c>
      <c r="D130" s="38" t="e">
        <f>VLOOKUP(B130,Round1,2,FALSE)</f>
        <v>#REF!</v>
      </c>
      <c r="E130" s="38" t="e">
        <f>VLOOKUP(B130,Round1,14,FALSE)</f>
        <v>#REF!</v>
      </c>
      <c r="F130" s="38" t="e">
        <f>VLOOKUP(B130,Round1,12,FALSE)</f>
        <v>#REF!</v>
      </c>
      <c r="G130" s="38" t="e">
        <f>VLOOKUP(B130,Round1,26,FALSE)</f>
        <v>#REF!</v>
      </c>
      <c r="H130" s="38" t="e">
        <f>VLOOKUP(B130,Round1,30,FALSE)</f>
        <v>#REF!</v>
      </c>
      <c r="I130" s="38" t="e">
        <f>VLOOKUP(B130,Round1,31,FALSE)</f>
        <v>#REF!</v>
      </c>
      <c r="J130" s="38" t="e">
        <f>VLOOKUP(B130,Round1,9,FALSE)</f>
        <v>#REF!</v>
      </c>
      <c r="K130" s="64" t="e">
        <f>VLOOKUP(B130,Round1,3,FALSE)</f>
        <v>#REF!</v>
      </c>
      <c r="L130" s="39"/>
      <c r="M130" s="39"/>
      <c r="N130" s="42">
        <v>18149352</v>
      </c>
      <c r="O130" s="75" t="e">
        <f>VLOOKUP(B130,Round1,4,FALSE)</f>
        <v>#REF!</v>
      </c>
      <c r="P130" s="64" t="e">
        <f>VLOOKUP(B130,Round1,5,FALSE)</f>
        <v>#REF!</v>
      </c>
      <c r="Q130" s="65" t="e">
        <f>VLOOKUP(B130,Round1,10,FALSE)</f>
        <v>#REF!</v>
      </c>
      <c r="R130" s="89" t="e">
        <f>VLOOKUP(B130,Round1,19,FALSE)</f>
        <v>#REF!</v>
      </c>
      <c r="S130" s="89" t="e">
        <f>VLOOKUP(B130,Round1,18,FALSE)</f>
        <v>#REF!</v>
      </c>
      <c r="T130" s="15"/>
      <c r="U130" s="15"/>
    </row>
    <row r="131" spans="1:21" x14ac:dyDescent="0.2">
      <c r="B131" s="66" t="s">
        <v>62</v>
      </c>
      <c r="C131" s="38" t="e">
        <f>VLOOKUP(B131,Round1,15,FALSE)</f>
        <v>#REF!</v>
      </c>
      <c r="D131" s="38" t="e">
        <f>VLOOKUP(B131,Round1,2,FALSE)</f>
        <v>#REF!</v>
      </c>
      <c r="E131" s="38" t="e">
        <f>VLOOKUP(B131,Round1,14,FALSE)</f>
        <v>#REF!</v>
      </c>
      <c r="F131" s="38" t="e">
        <f>VLOOKUP(B131,Round1,12,FALSE)</f>
        <v>#REF!</v>
      </c>
      <c r="G131" s="38" t="e">
        <f>VLOOKUP(B131,Round1,26,FALSE)</f>
        <v>#REF!</v>
      </c>
      <c r="H131" s="38" t="e">
        <f>VLOOKUP(B131,Round1,30,FALSE)</f>
        <v>#REF!</v>
      </c>
      <c r="I131" s="38" t="e">
        <f>VLOOKUP(B131,Round1,31,FALSE)</f>
        <v>#REF!</v>
      </c>
      <c r="J131" s="38" t="e">
        <f>VLOOKUP(B131,Round1,9,FALSE)</f>
        <v>#REF!</v>
      </c>
      <c r="K131" s="64">
        <f>N131-L131</f>
        <v>34509995</v>
      </c>
      <c r="L131" s="39">
        <v>9490005</v>
      </c>
      <c r="M131" s="39"/>
      <c r="N131" s="42">
        <v>44000000</v>
      </c>
      <c r="O131" s="75" t="e">
        <f>VLOOKUP(B131,Round1,4,FALSE)</f>
        <v>#REF!</v>
      </c>
      <c r="P131" s="64" t="e">
        <f>VLOOKUP(B131,Round1,5,FALSE)</f>
        <v>#REF!</v>
      </c>
      <c r="Q131" s="65" t="e">
        <f>VLOOKUP(B131,Round1,10,FALSE)</f>
        <v>#REF!</v>
      </c>
      <c r="R131" s="89" t="e">
        <f>VLOOKUP(B131,Round1,19,FALSE)</f>
        <v>#REF!</v>
      </c>
      <c r="S131" s="89" t="e">
        <f>VLOOKUP(B131,Round1,18,FALSE)</f>
        <v>#REF!</v>
      </c>
      <c r="T131" s="15"/>
      <c r="U131" s="15"/>
    </row>
    <row r="132" spans="1:21" x14ac:dyDescent="0.2">
      <c r="B132" s="66" t="s">
        <v>97</v>
      </c>
      <c r="C132" s="38" t="e">
        <f>VLOOKUP(B132,Round1,15,FALSE)</f>
        <v>#REF!</v>
      </c>
      <c r="D132" s="38" t="e">
        <f>VLOOKUP(B132,Round1,2,FALSE)</f>
        <v>#REF!</v>
      </c>
      <c r="E132" s="38" t="e">
        <f>VLOOKUP(B132,Round1,14,FALSE)</f>
        <v>#REF!</v>
      </c>
      <c r="F132" s="38" t="e">
        <f>VLOOKUP(B132,Round1,12,FALSE)</f>
        <v>#REF!</v>
      </c>
      <c r="G132" s="38" t="e">
        <f>VLOOKUP(B132,Round1,26,FALSE)</f>
        <v>#REF!</v>
      </c>
      <c r="H132" s="38" t="e">
        <f>VLOOKUP(B132,Round1,30,FALSE)</f>
        <v>#REF!</v>
      </c>
      <c r="I132" s="38" t="e">
        <f>VLOOKUP(B132,Round1,31,FALSE)</f>
        <v>#REF!</v>
      </c>
      <c r="J132" s="38" t="e">
        <f>VLOOKUP(B132,Round1,9,FALSE)</f>
        <v>#REF!</v>
      </c>
      <c r="K132" s="64" t="e">
        <f>VLOOKUP(B132,Round1,3,FALSE)</f>
        <v>#REF!</v>
      </c>
      <c r="L132" s="39"/>
      <c r="M132" s="39"/>
      <c r="N132" s="42">
        <v>29896856</v>
      </c>
      <c r="O132" s="75" t="e">
        <f>VLOOKUP(B132,Round1,4,FALSE)</f>
        <v>#REF!</v>
      </c>
      <c r="P132" s="64" t="e">
        <f>VLOOKUP(B132,Round1,5,FALSE)</f>
        <v>#REF!</v>
      </c>
      <c r="Q132" s="65" t="e">
        <f>VLOOKUP(B132,Round1,10,FALSE)</f>
        <v>#REF!</v>
      </c>
      <c r="R132" s="89" t="e">
        <f>VLOOKUP(B132,Round1,19,FALSE)</f>
        <v>#REF!</v>
      </c>
      <c r="S132" s="89" t="e">
        <f>VLOOKUP(B132,Round1,18,FALSE)</f>
        <v>#REF!</v>
      </c>
      <c r="T132" s="15"/>
      <c r="U132" s="15"/>
    </row>
    <row r="133" spans="1:21" x14ac:dyDescent="0.2">
      <c r="A133" s="23"/>
      <c r="B133" s="13"/>
      <c r="C133" s="13"/>
      <c r="D133" s="25"/>
      <c r="E133" s="13"/>
      <c r="F133" s="13"/>
      <c r="G133" s="13"/>
      <c r="H133" s="13"/>
      <c r="I133" s="13"/>
      <c r="J133" s="13"/>
      <c r="K133" s="39">
        <f>N133-L133</f>
        <v>0</v>
      </c>
      <c r="L133" s="15"/>
      <c r="M133" s="15"/>
      <c r="N133" s="43"/>
      <c r="O133" s="74"/>
      <c r="P133" s="8"/>
      <c r="Q133" s="8"/>
      <c r="T133" s="15"/>
      <c r="U133" s="15"/>
    </row>
    <row r="134" spans="1:21" x14ac:dyDescent="0.2">
      <c r="D134" s="25"/>
      <c r="K134" s="39">
        <f>N134-L134</f>
        <v>0</v>
      </c>
      <c r="T134" s="15"/>
      <c r="U134" s="15"/>
    </row>
    <row r="135" spans="1:21" x14ac:dyDescent="0.2">
      <c r="K135" s="39">
        <f>N135-L135</f>
        <v>0</v>
      </c>
      <c r="T135" s="15"/>
      <c r="U135" s="15"/>
    </row>
    <row r="136" spans="1:21" s="18" customFormat="1" x14ac:dyDescent="0.2">
      <c r="B136" s="19"/>
      <c r="C136" s="19"/>
      <c r="E136" s="19"/>
      <c r="F136" s="19"/>
      <c r="G136" s="19"/>
      <c r="H136" s="19"/>
      <c r="I136" s="19"/>
      <c r="J136" s="19"/>
      <c r="K136" s="53" t="e">
        <f>SUM(K130:K135)</f>
        <v>#REF!</v>
      </c>
      <c r="L136" s="57"/>
      <c r="M136" s="57"/>
      <c r="N136" s="53">
        <f>SUM(N130:N135)</f>
        <v>92046208</v>
      </c>
      <c r="O136" s="79"/>
      <c r="P136" s="20"/>
      <c r="Q136" s="20"/>
      <c r="R136" s="94"/>
      <c r="S136" s="94"/>
      <c r="T136" s="49"/>
      <c r="U136" s="49"/>
    </row>
    <row r="137" spans="1:21" x14ac:dyDescent="0.2">
      <c r="T137" s="47"/>
      <c r="U137" s="47"/>
    </row>
    <row r="138" spans="1:21" ht="15" x14ac:dyDescent="0.25">
      <c r="A138" s="10" t="s">
        <v>10</v>
      </c>
      <c r="D138" s="11">
        <v>49543871</v>
      </c>
      <c r="E138" s="12" t="e">
        <f>D138-K144</f>
        <v>#REF!</v>
      </c>
      <c r="F138" s="67" t="e">
        <f>IF(E138&gt;0,(E138/0.8),"N/A")</f>
        <v>#REF!</v>
      </c>
      <c r="G138" s="12"/>
      <c r="H138" s="12"/>
      <c r="I138" s="12"/>
      <c r="J138" s="12"/>
      <c r="K138" s="41"/>
      <c r="L138" s="56"/>
      <c r="M138" s="56"/>
      <c r="N138" s="41"/>
      <c r="T138" s="47"/>
      <c r="U138" s="47"/>
    </row>
    <row r="139" spans="1:21" x14ac:dyDescent="0.2">
      <c r="B139" s="66" t="s">
        <v>61</v>
      </c>
      <c r="C139" s="38" t="e">
        <f>VLOOKUP(B139,Round1,15,FALSE)</f>
        <v>#REF!</v>
      </c>
      <c r="D139" s="38" t="e">
        <f>VLOOKUP(B139,Round1,2,FALSE)</f>
        <v>#REF!</v>
      </c>
      <c r="E139" s="38" t="e">
        <f>VLOOKUP(B139,Round1,14,FALSE)</f>
        <v>#REF!</v>
      </c>
      <c r="F139" s="38" t="e">
        <f>VLOOKUP(B139,Round1,12,FALSE)</f>
        <v>#REF!</v>
      </c>
      <c r="G139" s="38" t="e">
        <f>VLOOKUP(B139,Round1,26,FALSE)</f>
        <v>#REF!</v>
      </c>
      <c r="H139" s="38" t="e">
        <f>VLOOKUP(B139,Round1,30,FALSE)</f>
        <v>#REF!</v>
      </c>
      <c r="I139" s="38" t="e">
        <f>VLOOKUP(B139,Round1,31,FALSE)</f>
        <v>#REF!</v>
      </c>
      <c r="J139" s="38" t="e">
        <f>VLOOKUP(B139,Round1,9,FALSE)</f>
        <v>#REF!</v>
      </c>
      <c r="K139" s="64" t="e">
        <f>VLOOKUP(B139,Round1,3,FALSE)</f>
        <v>#REF!</v>
      </c>
      <c r="L139" s="39"/>
      <c r="M139" s="39"/>
      <c r="N139" s="42">
        <v>57000000</v>
      </c>
      <c r="O139" s="75" t="e">
        <f>VLOOKUP(B139,Round1,4,FALSE)</f>
        <v>#REF!</v>
      </c>
      <c r="P139" s="64" t="e">
        <f>VLOOKUP(B139,Round1,5,FALSE)</f>
        <v>#REF!</v>
      </c>
      <c r="Q139" s="65" t="e">
        <f>VLOOKUP(B139,Round1,10,FALSE)</f>
        <v>#REF!</v>
      </c>
      <c r="R139" s="89" t="e">
        <f>VLOOKUP(B139,Round1,19,FALSE)</f>
        <v>#REF!</v>
      </c>
      <c r="S139" s="89" t="e">
        <f>VLOOKUP(B139,Round1,18,FALSE)</f>
        <v>#REF!</v>
      </c>
      <c r="T139" s="15"/>
      <c r="U139" s="15"/>
    </row>
    <row r="140" spans="1:21" x14ac:dyDescent="0.2">
      <c r="B140" s="13"/>
      <c r="C140" s="13"/>
      <c r="D140" s="14"/>
      <c r="E140" s="14"/>
      <c r="F140" s="14"/>
      <c r="G140" s="14"/>
      <c r="H140" s="14"/>
      <c r="I140" s="14"/>
      <c r="J140" s="14"/>
      <c r="K140" s="39">
        <f>N140-L140</f>
        <v>0</v>
      </c>
      <c r="L140" s="15"/>
      <c r="M140" s="15"/>
      <c r="N140" s="43"/>
      <c r="O140" s="78"/>
      <c r="P140" s="16"/>
      <c r="Q140" s="16"/>
      <c r="R140" s="90"/>
      <c r="S140" s="91"/>
      <c r="T140" s="15"/>
      <c r="U140" s="15"/>
    </row>
    <row r="141" spans="1:21" x14ac:dyDescent="0.2">
      <c r="B141" s="7"/>
      <c r="C141" s="7"/>
      <c r="E141" s="7"/>
      <c r="F141" s="7"/>
      <c r="G141" s="7"/>
      <c r="H141" s="7"/>
      <c r="I141" s="7"/>
      <c r="J141" s="7"/>
      <c r="K141" s="39">
        <f>N141-L141</f>
        <v>0</v>
      </c>
      <c r="O141" s="80"/>
      <c r="P141" s="7"/>
      <c r="Q141" s="7"/>
      <c r="R141" s="97"/>
      <c r="S141" s="97"/>
      <c r="T141" s="15"/>
      <c r="U141" s="15"/>
    </row>
    <row r="142" spans="1:21" x14ac:dyDescent="0.2">
      <c r="B142" s="33"/>
      <c r="C142" s="33"/>
      <c r="D142" s="25"/>
      <c r="E142" s="13"/>
      <c r="F142" s="13"/>
      <c r="G142" s="13"/>
      <c r="H142" s="13"/>
      <c r="I142" s="13"/>
      <c r="J142" s="13"/>
      <c r="K142" s="39">
        <f>N142-L142</f>
        <v>0</v>
      </c>
      <c r="L142" s="15"/>
      <c r="M142" s="15"/>
      <c r="N142" s="43"/>
      <c r="O142" s="81"/>
      <c r="P142" s="34"/>
      <c r="Q142" s="34"/>
      <c r="R142" s="100"/>
      <c r="S142" s="100"/>
      <c r="T142" s="15"/>
      <c r="U142" s="15"/>
    </row>
    <row r="143" spans="1:21" x14ac:dyDescent="0.2">
      <c r="K143" s="39">
        <f>N143-L143</f>
        <v>0</v>
      </c>
      <c r="T143" s="15"/>
      <c r="U143" s="15"/>
    </row>
    <row r="144" spans="1:21" s="18" customFormat="1" x14ac:dyDescent="0.2">
      <c r="B144" s="19"/>
      <c r="C144" s="19"/>
      <c r="E144" s="19"/>
      <c r="F144" s="19"/>
      <c r="G144" s="19"/>
      <c r="H144" s="19"/>
      <c r="I144" s="19"/>
      <c r="J144" s="19"/>
      <c r="K144" s="53" t="e">
        <f>SUM(K139:K143)</f>
        <v>#REF!</v>
      </c>
      <c r="L144" s="57"/>
      <c r="M144" s="57"/>
      <c r="N144" s="53">
        <f>SUM(N139:N143)</f>
        <v>57000000</v>
      </c>
      <c r="O144" s="79"/>
      <c r="P144" s="20"/>
      <c r="Q144" s="20"/>
      <c r="R144" s="94"/>
      <c r="S144" s="94"/>
      <c r="T144" s="21"/>
      <c r="U144" s="21"/>
    </row>
    <row r="147" spans="1:21" x14ac:dyDescent="0.2">
      <c r="B147" s="10"/>
      <c r="C147" s="10"/>
    </row>
    <row r="148" spans="1:21" x14ac:dyDescent="0.2">
      <c r="B148" s="8">
        <f>COUNTA(B5:B143)</f>
        <v>68</v>
      </c>
      <c r="D148" s="44">
        <f>D138+D129+D117+D104+D96+D85+D70+D54+D41+D28+D22+D11+D3</f>
        <v>1535904604</v>
      </c>
      <c r="K148" s="44" t="e">
        <f>K144+K136+K127+K115+K102+K94+K82+K68+K52+K37+K26+K20+K9</f>
        <v>#REF!</v>
      </c>
      <c r="L148" s="44">
        <f>SUM(L5:L144)</f>
        <v>145041890</v>
      </c>
      <c r="M148" s="44">
        <f>SUM(M5:M144)</f>
        <v>853</v>
      </c>
      <c r="N148" s="44" t="e">
        <f>N144+N136+N127+N115+N102+N94+N82+N68+N52+N37+N26+N20+N9</f>
        <v>#REF!</v>
      </c>
    </row>
    <row r="151" spans="1:21" x14ac:dyDescent="0.2">
      <c r="B151" s="35" t="s">
        <v>124</v>
      </c>
      <c r="C151" s="35"/>
    </row>
    <row r="152" spans="1:21" x14ac:dyDescent="0.2">
      <c r="B152" s="8" t="s">
        <v>125</v>
      </c>
      <c r="C152" s="68">
        <f>21185246+19524394</f>
        <v>40709640</v>
      </c>
      <c r="D152" s="26">
        <f>L71+L72</f>
        <v>40709640</v>
      </c>
      <c r="E152" s="69">
        <f>C152-D152</f>
        <v>0</v>
      </c>
      <c r="L152" s="44"/>
      <c r="M152" s="44"/>
      <c r="T152" s="36"/>
      <c r="U152" s="36"/>
    </row>
    <row r="153" spans="1:21" x14ac:dyDescent="0.2">
      <c r="B153" s="8" t="s">
        <v>126</v>
      </c>
      <c r="C153" s="68">
        <f>21185246+34270000+9191759</f>
        <v>64647005</v>
      </c>
      <c r="D153" s="26">
        <f>L86+L97+L131+L5+L6</f>
        <v>64647005</v>
      </c>
      <c r="E153" s="69">
        <f>C153-D153</f>
        <v>0</v>
      </c>
    </row>
    <row r="154" spans="1:21" x14ac:dyDescent="0.2">
      <c r="B154" s="8" t="s">
        <v>127</v>
      </c>
      <c r="C154" s="68">
        <f>21185245</f>
        <v>21185245</v>
      </c>
      <c r="D154" s="26">
        <f>L44+L105+L109+L110+L111+L107</f>
        <v>21185245</v>
      </c>
      <c r="E154" s="69">
        <f>C154-D154</f>
        <v>0</v>
      </c>
      <c r="L154" s="26">
        <f>SUM(L148:M148)</f>
        <v>145042743</v>
      </c>
    </row>
    <row r="155" spans="1:21" x14ac:dyDescent="0.2">
      <c r="B155" s="8" t="s">
        <v>128</v>
      </c>
      <c r="C155" s="68">
        <f>18000000+853+500000</f>
        <v>18500853</v>
      </c>
      <c r="D155" s="26">
        <f>L55+L13+M13</f>
        <v>18500853</v>
      </c>
      <c r="E155" s="69">
        <f>C155-D155</f>
        <v>0</v>
      </c>
      <c r="L155" s="26">
        <f>SUM(D152:D156)</f>
        <v>145042743</v>
      </c>
    </row>
    <row r="156" spans="1:21" x14ac:dyDescent="0.2">
      <c r="B156" s="8" t="s">
        <v>129</v>
      </c>
      <c r="C156" s="84">
        <v>268.07</v>
      </c>
      <c r="L156" s="26">
        <f>L154-L155</f>
        <v>0</v>
      </c>
    </row>
    <row r="159" spans="1:21" x14ac:dyDescent="0.2">
      <c r="A159" s="70"/>
      <c r="B159" s="71">
        <v>44650</v>
      </c>
      <c r="C159" s="8" t="s">
        <v>131</v>
      </c>
    </row>
    <row r="160" spans="1:21" x14ac:dyDescent="0.2">
      <c r="B160" s="71">
        <v>44655</v>
      </c>
      <c r="C160" s="8" t="s">
        <v>132</v>
      </c>
    </row>
    <row r="161" spans="2:3" x14ac:dyDescent="0.2">
      <c r="B161" s="71">
        <v>44656</v>
      </c>
      <c r="C161" s="8" t="s">
        <v>133</v>
      </c>
    </row>
    <row r="162" spans="2:3" x14ac:dyDescent="0.2">
      <c r="B162" s="71">
        <v>44671</v>
      </c>
      <c r="C162" s="8" t="s">
        <v>134</v>
      </c>
    </row>
    <row r="163" spans="2:3" x14ac:dyDescent="0.2">
      <c r="B163" s="71">
        <v>44673</v>
      </c>
      <c r="C163" s="8" t="s">
        <v>135</v>
      </c>
    </row>
    <row r="164" spans="2:3" x14ac:dyDescent="0.2">
      <c r="B164" s="71">
        <v>44673</v>
      </c>
      <c r="C164" s="8" t="s">
        <v>136</v>
      </c>
    </row>
    <row r="165" spans="2:3" x14ac:dyDescent="0.2">
      <c r="B165" s="71">
        <v>44700</v>
      </c>
      <c r="C165" s="8" t="s">
        <v>143</v>
      </c>
    </row>
  </sheetData>
  <mergeCells count="1">
    <mergeCell ref="R3:S3"/>
  </mergeCells>
  <phoneticPr fontId="9" type="noConversion"/>
  <printOptions horizontalCentered="1"/>
  <pageMargins left="0.75" right="0.75" top="1" bottom="1" header="0.5" footer="0.5"/>
  <pageSetup scale="85" fitToHeight="4" orientation="landscape" copies="2" r:id="rId1"/>
  <headerFooter alignWithMargins="0">
    <oddHeader>&amp;C9% SORT
Second Round 2017</oddHeader>
    <oddFooter>&amp;RUpdated &amp;D</oddFooter>
  </headerFooter>
  <rowBreaks count="2" manualBreakCount="2">
    <brk id="95" max="17" man="1"/>
    <brk id="13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SORT - more state credits</vt:lpstr>
      <vt:lpstr>Sheet2</vt:lpstr>
      <vt:lpstr>2023 R3</vt:lpstr>
      <vt:lpstr>SORT - OLD</vt:lpstr>
    </vt:vector>
  </TitlesOfParts>
  <Company>California 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Treasurer's Office</dc:creator>
  <cp:lastModifiedBy>Shim, Jonghyun</cp:lastModifiedBy>
  <cp:lastPrinted>2023-07-27T21:09:54Z</cp:lastPrinted>
  <dcterms:created xsi:type="dcterms:W3CDTF">2009-08-10T22:13:50Z</dcterms:created>
  <dcterms:modified xsi:type="dcterms:W3CDTF">2023-12-22T22:05:02Z</dcterms:modified>
</cp:coreProperties>
</file>